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" autoFilterDateGrouping="1"/>
  </bookViews>
  <sheets>
    <sheet name="Sheet" sheetId="1" state="visible" r:id="rId1"/>
    <sheet name="facebook" sheetId="2" state="visible" r:id="rId2"/>
    <sheet name="Google Ads - GDN" sheetId="3" state="visible" r:id="rId3"/>
    <sheet name="YouTub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-* #,##0_-;-* #,##0_-;_-* &quot;-&quot;_-;_-@_-"/>
    <numFmt numFmtId="165" formatCode="$#,##0.00"/>
  </numFmts>
  <fonts count="2">
    <font>
      <name val="Calibri"/>
      <family val="2"/>
      <color theme="1"/>
      <sz val="11"/>
      <scheme val="minor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EBF1DE"/>
        <bgColor rgb="00EBF1DE"/>
      </patternFill>
    </fill>
    <fill>
      <patternFill patternType="solid">
        <fgColor rgb="008E1600"/>
        <bgColor rgb="008E160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2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 wrapText="1"/>
    </xf>
    <xf numFmtId="164" fontId="0" fillId="0" borderId="1" applyAlignment="1" pivotButton="0" quotePrefix="0" xfId="0">
      <alignment horizontal="center" wrapText="1"/>
    </xf>
    <xf numFmtId="10" fontId="0" fillId="0" borderId="1" applyAlignment="1" pivotButton="0" quotePrefix="0" xfId="0">
      <alignment horizontal="center" wrapText="1"/>
    </xf>
    <xf numFmtId="165" fontId="0" fillId="0" borderId="1" applyAlignment="1" pivotButton="0" quotePrefix="0" xfId="0">
      <alignment horizontal="center" wrapText="1"/>
    </xf>
    <xf numFmtId="0" fontId="1" fillId="3" borderId="1" applyAlignment="1" pivotButton="0" quotePrefix="0" xfId="0">
      <alignment horizontal="center" wrapText="1"/>
    </xf>
    <xf numFmtId="165" fontId="1" fillId="3" borderId="1" applyAlignment="1" pivotButton="0" quotePrefix="0" xfId="0">
      <alignment horizontal="center" wrapText="1"/>
    </xf>
    <xf numFmtId="164" fontId="1" fillId="3" borderId="1" applyAlignment="1" pivotButton="0" quotePrefix="0" xfId="0">
      <alignment horizontal="center" wrapText="1"/>
    </xf>
    <xf numFmtId="10" fontId="1" fillId="3" borderId="1" applyAlignment="1" pivotButton="0" quotePrefix="0" xfId="0">
      <alignment horizont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M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budget</t>
        </is>
      </c>
      <c r="C1" s="1" t="inlineStr">
        <is>
          <t>impressions</t>
        </is>
      </c>
      <c r="D1" s="1" t="inlineStr">
        <is>
          <t>clicks</t>
        </is>
      </c>
      <c r="E1" s="1" t="inlineStr">
        <is>
          <t>view</t>
        </is>
      </c>
      <c r="F1" s="1" t="inlineStr">
        <is>
          <t>percent_25</t>
        </is>
      </c>
      <c r="G1" s="1" t="inlineStr">
        <is>
          <t>percent_50</t>
        </is>
      </c>
      <c r="H1" s="1" t="inlineStr">
        <is>
          <t>percent_75</t>
        </is>
      </c>
      <c r="I1" s="1" t="inlineStr">
        <is>
          <t>percent_100</t>
        </is>
      </c>
      <c r="J1" s="1" t="inlineStr">
        <is>
          <t>CTR</t>
        </is>
      </c>
      <c r="K1" s="1" t="inlineStr">
        <is>
          <t>Spent Budget %</t>
        </is>
      </c>
      <c r="L1" s="1" t="inlineStr">
        <is>
          <t>CPC</t>
        </is>
      </c>
      <c r="M1" s="1" t="inlineStr">
        <is>
          <t>CPV</t>
        </is>
      </c>
      <c r="T1" s="2" t="inlineStr">
        <is>
          <t>Total Budget</t>
        </is>
      </c>
    </row>
    <row r="2">
      <c r="A2" s="2" t="inlineStr">
        <is>
          <t>1</t>
        </is>
      </c>
      <c r="B2" s="3">
        <f>ROUND(345.53,2)</f>
        <v/>
      </c>
      <c r="C2" s="3">
        <f>ROUND(780931.0,2)</f>
        <v/>
      </c>
      <c r="D2" s="3">
        <f>ROUND(40955.0,2)</f>
        <v/>
      </c>
      <c r="E2" s="3">
        <f>ROUND(166842.0,2)</f>
        <v/>
      </c>
      <c r="F2" s="3">
        <f>ROUND(135250.0,2)</f>
        <v/>
      </c>
      <c r="G2" s="3">
        <f>ROUND(67783.0,2)</f>
        <v/>
      </c>
      <c r="H2" s="3">
        <f>ROUND(47380.0,2)</f>
        <v/>
      </c>
      <c r="I2" s="3">
        <f>ROUND(27062.0,2)</f>
        <v/>
      </c>
      <c r="J2" s="4">
        <f>IFERROR((D2/C2),0)</f>
        <v/>
      </c>
      <c r="K2" s="4">
        <f>IFERROR(((0+B2)/T2),0)</f>
        <v/>
      </c>
      <c r="L2" s="5">
        <f>IFERROR(ROUND(B2/D2,2),0)</f>
        <v/>
      </c>
      <c r="M2" s="5">
        <f>IFERROR(ROUND(B2/E2,2),0)</f>
        <v/>
      </c>
    </row>
    <row r="3">
      <c r="A3" s="2" t="inlineStr">
        <is>
          <t>2</t>
        </is>
      </c>
      <c r="B3" s="3">
        <f>ROUND(271.51,2)</f>
        <v/>
      </c>
      <c r="C3" s="3">
        <f>ROUND(653007.0,2)</f>
        <v/>
      </c>
      <c r="D3" s="3">
        <f>ROUND(28643.0,2)</f>
        <v/>
      </c>
      <c r="E3" s="3">
        <f>ROUND(139220.0,2)</f>
        <v/>
      </c>
      <c r="F3" s="3">
        <f>ROUND(112662.0,2)</f>
        <v/>
      </c>
      <c r="G3" s="3">
        <f>ROUND(53641.0,2)</f>
        <v/>
      </c>
      <c r="H3" s="3">
        <f>ROUND(36325.0,2)</f>
        <v/>
      </c>
      <c r="I3" s="3">
        <f>ROUND(19258.0,2)</f>
        <v/>
      </c>
      <c r="J3" s="4">
        <f>IFERROR((D3/C3),0)</f>
        <v/>
      </c>
      <c r="K3" s="4">
        <f>IFERROR(((0+B2+B3)/T2),0)</f>
        <v/>
      </c>
      <c r="L3" s="5">
        <f>IFERROR(ROUND(B3/D3,2),0)</f>
        <v/>
      </c>
      <c r="M3" s="5">
        <f>IFERROR(ROUND(B3/E3,2),0)</f>
        <v/>
      </c>
    </row>
    <row r="4">
      <c r="A4" s="2" t="inlineStr">
        <is>
          <t>3</t>
        </is>
      </c>
      <c r="B4" s="3">
        <f>ROUND(1173.47,2)</f>
        <v/>
      </c>
      <c r="C4" s="3">
        <f>ROUND(2302701.0,2)</f>
        <v/>
      </c>
      <c r="D4" s="3">
        <f>ROUND(95951.0,2)</f>
        <v/>
      </c>
      <c r="E4" s="3">
        <f>ROUND(628295.0,2)</f>
        <v/>
      </c>
      <c r="F4" s="3">
        <f>ROUND(528732.0,2)</f>
        <v/>
      </c>
      <c r="G4" s="3">
        <f>ROUND(253972.0,2)</f>
        <v/>
      </c>
      <c r="H4" s="3">
        <f>ROUND(175244.0,2)</f>
        <v/>
      </c>
      <c r="I4" s="3">
        <f>ROUND(96446.0,2)</f>
        <v/>
      </c>
      <c r="J4" s="4">
        <f>IFERROR((D4/C4),0)</f>
        <v/>
      </c>
      <c r="K4" s="4">
        <f>IFERROR(((0+B2+B3+B4)/T2),0)</f>
        <v/>
      </c>
      <c r="L4" s="5">
        <f>IFERROR(ROUND(B4/D4,2),0)</f>
        <v/>
      </c>
      <c r="M4" s="5">
        <f>IFERROR(ROUND(B4/E4,2),0)</f>
        <v/>
      </c>
    </row>
    <row r="5">
      <c r="A5" s="2" t="inlineStr">
        <is>
          <t>4</t>
        </is>
      </c>
      <c r="B5" s="3">
        <f>ROUND(1177.72,2)</f>
        <v/>
      </c>
      <c r="C5" s="3">
        <f>ROUND(2317001.0,2)</f>
        <v/>
      </c>
      <c r="D5" s="3">
        <f>ROUND(88058.0,2)</f>
        <v/>
      </c>
      <c r="E5" s="3">
        <f>ROUND(601901.0,2)</f>
        <v/>
      </c>
      <c r="F5" s="3">
        <f>ROUND(505168.0,2)</f>
        <v/>
      </c>
      <c r="G5" s="3">
        <f>ROUND(241465.0,2)</f>
        <v/>
      </c>
      <c r="H5" s="3">
        <f>ROUND(166083.0,2)</f>
        <v/>
      </c>
      <c r="I5" s="3">
        <f>ROUND(99295.0,2)</f>
        <v/>
      </c>
      <c r="J5" s="4">
        <f>IFERROR((D5/C5),0)</f>
        <v/>
      </c>
      <c r="K5" s="4">
        <f>IFERROR(((0+B2+B3+B4+B5)/T2),0)</f>
        <v/>
      </c>
      <c r="L5" s="5">
        <f>IFERROR(ROUND(B5/D5,2),0)</f>
        <v/>
      </c>
      <c r="M5" s="5">
        <f>IFERROR(ROUND(B5/E5,2),0)</f>
        <v/>
      </c>
    </row>
    <row r="6">
      <c r="A6" s="2" t="inlineStr">
        <is>
          <t>5</t>
        </is>
      </c>
      <c r="B6" s="3">
        <f>ROUND(232.43,2)</f>
        <v/>
      </c>
      <c r="C6" s="3">
        <f>ROUND(417707.0,2)</f>
        <v/>
      </c>
      <c r="D6" s="3">
        <f>ROUND(17437.0,2)</f>
        <v/>
      </c>
      <c r="E6" s="3">
        <f>ROUND(130731.0,2)</f>
        <v/>
      </c>
      <c r="F6" s="3">
        <f>ROUND(113920.0,2)</f>
        <v/>
      </c>
      <c r="G6" s="3">
        <f>ROUND(55071.0,2)</f>
        <v/>
      </c>
      <c r="H6" s="3">
        <f>ROUND(37540.0,2)</f>
        <v/>
      </c>
      <c r="I6" s="3">
        <f>ROUND(23290.0,2)</f>
        <v/>
      </c>
      <c r="J6" s="4">
        <f>IFERROR((D6/C6),0)</f>
        <v/>
      </c>
      <c r="K6" s="4">
        <f>IFERROR(((0+B2+B3+B4+B5+B6)/T2),0)</f>
        <v/>
      </c>
      <c r="L6" s="5">
        <f>IFERROR(ROUND(B6/D6,2),0)</f>
        <v/>
      </c>
      <c r="M6" s="5">
        <f>IFERROR(ROUND(B6/E6,2),0)</f>
        <v/>
      </c>
    </row>
    <row r="7">
      <c r="A7" s="2" t="inlineStr">
        <is>
          <t>6</t>
        </is>
      </c>
      <c r="B7" s="3">
        <f>ROUND(0.0,2)</f>
        <v/>
      </c>
      <c r="C7" s="3">
        <f>ROUND(0.0,2)</f>
        <v/>
      </c>
      <c r="D7" s="3">
        <f>ROUND(0.0,2)</f>
        <v/>
      </c>
      <c r="E7" s="3">
        <f>ROUND(0.0,2)</f>
        <v/>
      </c>
      <c r="F7" s="3">
        <f>ROUND(0.0,2)</f>
        <v/>
      </c>
      <c r="G7" s="3">
        <f>ROUND(0.0,2)</f>
        <v/>
      </c>
      <c r="H7" s="3">
        <f>ROUND(0.0,2)</f>
        <v/>
      </c>
      <c r="I7" s="3">
        <f>ROUND(0.0,2)</f>
        <v/>
      </c>
      <c r="J7" s="4">
        <f>IFERROR((D7/C7),0)</f>
        <v/>
      </c>
      <c r="K7" s="4">
        <f>IFERROR(((0+B2+B3+B4+B5+B6+B7)/T2),0)</f>
        <v/>
      </c>
      <c r="L7" s="5">
        <f>IFERROR(ROUND(B7/D7,2),0)</f>
        <v/>
      </c>
      <c r="M7" s="5">
        <f>IFERROR(ROUND(B7/E7,2),0)</f>
        <v/>
      </c>
    </row>
    <row r="8">
      <c r="A8" s="6" t="inlineStr">
        <is>
          <t>Total</t>
        </is>
      </c>
      <c r="B8" s="7">
        <f>ROUND(3200.66,2)</f>
        <v/>
      </c>
      <c r="C8" s="8">
        <f>ROUND(6471347.0,2)</f>
        <v/>
      </c>
      <c r="D8" s="8">
        <f>ROUND(271044.0,2)</f>
        <v/>
      </c>
      <c r="E8" s="8">
        <f>ROUND(1666989.0,2)</f>
        <v/>
      </c>
      <c r="F8" s="8">
        <f>ROUND(1395732.0,2)</f>
        <v/>
      </c>
      <c r="G8" s="8">
        <f>ROUND(671932.0,2)</f>
        <v/>
      </c>
      <c r="H8" s="8">
        <f>ROUND(462572.0,2)</f>
        <v/>
      </c>
      <c r="I8" s="8">
        <f>ROUND(265351.0,2)</f>
        <v/>
      </c>
      <c r="J8" s="9">
        <f>IFERROR((D8/C8),0)</f>
        <v/>
      </c>
      <c r="K8" s="9">
        <f>IFERROR(((0+B8)/T2),0)</f>
        <v/>
      </c>
      <c r="L8" s="7">
        <f>IFERROR(B8/D8,0)</f>
        <v/>
      </c>
      <c r="M8" s="7">
        <f>IFERROR(ROUND(B8/E8,2),0)</f>
        <v/>
      </c>
      <c r="N8" s="1" t="inlineStr">
        <is>
          <t>Video</t>
        </is>
      </c>
      <c r="AA8" s="1" t="inlineStr">
        <is>
          <t>Video</t>
        </is>
      </c>
      <c r="AN8" s="1" t="inlineStr">
        <is>
          <t>Video</t>
        </is>
      </c>
      <c r="BA8" s="1" t="inlineStr">
        <is>
          <t>Video</t>
        </is>
      </c>
      <c r="BN8" s="1" t="inlineStr">
        <is>
          <t>Video</t>
        </is>
      </c>
      <c r="CA8" s="1" t="inlineStr">
        <is>
          <t>Video</t>
        </is>
      </c>
      <c r="CN8" s="1" t="inlineStr">
        <is>
          <t>Video</t>
        </is>
      </c>
      <c r="DA8" s="1" t="inlineStr">
        <is>
          <t>Video</t>
        </is>
      </c>
      <c r="DN8" s="1" t="inlineStr">
        <is>
          <t>Video</t>
        </is>
      </c>
      <c r="EA8" s="1" t="inlineStr">
        <is>
          <t>Video</t>
        </is>
      </c>
      <c r="EN8" s="1" t="inlineStr">
        <is>
          <t>Video</t>
        </is>
      </c>
      <c r="FA8" s="1" t="inlineStr">
        <is>
          <t>Video</t>
        </is>
      </c>
      <c r="FN8" s="1" t="inlineStr">
        <is>
          <t>Video</t>
        </is>
      </c>
      <c r="GA8" s="1" t="inlineStr">
        <is>
          <t>Video</t>
        </is>
      </c>
      <c r="GN8" s="1" t="inlineStr">
        <is>
          <t>Video</t>
        </is>
      </c>
      <c r="HA8" s="1" t="inlineStr">
        <is>
          <t>Video</t>
        </is>
      </c>
      <c r="HN8" s="1" t="inlineStr">
        <is>
          <t>Video</t>
        </is>
      </c>
      <c r="IA8" s="1" t="inlineStr">
        <is>
          <t>Video</t>
        </is>
      </c>
      <c r="IN8" s="1" t="inlineStr">
        <is>
          <t>Video</t>
        </is>
      </c>
      <c r="JA8" s="1" t="inlineStr">
        <is>
          <t>Video</t>
        </is>
      </c>
    </row>
    <row r="9">
      <c r="N9" s="1" t="inlineStr">
        <is>
          <t xml:space="preserve">DW (AR) </t>
        </is>
      </c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1" t="n"/>
      <c r="AA9" s="1" t="inlineStr">
        <is>
          <t xml:space="preserve">RAC_ThinQ (AR) </t>
        </is>
      </c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1" t="n"/>
      <c r="AN9" s="1" t="inlineStr">
        <is>
          <t xml:space="preserve">Vacuum (AR) </t>
        </is>
      </c>
      <c r="AO9" s="10" t="n"/>
      <c r="AP9" s="10" t="n"/>
      <c r="AQ9" s="10" t="n"/>
      <c r="AR9" s="10" t="n"/>
      <c r="AS9" s="10" t="n"/>
      <c r="AT9" s="10" t="n"/>
      <c r="AU9" s="10" t="n"/>
      <c r="AV9" s="10" t="n"/>
      <c r="AW9" s="10" t="n"/>
      <c r="AX9" s="10" t="n"/>
      <c r="AY9" s="10" t="n"/>
      <c r="AZ9" s="11" t="n"/>
      <c r="BA9" s="1" t="inlineStr">
        <is>
          <t xml:space="preserve">AC_Car (AR) </t>
        </is>
      </c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 t="n"/>
      <c r="BK9" s="10" t="n"/>
      <c r="BL9" s="10" t="n"/>
      <c r="BM9" s="11" t="n"/>
      <c r="BN9" s="1" t="inlineStr">
        <is>
          <t xml:space="preserve">Knock (AR) </t>
        </is>
      </c>
      <c r="BO9" s="10" t="n"/>
      <c r="BP9" s="10" t="n"/>
      <c r="BQ9" s="10" t="n"/>
      <c r="BR9" s="10" t="n"/>
      <c r="BS9" s="10" t="n"/>
      <c r="BT9" s="10" t="n"/>
      <c r="BU9" s="10" t="n"/>
      <c r="BV9" s="10" t="n"/>
      <c r="BW9" s="10" t="n"/>
      <c r="BX9" s="10" t="n"/>
      <c r="BY9" s="10" t="n"/>
      <c r="BZ9" s="11" t="n"/>
      <c r="CA9" s="1" t="inlineStr">
        <is>
          <t xml:space="preserve">Air_Purif (AR) </t>
        </is>
      </c>
      <c r="CB9" s="10" t="n"/>
      <c r="CC9" s="10" t="n"/>
      <c r="CD9" s="10" t="n"/>
      <c r="CE9" s="10" t="n"/>
      <c r="CF9" s="10" t="n"/>
      <c r="CG9" s="10" t="n"/>
      <c r="CH9" s="10" t="n"/>
      <c r="CI9" s="10" t="n"/>
      <c r="CJ9" s="10" t="n"/>
      <c r="CK9" s="10" t="n"/>
      <c r="CL9" s="10" t="n"/>
      <c r="CM9" s="11" t="n"/>
      <c r="CN9" s="1" t="inlineStr">
        <is>
          <t xml:space="preserve">Ref_ThinQ (AR) </t>
        </is>
      </c>
      <c r="CO9" s="10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 t="n"/>
      <c r="CY9" s="10" t="n"/>
      <c r="CZ9" s="11" t="n"/>
      <c r="DA9" s="1" t="inlineStr">
        <is>
          <t xml:space="preserve">WT (AR) </t>
        </is>
      </c>
      <c r="DB9" s="10" t="n"/>
      <c r="DC9" s="10" t="n"/>
      <c r="DD9" s="10" t="n"/>
      <c r="DE9" s="10" t="n"/>
      <c r="DF9" s="10" t="n"/>
      <c r="DG9" s="10" t="n"/>
      <c r="DH9" s="10" t="n"/>
      <c r="DI9" s="10" t="n"/>
      <c r="DJ9" s="10" t="n"/>
      <c r="DK9" s="10" t="n"/>
      <c r="DL9" s="10" t="n"/>
      <c r="DM9" s="11" t="n"/>
      <c r="DN9" s="1" t="inlineStr">
        <is>
          <t xml:space="preserve">Oled_VO (AR) </t>
        </is>
      </c>
      <c r="DO9" s="10" t="n"/>
      <c r="DP9" s="10" t="n"/>
      <c r="DQ9" s="10" t="n"/>
      <c r="DR9" s="10" t="n"/>
      <c r="DS9" s="10" t="n"/>
      <c r="DT9" s="10" t="n"/>
      <c r="DU9" s="10" t="n"/>
      <c r="DV9" s="10" t="n"/>
      <c r="DW9" s="10" t="n"/>
      <c r="DX9" s="10" t="n"/>
      <c r="DY9" s="10" t="n"/>
      <c r="DZ9" s="11" t="n"/>
      <c r="EA9" s="1" t="inlineStr">
        <is>
          <t xml:space="preserve">WM (AR) </t>
        </is>
      </c>
      <c r="EB9" s="10" t="n"/>
      <c r="EC9" s="10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 t="n"/>
      <c r="EM9" s="11" t="n"/>
      <c r="EN9" s="1" t="inlineStr">
        <is>
          <t xml:space="preserve">WT (KU) </t>
        </is>
      </c>
      <c r="EO9" s="10" t="n"/>
      <c r="EP9" s="10" t="n"/>
      <c r="EQ9" s="10" t="n"/>
      <c r="ER9" s="10" t="n"/>
      <c r="ES9" s="10" t="n"/>
      <c r="ET9" s="10" t="n"/>
      <c r="EU9" s="10" t="n"/>
      <c r="EV9" s="10" t="n"/>
      <c r="EW9" s="10" t="n"/>
      <c r="EX9" s="10" t="n"/>
      <c r="EY9" s="10" t="n"/>
      <c r="EZ9" s="11" t="n"/>
      <c r="FA9" s="1" t="inlineStr">
        <is>
          <t xml:space="preserve">Oled_VO (KU) </t>
        </is>
      </c>
      <c r="FB9" s="10" t="n"/>
      <c r="FC9" s="10" t="n"/>
      <c r="FD9" s="10" t="n"/>
      <c r="FE9" s="10" t="n"/>
      <c r="FF9" s="10" t="n"/>
      <c r="FG9" s="10" t="n"/>
      <c r="FH9" s="10" t="n"/>
      <c r="FI9" s="10" t="n"/>
      <c r="FJ9" s="10" t="n"/>
      <c r="FK9" s="10" t="n"/>
      <c r="FL9" s="10" t="n"/>
      <c r="FM9" s="11" t="n"/>
      <c r="FN9" s="1" t="inlineStr">
        <is>
          <t xml:space="preserve">RAC_ThinQ (KU) </t>
        </is>
      </c>
      <c r="FO9" s="10" t="n"/>
      <c r="FP9" s="10" t="n"/>
      <c r="FQ9" s="10" t="n"/>
      <c r="FR9" s="10" t="n"/>
      <c r="FS9" s="10" t="n"/>
      <c r="FT9" s="10" t="n"/>
      <c r="FU9" s="10" t="n"/>
      <c r="FV9" s="10" t="n"/>
      <c r="FW9" s="10" t="n"/>
      <c r="FX9" s="10" t="n"/>
      <c r="FY9" s="10" t="n"/>
      <c r="FZ9" s="11" t="n"/>
      <c r="GA9" s="1" t="inlineStr">
        <is>
          <t xml:space="preserve">AC_Car (KU) </t>
        </is>
      </c>
      <c r="GB9" s="10" t="n"/>
      <c r="GC9" s="10" t="n"/>
      <c r="GD9" s="10" t="n"/>
      <c r="GE9" s="10" t="n"/>
      <c r="GF9" s="10" t="n"/>
      <c r="GG9" s="10" t="n"/>
      <c r="GH9" s="10" t="n"/>
      <c r="GI9" s="10" t="n"/>
      <c r="GJ9" s="10" t="n"/>
      <c r="GK9" s="10" t="n"/>
      <c r="GL9" s="10" t="n"/>
      <c r="GM9" s="11" t="n"/>
      <c r="GN9" s="1" t="inlineStr">
        <is>
          <t xml:space="preserve">Ref_ThinQ (KU) </t>
        </is>
      </c>
      <c r="GO9" s="10" t="n"/>
      <c r="GP9" s="10" t="n"/>
      <c r="GQ9" s="10" t="n"/>
      <c r="GR9" s="10" t="n"/>
      <c r="GS9" s="10" t="n"/>
      <c r="GT9" s="10" t="n"/>
      <c r="GU9" s="10" t="n"/>
      <c r="GV9" s="10" t="n"/>
      <c r="GW9" s="10" t="n"/>
      <c r="GX9" s="10" t="n"/>
      <c r="GY9" s="10" t="n"/>
      <c r="GZ9" s="11" t="n"/>
      <c r="HA9" s="1" t="inlineStr">
        <is>
          <t xml:space="preserve">WM (KU) </t>
        </is>
      </c>
      <c r="HB9" s="10" t="n"/>
      <c r="HC9" s="10" t="n"/>
      <c r="HD9" s="10" t="n"/>
      <c r="HE9" s="10" t="n"/>
      <c r="HF9" s="10" t="n"/>
      <c r="HG9" s="10" t="n"/>
      <c r="HH9" s="10" t="n"/>
      <c r="HI9" s="10" t="n"/>
      <c r="HJ9" s="10" t="n"/>
      <c r="HK9" s="10" t="n"/>
      <c r="HL9" s="10" t="n"/>
      <c r="HM9" s="11" t="n"/>
      <c r="HN9" s="1" t="inlineStr">
        <is>
          <t xml:space="preserve">Vacuum (KU) </t>
        </is>
      </c>
      <c r="HO9" s="10" t="n"/>
      <c r="HP9" s="10" t="n"/>
      <c r="HQ9" s="10" t="n"/>
      <c r="HR9" s="10" t="n"/>
      <c r="HS9" s="10" t="n"/>
      <c r="HT9" s="10" t="n"/>
      <c r="HU9" s="10" t="n"/>
      <c r="HV9" s="10" t="n"/>
      <c r="HW9" s="10" t="n"/>
      <c r="HX9" s="10" t="n"/>
      <c r="HY9" s="10" t="n"/>
      <c r="HZ9" s="11" t="n"/>
      <c r="IA9" s="1" t="inlineStr">
        <is>
          <t xml:space="preserve">DW (KU) </t>
        </is>
      </c>
      <c r="IB9" s="10" t="n"/>
      <c r="IC9" s="10" t="n"/>
      <c r="ID9" s="10" t="n"/>
      <c r="IE9" s="10" t="n"/>
      <c r="IF9" s="10" t="n"/>
      <c r="IG9" s="10" t="n"/>
      <c r="IH9" s="10" t="n"/>
      <c r="II9" s="10" t="n"/>
      <c r="IJ9" s="10" t="n"/>
      <c r="IK9" s="10" t="n"/>
      <c r="IL9" s="10" t="n"/>
      <c r="IM9" s="11" t="n"/>
      <c r="IN9" s="1" t="inlineStr">
        <is>
          <t xml:space="preserve">Knock (KU) </t>
        </is>
      </c>
      <c r="IO9" s="10" t="n"/>
      <c r="IP9" s="10" t="n"/>
      <c r="IQ9" s="10" t="n"/>
      <c r="IR9" s="10" t="n"/>
      <c r="IS9" s="10" t="n"/>
      <c r="IT9" s="10" t="n"/>
      <c r="IU9" s="10" t="n"/>
      <c r="IV9" s="10" t="n"/>
      <c r="IW9" s="10" t="n"/>
      <c r="IX9" s="10" t="n"/>
      <c r="IY9" s="10" t="n"/>
      <c r="IZ9" s="11" t="n"/>
      <c r="JA9" s="1" t="inlineStr">
        <is>
          <t xml:space="preserve">Air_Purif (KU) </t>
        </is>
      </c>
      <c r="JB9" s="10" t="n"/>
      <c r="JC9" s="10" t="n"/>
      <c r="JD9" s="10" t="n"/>
      <c r="JE9" s="10" t="n"/>
      <c r="JF9" s="10" t="n"/>
      <c r="JG9" s="10" t="n"/>
      <c r="JH9" s="10" t="n"/>
      <c r="JI9" s="10" t="n"/>
      <c r="JJ9" s="10" t="n"/>
      <c r="JK9" s="10" t="n"/>
      <c r="JL9" s="10" t="n"/>
      <c r="JM9" s="11" t="n"/>
    </row>
    <row r="10">
      <c r="A10" s="1" t="inlineStr">
        <is>
          <t>date</t>
        </is>
      </c>
      <c r="B10" s="1" t="inlineStr">
        <is>
          <t>budget</t>
        </is>
      </c>
      <c r="C10" s="1" t="inlineStr">
        <is>
          <t>impressions</t>
        </is>
      </c>
      <c r="D10" s="1" t="inlineStr">
        <is>
          <t>clicks</t>
        </is>
      </c>
      <c r="E10" s="1" t="inlineStr">
        <is>
          <t>view</t>
        </is>
      </c>
      <c r="F10" s="1" t="inlineStr">
        <is>
          <t>percent_25</t>
        </is>
      </c>
      <c r="G10" s="1" t="inlineStr">
        <is>
          <t>percent_50</t>
        </is>
      </c>
      <c r="H10" s="1" t="inlineStr">
        <is>
          <t>percent_75</t>
        </is>
      </c>
      <c r="I10" s="1" t="inlineStr">
        <is>
          <t>percent_100</t>
        </is>
      </c>
      <c r="J10" s="1" t="inlineStr">
        <is>
          <t>CTR</t>
        </is>
      </c>
      <c r="K10" s="1" t="inlineStr">
        <is>
          <t>Spent Budget %</t>
        </is>
      </c>
      <c r="L10" s="1" t="inlineStr">
        <is>
          <t>CPC</t>
        </is>
      </c>
      <c r="M10" s="1" t="inlineStr">
        <is>
          <t>CPV</t>
        </is>
      </c>
      <c r="N10" s="1" t="inlineStr">
        <is>
          <t>date</t>
        </is>
      </c>
      <c r="O10" s="1" t="inlineStr">
        <is>
          <t>budget</t>
        </is>
      </c>
      <c r="P10" s="1" t="inlineStr">
        <is>
          <t>impressions</t>
        </is>
      </c>
      <c r="Q10" s="1" t="inlineStr">
        <is>
          <t>clicks</t>
        </is>
      </c>
      <c r="R10" s="1" t="inlineStr">
        <is>
          <t>view</t>
        </is>
      </c>
      <c r="S10" s="1" t="inlineStr">
        <is>
          <t>percent_25</t>
        </is>
      </c>
      <c r="T10" s="1" t="inlineStr">
        <is>
          <t>percent_50</t>
        </is>
      </c>
      <c r="U10" s="1" t="inlineStr">
        <is>
          <t>percent_75</t>
        </is>
      </c>
      <c r="V10" s="1" t="inlineStr">
        <is>
          <t>percent_100</t>
        </is>
      </c>
      <c r="W10" s="1" t="inlineStr">
        <is>
          <t>CTR</t>
        </is>
      </c>
      <c r="X10" s="1" t="inlineStr">
        <is>
          <t>Spent Budget %</t>
        </is>
      </c>
      <c r="Y10" s="1" t="inlineStr">
        <is>
          <t>CPC</t>
        </is>
      </c>
      <c r="Z10" s="1" t="inlineStr">
        <is>
          <t>CPV</t>
        </is>
      </c>
      <c r="AA10" s="1" t="inlineStr">
        <is>
          <t>date</t>
        </is>
      </c>
      <c r="AB10" s="1" t="inlineStr">
        <is>
          <t>budget</t>
        </is>
      </c>
      <c r="AC10" s="1" t="inlineStr">
        <is>
          <t>impressions</t>
        </is>
      </c>
      <c r="AD10" s="1" t="inlineStr">
        <is>
          <t>clicks</t>
        </is>
      </c>
      <c r="AE10" s="1" t="inlineStr">
        <is>
          <t>view</t>
        </is>
      </c>
      <c r="AF10" s="1" t="inlineStr">
        <is>
          <t>percent_25</t>
        </is>
      </c>
      <c r="AG10" s="1" t="inlineStr">
        <is>
          <t>percent_50</t>
        </is>
      </c>
      <c r="AH10" s="1" t="inlineStr">
        <is>
          <t>percent_75</t>
        </is>
      </c>
      <c r="AI10" s="1" t="inlineStr">
        <is>
          <t>percent_100</t>
        </is>
      </c>
      <c r="AJ10" s="1" t="inlineStr">
        <is>
          <t>CTR</t>
        </is>
      </c>
      <c r="AK10" s="1" t="inlineStr">
        <is>
          <t>Spent Budget %</t>
        </is>
      </c>
      <c r="AL10" s="1" t="inlineStr">
        <is>
          <t>CPC</t>
        </is>
      </c>
      <c r="AM10" s="1" t="inlineStr">
        <is>
          <t>CPV</t>
        </is>
      </c>
      <c r="AN10" s="1" t="inlineStr">
        <is>
          <t>date</t>
        </is>
      </c>
      <c r="AO10" s="1" t="inlineStr">
        <is>
          <t>budget</t>
        </is>
      </c>
      <c r="AP10" s="1" t="inlineStr">
        <is>
          <t>impressions</t>
        </is>
      </c>
      <c r="AQ10" s="1" t="inlineStr">
        <is>
          <t>clicks</t>
        </is>
      </c>
      <c r="AR10" s="1" t="inlineStr">
        <is>
          <t>view</t>
        </is>
      </c>
      <c r="AS10" s="1" t="inlineStr">
        <is>
          <t>percent_25</t>
        </is>
      </c>
      <c r="AT10" s="1" t="inlineStr">
        <is>
          <t>percent_50</t>
        </is>
      </c>
      <c r="AU10" s="1" t="inlineStr">
        <is>
          <t>percent_75</t>
        </is>
      </c>
      <c r="AV10" s="1" t="inlineStr">
        <is>
          <t>percent_100</t>
        </is>
      </c>
      <c r="AW10" s="1" t="inlineStr">
        <is>
          <t>CTR</t>
        </is>
      </c>
      <c r="AX10" s="1" t="inlineStr">
        <is>
          <t>Spent Budget %</t>
        </is>
      </c>
      <c r="AY10" s="1" t="inlineStr">
        <is>
          <t>CPC</t>
        </is>
      </c>
      <c r="AZ10" s="1" t="inlineStr">
        <is>
          <t>CPV</t>
        </is>
      </c>
      <c r="BA10" s="1" t="inlineStr">
        <is>
          <t>date</t>
        </is>
      </c>
      <c r="BB10" s="1" t="inlineStr">
        <is>
          <t>budget</t>
        </is>
      </c>
      <c r="BC10" s="1" t="inlineStr">
        <is>
          <t>impressions</t>
        </is>
      </c>
      <c r="BD10" s="1" t="inlineStr">
        <is>
          <t>clicks</t>
        </is>
      </c>
      <c r="BE10" s="1" t="inlineStr">
        <is>
          <t>view</t>
        </is>
      </c>
      <c r="BF10" s="1" t="inlineStr">
        <is>
          <t>percent_25</t>
        </is>
      </c>
      <c r="BG10" s="1" t="inlineStr">
        <is>
          <t>percent_50</t>
        </is>
      </c>
      <c r="BH10" s="1" t="inlineStr">
        <is>
          <t>percent_75</t>
        </is>
      </c>
      <c r="BI10" s="1" t="inlineStr">
        <is>
          <t>percent_100</t>
        </is>
      </c>
      <c r="BJ10" s="1" t="inlineStr">
        <is>
          <t>CTR</t>
        </is>
      </c>
      <c r="BK10" s="1" t="inlineStr">
        <is>
          <t>Spent Budget %</t>
        </is>
      </c>
      <c r="BL10" s="1" t="inlineStr">
        <is>
          <t>CPC</t>
        </is>
      </c>
      <c r="BM10" s="1" t="inlineStr">
        <is>
          <t>CPV</t>
        </is>
      </c>
      <c r="BN10" s="1" t="inlineStr">
        <is>
          <t>date</t>
        </is>
      </c>
      <c r="BO10" s="1" t="inlineStr">
        <is>
          <t>budget</t>
        </is>
      </c>
      <c r="BP10" s="1" t="inlineStr">
        <is>
          <t>impressions</t>
        </is>
      </c>
      <c r="BQ10" s="1" t="inlineStr">
        <is>
          <t>clicks</t>
        </is>
      </c>
      <c r="BR10" s="1" t="inlineStr">
        <is>
          <t>view</t>
        </is>
      </c>
      <c r="BS10" s="1" t="inlineStr">
        <is>
          <t>percent_25</t>
        </is>
      </c>
      <c r="BT10" s="1" t="inlineStr">
        <is>
          <t>percent_50</t>
        </is>
      </c>
      <c r="BU10" s="1" t="inlineStr">
        <is>
          <t>percent_75</t>
        </is>
      </c>
      <c r="BV10" s="1" t="inlineStr">
        <is>
          <t>percent_100</t>
        </is>
      </c>
      <c r="BW10" s="1" t="inlineStr">
        <is>
          <t>CTR</t>
        </is>
      </c>
      <c r="BX10" s="1" t="inlineStr">
        <is>
          <t>Spent Budget %</t>
        </is>
      </c>
      <c r="BY10" s="1" t="inlineStr">
        <is>
          <t>CPC</t>
        </is>
      </c>
      <c r="BZ10" s="1" t="inlineStr">
        <is>
          <t>CPV</t>
        </is>
      </c>
      <c r="CA10" s="1" t="inlineStr">
        <is>
          <t>date</t>
        </is>
      </c>
      <c r="CB10" s="1" t="inlineStr">
        <is>
          <t>budget</t>
        </is>
      </c>
      <c r="CC10" s="1" t="inlineStr">
        <is>
          <t>impressions</t>
        </is>
      </c>
      <c r="CD10" s="1" t="inlineStr">
        <is>
          <t>clicks</t>
        </is>
      </c>
      <c r="CE10" s="1" t="inlineStr">
        <is>
          <t>view</t>
        </is>
      </c>
      <c r="CF10" s="1" t="inlineStr">
        <is>
          <t>percent_25</t>
        </is>
      </c>
      <c r="CG10" s="1" t="inlineStr">
        <is>
          <t>percent_50</t>
        </is>
      </c>
      <c r="CH10" s="1" t="inlineStr">
        <is>
          <t>percent_75</t>
        </is>
      </c>
      <c r="CI10" s="1" t="inlineStr">
        <is>
          <t>percent_100</t>
        </is>
      </c>
      <c r="CJ10" s="1" t="inlineStr">
        <is>
          <t>CTR</t>
        </is>
      </c>
      <c r="CK10" s="1" t="inlineStr">
        <is>
          <t>Spent Budget %</t>
        </is>
      </c>
      <c r="CL10" s="1" t="inlineStr">
        <is>
          <t>CPC</t>
        </is>
      </c>
      <c r="CM10" s="1" t="inlineStr">
        <is>
          <t>CPV</t>
        </is>
      </c>
      <c r="CN10" s="1" t="inlineStr">
        <is>
          <t>date</t>
        </is>
      </c>
      <c r="CO10" s="1" t="inlineStr">
        <is>
          <t>budget</t>
        </is>
      </c>
      <c r="CP10" s="1" t="inlineStr">
        <is>
          <t>impressions</t>
        </is>
      </c>
      <c r="CQ10" s="1" t="inlineStr">
        <is>
          <t>clicks</t>
        </is>
      </c>
      <c r="CR10" s="1" t="inlineStr">
        <is>
          <t>view</t>
        </is>
      </c>
      <c r="CS10" s="1" t="inlineStr">
        <is>
          <t>percent_25</t>
        </is>
      </c>
      <c r="CT10" s="1" t="inlineStr">
        <is>
          <t>percent_50</t>
        </is>
      </c>
      <c r="CU10" s="1" t="inlineStr">
        <is>
          <t>percent_75</t>
        </is>
      </c>
      <c r="CV10" s="1" t="inlineStr">
        <is>
          <t>percent_100</t>
        </is>
      </c>
      <c r="CW10" s="1" t="inlineStr">
        <is>
          <t>CTR</t>
        </is>
      </c>
      <c r="CX10" s="1" t="inlineStr">
        <is>
          <t>Spent Budget %</t>
        </is>
      </c>
      <c r="CY10" s="1" t="inlineStr">
        <is>
          <t>CPC</t>
        </is>
      </c>
      <c r="CZ10" s="1" t="inlineStr">
        <is>
          <t>CPV</t>
        </is>
      </c>
      <c r="DA10" s="1" t="inlineStr">
        <is>
          <t>date</t>
        </is>
      </c>
      <c r="DB10" s="1" t="inlineStr">
        <is>
          <t>budget</t>
        </is>
      </c>
      <c r="DC10" s="1" t="inlineStr">
        <is>
          <t>impressions</t>
        </is>
      </c>
      <c r="DD10" s="1" t="inlineStr">
        <is>
          <t>clicks</t>
        </is>
      </c>
      <c r="DE10" s="1" t="inlineStr">
        <is>
          <t>view</t>
        </is>
      </c>
      <c r="DF10" s="1" t="inlineStr">
        <is>
          <t>percent_25</t>
        </is>
      </c>
      <c r="DG10" s="1" t="inlineStr">
        <is>
          <t>percent_50</t>
        </is>
      </c>
      <c r="DH10" s="1" t="inlineStr">
        <is>
          <t>percent_75</t>
        </is>
      </c>
      <c r="DI10" s="1" t="inlineStr">
        <is>
          <t>percent_100</t>
        </is>
      </c>
      <c r="DJ10" s="1" t="inlineStr">
        <is>
          <t>CTR</t>
        </is>
      </c>
      <c r="DK10" s="1" t="inlineStr">
        <is>
          <t>Spent Budget %</t>
        </is>
      </c>
      <c r="DL10" s="1" t="inlineStr">
        <is>
          <t>CPC</t>
        </is>
      </c>
      <c r="DM10" s="1" t="inlineStr">
        <is>
          <t>CPV</t>
        </is>
      </c>
      <c r="DN10" s="1" t="inlineStr">
        <is>
          <t>date</t>
        </is>
      </c>
      <c r="DO10" s="1" t="inlineStr">
        <is>
          <t>budget</t>
        </is>
      </c>
      <c r="DP10" s="1" t="inlineStr">
        <is>
          <t>impressions</t>
        </is>
      </c>
      <c r="DQ10" s="1" t="inlineStr">
        <is>
          <t>clicks</t>
        </is>
      </c>
      <c r="DR10" s="1" t="inlineStr">
        <is>
          <t>view</t>
        </is>
      </c>
      <c r="DS10" s="1" t="inlineStr">
        <is>
          <t>percent_25</t>
        </is>
      </c>
      <c r="DT10" s="1" t="inlineStr">
        <is>
          <t>percent_50</t>
        </is>
      </c>
      <c r="DU10" s="1" t="inlineStr">
        <is>
          <t>percent_75</t>
        </is>
      </c>
      <c r="DV10" s="1" t="inlineStr">
        <is>
          <t>percent_100</t>
        </is>
      </c>
      <c r="DW10" s="1" t="inlineStr">
        <is>
          <t>CTR</t>
        </is>
      </c>
      <c r="DX10" s="1" t="inlineStr">
        <is>
          <t>Spent Budget %</t>
        </is>
      </c>
      <c r="DY10" s="1" t="inlineStr">
        <is>
          <t>CPC</t>
        </is>
      </c>
      <c r="DZ10" s="1" t="inlineStr">
        <is>
          <t>CPV</t>
        </is>
      </c>
      <c r="EA10" s="1" t="inlineStr">
        <is>
          <t>date</t>
        </is>
      </c>
      <c r="EB10" s="1" t="inlineStr">
        <is>
          <t>budget</t>
        </is>
      </c>
      <c r="EC10" s="1" t="inlineStr">
        <is>
          <t>impressions</t>
        </is>
      </c>
      <c r="ED10" s="1" t="inlineStr">
        <is>
          <t>clicks</t>
        </is>
      </c>
      <c r="EE10" s="1" t="inlineStr">
        <is>
          <t>view</t>
        </is>
      </c>
      <c r="EF10" s="1" t="inlineStr">
        <is>
          <t>percent_25</t>
        </is>
      </c>
      <c r="EG10" s="1" t="inlineStr">
        <is>
          <t>percent_50</t>
        </is>
      </c>
      <c r="EH10" s="1" t="inlineStr">
        <is>
          <t>percent_75</t>
        </is>
      </c>
      <c r="EI10" s="1" t="inlineStr">
        <is>
          <t>percent_100</t>
        </is>
      </c>
      <c r="EJ10" s="1" t="inlineStr">
        <is>
          <t>CTR</t>
        </is>
      </c>
      <c r="EK10" s="1" t="inlineStr">
        <is>
          <t>Spent Budget %</t>
        </is>
      </c>
      <c r="EL10" s="1" t="inlineStr">
        <is>
          <t>CPC</t>
        </is>
      </c>
      <c r="EM10" s="1" t="inlineStr">
        <is>
          <t>CPV</t>
        </is>
      </c>
      <c r="EN10" s="1" t="inlineStr">
        <is>
          <t>date</t>
        </is>
      </c>
      <c r="EO10" s="1" t="inlineStr">
        <is>
          <t>budget</t>
        </is>
      </c>
      <c r="EP10" s="1" t="inlineStr">
        <is>
          <t>impressions</t>
        </is>
      </c>
      <c r="EQ10" s="1" t="inlineStr">
        <is>
          <t>clicks</t>
        </is>
      </c>
      <c r="ER10" s="1" t="inlineStr">
        <is>
          <t>view</t>
        </is>
      </c>
      <c r="ES10" s="1" t="inlineStr">
        <is>
          <t>percent_25</t>
        </is>
      </c>
      <c r="ET10" s="1" t="inlineStr">
        <is>
          <t>percent_50</t>
        </is>
      </c>
      <c r="EU10" s="1" t="inlineStr">
        <is>
          <t>percent_75</t>
        </is>
      </c>
      <c r="EV10" s="1" t="inlineStr">
        <is>
          <t>percent_100</t>
        </is>
      </c>
      <c r="EW10" s="1" t="inlineStr">
        <is>
          <t>CTR</t>
        </is>
      </c>
      <c r="EX10" s="1" t="inlineStr">
        <is>
          <t>Spent Budget %</t>
        </is>
      </c>
      <c r="EY10" s="1" t="inlineStr">
        <is>
          <t>CPC</t>
        </is>
      </c>
      <c r="EZ10" s="1" t="inlineStr">
        <is>
          <t>CPV</t>
        </is>
      </c>
      <c r="FA10" s="1" t="inlineStr">
        <is>
          <t>date</t>
        </is>
      </c>
      <c r="FB10" s="1" t="inlineStr">
        <is>
          <t>budget</t>
        </is>
      </c>
      <c r="FC10" s="1" t="inlineStr">
        <is>
          <t>impressions</t>
        </is>
      </c>
      <c r="FD10" s="1" t="inlineStr">
        <is>
          <t>clicks</t>
        </is>
      </c>
      <c r="FE10" s="1" t="inlineStr">
        <is>
          <t>view</t>
        </is>
      </c>
      <c r="FF10" s="1" t="inlineStr">
        <is>
          <t>percent_25</t>
        </is>
      </c>
      <c r="FG10" s="1" t="inlineStr">
        <is>
          <t>percent_50</t>
        </is>
      </c>
      <c r="FH10" s="1" t="inlineStr">
        <is>
          <t>percent_75</t>
        </is>
      </c>
      <c r="FI10" s="1" t="inlineStr">
        <is>
          <t>percent_100</t>
        </is>
      </c>
      <c r="FJ10" s="1" t="inlineStr">
        <is>
          <t>CTR</t>
        </is>
      </c>
      <c r="FK10" s="1" t="inlineStr">
        <is>
          <t>Spent Budget %</t>
        </is>
      </c>
      <c r="FL10" s="1" t="inlineStr">
        <is>
          <t>CPC</t>
        </is>
      </c>
      <c r="FM10" s="1" t="inlineStr">
        <is>
          <t>CPV</t>
        </is>
      </c>
      <c r="FN10" s="1" t="inlineStr">
        <is>
          <t>date</t>
        </is>
      </c>
      <c r="FO10" s="1" t="inlineStr">
        <is>
          <t>budget</t>
        </is>
      </c>
      <c r="FP10" s="1" t="inlineStr">
        <is>
          <t>impressions</t>
        </is>
      </c>
      <c r="FQ10" s="1" t="inlineStr">
        <is>
          <t>clicks</t>
        </is>
      </c>
      <c r="FR10" s="1" t="inlineStr">
        <is>
          <t>view</t>
        </is>
      </c>
      <c r="FS10" s="1" t="inlineStr">
        <is>
          <t>percent_25</t>
        </is>
      </c>
      <c r="FT10" s="1" t="inlineStr">
        <is>
          <t>percent_50</t>
        </is>
      </c>
      <c r="FU10" s="1" t="inlineStr">
        <is>
          <t>percent_75</t>
        </is>
      </c>
      <c r="FV10" s="1" t="inlineStr">
        <is>
          <t>percent_100</t>
        </is>
      </c>
      <c r="FW10" s="1" t="inlineStr">
        <is>
          <t>CTR</t>
        </is>
      </c>
      <c r="FX10" s="1" t="inlineStr">
        <is>
          <t>Spent Budget %</t>
        </is>
      </c>
      <c r="FY10" s="1" t="inlineStr">
        <is>
          <t>CPC</t>
        </is>
      </c>
      <c r="FZ10" s="1" t="inlineStr">
        <is>
          <t>CPV</t>
        </is>
      </c>
      <c r="GA10" s="1" t="inlineStr">
        <is>
          <t>date</t>
        </is>
      </c>
      <c r="GB10" s="1" t="inlineStr">
        <is>
          <t>budget</t>
        </is>
      </c>
      <c r="GC10" s="1" t="inlineStr">
        <is>
          <t>impressions</t>
        </is>
      </c>
      <c r="GD10" s="1" t="inlineStr">
        <is>
          <t>clicks</t>
        </is>
      </c>
      <c r="GE10" s="1" t="inlineStr">
        <is>
          <t>view</t>
        </is>
      </c>
      <c r="GF10" s="1" t="inlineStr">
        <is>
          <t>percent_25</t>
        </is>
      </c>
      <c r="GG10" s="1" t="inlineStr">
        <is>
          <t>percent_50</t>
        </is>
      </c>
      <c r="GH10" s="1" t="inlineStr">
        <is>
          <t>percent_75</t>
        </is>
      </c>
      <c r="GI10" s="1" t="inlineStr">
        <is>
          <t>percent_100</t>
        </is>
      </c>
      <c r="GJ10" s="1" t="inlineStr">
        <is>
          <t>CTR</t>
        </is>
      </c>
      <c r="GK10" s="1" t="inlineStr">
        <is>
          <t>Spent Budget %</t>
        </is>
      </c>
      <c r="GL10" s="1" t="inlineStr">
        <is>
          <t>CPC</t>
        </is>
      </c>
      <c r="GM10" s="1" t="inlineStr">
        <is>
          <t>CPV</t>
        </is>
      </c>
      <c r="GN10" s="1" t="inlineStr">
        <is>
          <t>date</t>
        </is>
      </c>
      <c r="GO10" s="1" t="inlineStr">
        <is>
          <t>budget</t>
        </is>
      </c>
      <c r="GP10" s="1" t="inlineStr">
        <is>
          <t>impressions</t>
        </is>
      </c>
      <c r="GQ10" s="1" t="inlineStr">
        <is>
          <t>clicks</t>
        </is>
      </c>
      <c r="GR10" s="1" t="inlineStr">
        <is>
          <t>view</t>
        </is>
      </c>
      <c r="GS10" s="1" t="inlineStr">
        <is>
          <t>percent_25</t>
        </is>
      </c>
      <c r="GT10" s="1" t="inlineStr">
        <is>
          <t>percent_50</t>
        </is>
      </c>
      <c r="GU10" s="1" t="inlineStr">
        <is>
          <t>percent_75</t>
        </is>
      </c>
      <c r="GV10" s="1" t="inlineStr">
        <is>
          <t>percent_100</t>
        </is>
      </c>
      <c r="GW10" s="1" t="inlineStr">
        <is>
          <t>CTR</t>
        </is>
      </c>
      <c r="GX10" s="1" t="inlineStr">
        <is>
          <t>Spent Budget %</t>
        </is>
      </c>
      <c r="GY10" s="1" t="inlineStr">
        <is>
          <t>CPC</t>
        </is>
      </c>
      <c r="GZ10" s="1" t="inlineStr">
        <is>
          <t>CPV</t>
        </is>
      </c>
      <c r="HA10" s="1" t="inlineStr">
        <is>
          <t>date</t>
        </is>
      </c>
      <c r="HB10" s="1" t="inlineStr">
        <is>
          <t>budget</t>
        </is>
      </c>
      <c r="HC10" s="1" t="inlineStr">
        <is>
          <t>impressions</t>
        </is>
      </c>
      <c r="HD10" s="1" t="inlineStr">
        <is>
          <t>clicks</t>
        </is>
      </c>
      <c r="HE10" s="1" t="inlineStr">
        <is>
          <t>view</t>
        </is>
      </c>
      <c r="HF10" s="1" t="inlineStr">
        <is>
          <t>percent_25</t>
        </is>
      </c>
      <c r="HG10" s="1" t="inlineStr">
        <is>
          <t>percent_50</t>
        </is>
      </c>
      <c r="HH10" s="1" t="inlineStr">
        <is>
          <t>percent_75</t>
        </is>
      </c>
      <c r="HI10" s="1" t="inlineStr">
        <is>
          <t>percent_100</t>
        </is>
      </c>
      <c r="HJ10" s="1" t="inlineStr">
        <is>
          <t>CTR</t>
        </is>
      </c>
      <c r="HK10" s="1" t="inlineStr">
        <is>
          <t>Spent Budget %</t>
        </is>
      </c>
      <c r="HL10" s="1" t="inlineStr">
        <is>
          <t>CPC</t>
        </is>
      </c>
      <c r="HM10" s="1" t="inlineStr">
        <is>
          <t>CPV</t>
        </is>
      </c>
      <c r="HN10" s="1" t="inlineStr">
        <is>
          <t>date</t>
        </is>
      </c>
      <c r="HO10" s="1" t="inlineStr">
        <is>
          <t>budget</t>
        </is>
      </c>
      <c r="HP10" s="1" t="inlineStr">
        <is>
          <t>impressions</t>
        </is>
      </c>
      <c r="HQ10" s="1" t="inlineStr">
        <is>
          <t>clicks</t>
        </is>
      </c>
      <c r="HR10" s="1" t="inlineStr">
        <is>
          <t>view</t>
        </is>
      </c>
      <c r="HS10" s="1" t="inlineStr">
        <is>
          <t>percent_25</t>
        </is>
      </c>
      <c r="HT10" s="1" t="inlineStr">
        <is>
          <t>percent_50</t>
        </is>
      </c>
      <c r="HU10" s="1" t="inlineStr">
        <is>
          <t>percent_75</t>
        </is>
      </c>
      <c r="HV10" s="1" t="inlineStr">
        <is>
          <t>percent_100</t>
        </is>
      </c>
      <c r="HW10" s="1" t="inlineStr">
        <is>
          <t>CTR</t>
        </is>
      </c>
      <c r="HX10" s="1" t="inlineStr">
        <is>
          <t>Spent Budget %</t>
        </is>
      </c>
      <c r="HY10" s="1" t="inlineStr">
        <is>
          <t>CPC</t>
        </is>
      </c>
      <c r="HZ10" s="1" t="inlineStr">
        <is>
          <t>CPV</t>
        </is>
      </c>
      <c r="IA10" s="1" t="inlineStr">
        <is>
          <t>date</t>
        </is>
      </c>
      <c r="IB10" s="1" t="inlineStr">
        <is>
          <t>budget</t>
        </is>
      </c>
      <c r="IC10" s="1" t="inlineStr">
        <is>
          <t>impressions</t>
        </is>
      </c>
      <c r="ID10" s="1" t="inlineStr">
        <is>
          <t>clicks</t>
        </is>
      </c>
      <c r="IE10" s="1" t="inlineStr">
        <is>
          <t>view</t>
        </is>
      </c>
      <c r="IF10" s="1" t="inlineStr">
        <is>
          <t>percent_25</t>
        </is>
      </c>
      <c r="IG10" s="1" t="inlineStr">
        <is>
          <t>percent_50</t>
        </is>
      </c>
      <c r="IH10" s="1" t="inlineStr">
        <is>
          <t>percent_75</t>
        </is>
      </c>
      <c r="II10" s="1" t="inlineStr">
        <is>
          <t>percent_100</t>
        </is>
      </c>
      <c r="IJ10" s="1" t="inlineStr">
        <is>
          <t>CTR</t>
        </is>
      </c>
      <c r="IK10" s="1" t="inlineStr">
        <is>
          <t>Spent Budget %</t>
        </is>
      </c>
      <c r="IL10" s="1" t="inlineStr">
        <is>
          <t>CPC</t>
        </is>
      </c>
      <c r="IM10" s="1" t="inlineStr">
        <is>
          <t>CPV</t>
        </is>
      </c>
      <c r="IN10" s="1" t="inlineStr">
        <is>
          <t>date</t>
        </is>
      </c>
      <c r="IO10" s="1" t="inlineStr">
        <is>
          <t>budget</t>
        </is>
      </c>
      <c r="IP10" s="1" t="inlineStr">
        <is>
          <t>impressions</t>
        </is>
      </c>
      <c r="IQ10" s="1" t="inlineStr">
        <is>
          <t>clicks</t>
        </is>
      </c>
      <c r="IR10" s="1" t="inlineStr">
        <is>
          <t>view</t>
        </is>
      </c>
      <c r="IS10" s="1" t="inlineStr">
        <is>
          <t>percent_25</t>
        </is>
      </c>
      <c r="IT10" s="1" t="inlineStr">
        <is>
          <t>percent_50</t>
        </is>
      </c>
      <c r="IU10" s="1" t="inlineStr">
        <is>
          <t>percent_75</t>
        </is>
      </c>
      <c r="IV10" s="1" t="inlineStr">
        <is>
          <t>percent_100</t>
        </is>
      </c>
      <c r="IW10" s="1" t="inlineStr">
        <is>
          <t>CTR</t>
        </is>
      </c>
      <c r="IX10" s="1" t="inlineStr">
        <is>
          <t>Spent Budget %</t>
        </is>
      </c>
      <c r="IY10" s="1" t="inlineStr">
        <is>
          <t>CPC</t>
        </is>
      </c>
      <c r="IZ10" s="1" t="inlineStr">
        <is>
          <t>CPV</t>
        </is>
      </c>
      <c r="JA10" s="1" t="inlineStr">
        <is>
          <t>date</t>
        </is>
      </c>
      <c r="JB10" s="1" t="inlineStr">
        <is>
          <t>budget</t>
        </is>
      </c>
      <c r="JC10" s="1" t="inlineStr">
        <is>
          <t>impressions</t>
        </is>
      </c>
      <c r="JD10" s="1" t="inlineStr">
        <is>
          <t>clicks</t>
        </is>
      </c>
      <c r="JE10" s="1" t="inlineStr">
        <is>
          <t>view</t>
        </is>
      </c>
      <c r="JF10" s="1" t="inlineStr">
        <is>
          <t>percent_25</t>
        </is>
      </c>
      <c r="JG10" s="1" t="inlineStr">
        <is>
          <t>percent_50</t>
        </is>
      </c>
      <c r="JH10" s="1" t="inlineStr">
        <is>
          <t>percent_75</t>
        </is>
      </c>
      <c r="JI10" s="1" t="inlineStr">
        <is>
          <t>percent_100</t>
        </is>
      </c>
      <c r="JJ10" s="1" t="inlineStr">
        <is>
          <t>CTR</t>
        </is>
      </c>
      <c r="JK10" s="1" t="inlineStr">
        <is>
          <t>Spent Budget %</t>
        </is>
      </c>
      <c r="JL10" s="1" t="inlineStr">
        <is>
          <t>CPC</t>
        </is>
      </c>
      <c r="JM10" s="1" t="inlineStr">
        <is>
          <t>CPV</t>
        </is>
      </c>
    </row>
    <row r="11">
      <c r="A11" s="2" t="inlineStr">
        <is>
          <t>2023-09-20</t>
        </is>
      </c>
      <c r="B11" s="5">
        <f>ROUND(19.990000000000002,2)</f>
        <v/>
      </c>
      <c r="C11" s="3">
        <f>ROUND(31829.0,2)</f>
        <v/>
      </c>
      <c r="D11" s="3">
        <f>ROUND(2783.0,2)</f>
        <v/>
      </c>
      <c r="E11" s="3">
        <f>ROUND(15103.0,2)</f>
        <v/>
      </c>
      <c r="F11" s="3">
        <f>ROUND(14111.0,2)</f>
        <v/>
      </c>
      <c r="G11" s="3">
        <f>ROUND(6354.0,2)</f>
        <v/>
      </c>
      <c r="H11" s="3">
        <f>ROUND(4313.0,2)</f>
        <v/>
      </c>
      <c r="I11" s="3">
        <f>ROUND(2014.0,2)</f>
        <v/>
      </c>
      <c r="J11" s="4">
        <f>IFERROR((D11/C11),0)</f>
        <v/>
      </c>
      <c r="K11" s="4">
        <f>IFERROR(((0+B11)/T2),0)</f>
        <v/>
      </c>
      <c r="L11" s="5">
        <f>IFERROR(ROUND(B11/D11,2),0)</f>
        <v/>
      </c>
      <c r="M11" s="5">
        <f>IFERROR(ROUND(B11/E11,2),0)</f>
        <v/>
      </c>
      <c r="N11" s="2" t="inlineStr">
        <is>
          <t>2023-09-20</t>
        </is>
      </c>
      <c r="O11" s="5">
        <f>ROUND(0.4,2)</f>
        <v/>
      </c>
      <c r="P11" s="3">
        <f>ROUND(543.0,2)</f>
        <v/>
      </c>
      <c r="Q11" s="3">
        <f>ROUND(56.0,2)</f>
        <v/>
      </c>
      <c r="R11" s="3">
        <f>ROUND(226.0,2)</f>
        <v/>
      </c>
      <c r="S11" s="3">
        <f>ROUND(211.0,2)</f>
        <v/>
      </c>
      <c r="T11" s="3">
        <f>ROUND(80.0,2)</f>
        <v/>
      </c>
      <c r="U11" s="3">
        <f>ROUND(55.0,2)</f>
        <v/>
      </c>
      <c r="V11" s="3">
        <f>ROUND(4.0,2)</f>
        <v/>
      </c>
      <c r="W11" s="4">
        <f>IFERROR((Q11/P11),0)</f>
        <v/>
      </c>
      <c r="X11" s="4">
        <f>IFERROR(((0+O11)/T2),0)</f>
        <v/>
      </c>
      <c r="Y11" s="5">
        <f>IFERROR(ROUND(O11/Q11,2),0)</f>
        <v/>
      </c>
      <c r="Z11" s="5">
        <f>IFERROR(ROUND(O11/R11,2),0)</f>
        <v/>
      </c>
      <c r="AA11" s="2" t="inlineStr">
        <is>
          <t>2023-09-20</t>
        </is>
      </c>
      <c r="AB11" s="5">
        <f>ROUND(0.55,2)</f>
        <v/>
      </c>
      <c r="AC11" s="3">
        <f>ROUND(766.0,2)</f>
        <v/>
      </c>
      <c r="AD11" s="3">
        <f>ROUND(87.0,2)</f>
        <v/>
      </c>
      <c r="AE11" s="3">
        <f>ROUND(489.0,2)</f>
        <v/>
      </c>
      <c r="AF11" s="3">
        <f>ROUND(469.0,2)</f>
        <v/>
      </c>
      <c r="AG11" s="3">
        <f>ROUND(182.0,2)</f>
        <v/>
      </c>
      <c r="AH11" s="3">
        <f>ROUND(144.0,2)</f>
        <v/>
      </c>
      <c r="AI11" s="3">
        <f>ROUND(7.0,2)</f>
        <v/>
      </c>
      <c r="AJ11" s="4">
        <f>IFERROR((AD11/AC11),0)</f>
        <v/>
      </c>
      <c r="AK11" s="4">
        <f>IFERROR(((0+AB11)/T2),0)</f>
        <v/>
      </c>
      <c r="AL11" s="5">
        <f>IFERROR(ROUND(AB11/AD11,2),0)</f>
        <v/>
      </c>
      <c r="AM11" s="5">
        <f>IFERROR(ROUND(AB11/AE11,2),0)</f>
        <v/>
      </c>
      <c r="AN11" s="2" t="inlineStr">
        <is>
          <t>2023-09-20</t>
        </is>
      </c>
      <c r="AO11" s="5">
        <f>ROUND(0.02,2)</f>
        <v/>
      </c>
      <c r="AP11" s="3">
        <f>ROUND(87.0,2)</f>
        <v/>
      </c>
      <c r="AQ11" s="3">
        <f>ROUND(10.0,2)</f>
        <v/>
      </c>
      <c r="AR11" s="3">
        <f>ROUND(43.0,2)</f>
        <v/>
      </c>
      <c r="AS11" s="3">
        <f>ROUND(40.0,2)</f>
        <v/>
      </c>
      <c r="AT11" s="3">
        <f>ROUND(21.0,2)</f>
        <v/>
      </c>
      <c r="AU11" s="3">
        <f>ROUND(15.0,2)</f>
        <v/>
      </c>
      <c r="AV11" s="3">
        <f>ROUND(14.0,2)</f>
        <v/>
      </c>
      <c r="AW11" s="4">
        <f>IFERROR((AQ11/AP11),0)</f>
        <v/>
      </c>
      <c r="AX11" s="4">
        <f>IFERROR(((0+AO11)/T2),0)</f>
        <v/>
      </c>
      <c r="AY11" s="5">
        <f>IFERROR(ROUND(AO11/AQ11,2),0)</f>
        <v/>
      </c>
      <c r="AZ11" s="5">
        <f>IFERROR(ROUND(AO11/AR11,2),0)</f>
        <v/>
      </c>
      <c r="BA11" s="2" t="inlineStr">
        <is>
          <t>2023-09-20</t>
        </is>
      </c>
      <c r="BB11" s="5">
        <f>ROUND(2.06,2)</f>
        <v/>
      </c>
      <c r="BC11" s="3">
        <f>ROUND(5649.0,2)</f>
        <v/>
      </c>
      <c r="BD11" s="3">
        <f>ROUND(415.0,2)</f>
        <v/>
      </c>
      <c r="BE11" s="3">
        <f>ROUND(1261.0,2)</f>
        <v/>
      </c>
      <c r="BF11" s="3">
        <f>ROUND(1008.0,2)</f>
        <v/>
      </c>
      <c r="BG11" s="3">
        <f>ROUND(476.0,2)</f>
        <v/>
      </c>
      <c r="BH11" s="3">
        <f>ROUND(293.0,2)</f>
        <v/>
      </c>
      <c r="BI11" s="3">
        <f>ROUND(107.0,2)</f>
        <v/>
      </c>
      <c r="BJ11" s="4">
        <f>IFERROR((BD11/BC11),0)</f>
        <v/>
      </c>
      <c r="BK11" s="4">
        <f>IFERROR(((0+BB11)/T2),0)</f>
        <v/>
      </c>
      <c r="BL11" s="5">
        <f>IFERROR(ROUND(BB11/BD11,2),0)</f>
        <v/>
      </c>
      <c r="BM11" s="5">
        <f>IFERROR(ROUND(BB11/BE11,2),0)</f>
        <v/>
      </c>
      <c r="BN11" s="2" t="inlineStr">
        <is>
          <t>2023-09-20</t>
        </is>
      </c>
      <c r="BO11" s="5">
        <f>ROUND(1.32,2)</f>
        <v/>
      </c>
      <c r="BP11" s="3">
        <f>ROUND(3049.0,2)</f>
        <v/>
      </c>
      <c r="BQ11" s="3">
        <f>ROUND(226.0,2)</f>
        <v/>
      </c>
      <c r="BR11" s="3">
        <f>ROUND(1120.0,2)</f>
        <v/>
      </c>
      <c r="BS11" s="3">
        <f>ROUND(1019.0,2)</f>
        <v/>
      </c>
      <c r="BT11" s="3">
        <f>ROUND(644.0,2)</f>
        <v/>
      </c>
      <c r="BU11" s="3">
        <f>ROUND(526.0,2)</f>
        <v/>
      </c>
      <c r="BV11" s="3">
        <f>ROUND(365.0,2)</f>
        <v/>
      </c>
      <c r="BW11" s="4">
        <f>IFERROR((BQ11/BP11),0)</f>
        <v/>
      </c>
      <c r="BX11" s="4">
        <f>IFERROR(((0+BO11)/T2),0)</f>
        <v/>
      </c>
      <c r="BY11" s="5">
        <f>IFERROR(ROUND(BO11/BQ11,2),0)</f>
        <v/>
      </c>
      <c r="BZ11" s="5">
        <f>IFERROR(ROUND(BO11/BR11,2),0)</f>
        <v/>
      </c>
      <c r="CA11" s="2" t="inlineStr">
        <is>
          <t>2023-09-20</t>
        </is>
      </c>
      <c r="CB11" s="5">
        <f>ROUND(1.3,2)</f>
        <v/>
      </c>
      <c r="CC11" s="3">
        <f>ROUND(1510.0,2)</f>
        <v/>
      </c>
      <c r="CD11" s="3">
        <f>ROUND(190.0,2)</f>
        <v/>
      </c>
      <c r="CE11" s="3">
        <f>ROUND(945.0,2)</f>
        <v/>
      </c>
      <c r="CF11" s="3">
        <f>ROUND(892.0,2)</f>
        <v/>
      </c>
      <c r="CG11" s="3">
        <f>ROUND(377.0,2)</f>
        <v/>
      </c>
      <c r="CH11" s="3">
        <f>ROUND(270.0,2)</f>
        <v/>
      </c>
      <c r="CI11" s="3">
        <f>ROUND(27.0,2)</f>
        <v/>
      </c>
      <c r="CJ11" s="4">
        <f>IFERROR((CD11/CC11),0)</f>
        <v/>
      </c>
      <c r="CK11" s="4">
        <f>IFERROR(((0+CB11)/T2),0)</f>
        <v/>
      </c>
      <c r="CL11" s="5">
        <f>IFERROR(ROUND(CB11/CD11,2),0)</f>
        <v/>
      </c>
      <c r="CM11" s="5">
        <f>IFERROR(ROUND(CB11/CE11,2),0)</f>
        <v/>
      </c>
      <c r="CN11" s="2" t="inlineStr">
        <is>
          <t>2023-09-20</t>
        </is>
      </c>
      <c r="CO11" s="5">
        <f>ROUND(6.63,2)</f>
        <v/>
      </c>
      <c r="CP11" s="3">
        <f>ROUND(9553.0,2)</f>
        <v/>
      </c>
      <c r="CQ11" s="3">
        <f>ROUND(907.0,2)</f>
        <v/>
      </c>
      <c r="CR11" s="3">
        <f>ROUND(6951.0,2)</f>
        <v/>
      </c>
      <c r="CS11" s="3">
        <f>ROUND(6793.0,2)</f>
        <v/>
      </c>
      <c r="CT11" s="3">
        <f>ROUND(2759.0,2)</f>
        <v/>
      </c>
      <c r="CU11" s="3">
        <f>ROUND(1669.0,2)</f>
        <v/>
      </c>
      <c r="CV11" s="3">
        <f>ROUND(1197.0,2)</f>
        <v/>
      </c>
      <c r="CW11" s="4">
        <f>IFERROR((CQ11/CP11),0)</f>
        <v/>
      </c>
      <c r="CX11" s="4">
        <f>IFERROR(((0+CO11)/T2),0)</f>
        <v/>
      </c>
      <c r="CY11" s="5">
        <f>IFERROR(ROUND(CO11/CQ11,2),0)</f>
        <v/>
      </c>
      <c r="CZ11" s="5">
        <f>IFERROR(ROUND(CO11/CR11,2),0)</f>
        <v/>
      </c>
      <c r="DA11" s="2" t="inlineStr">
        <is>
          <t>2023-09-20</t>
        </is>
      </c>
      <c r="DB11" s="5">
        <f>ROUND(0.41,2)</f>
        <v/>
      </c>
      <c r="DC11" s="3">
        <f>ROUND(621.0,2)</f>
        <v/>
      </c>
      <c r="DD11" s="3">
        <f>ROUND(77.0,2)</f>
        <v/>
      </c>
      <c r="DE11" s="3">
        <f>ROUND(321.0,2)</f>
        <v/>
      </c>
      <c r="DF11" s="3">
        <f>ROUND(288.0,2)</f>
        <v/>
      </c>
      <c r="DG11" s="3">
        <f>ROUND(121.0,2)</f>
        <v/>
      </c>
      <c r="DH11" s="3">
        <f>ROUND(24.0,2)</f>
        <v/>
      </c>
      <c r="DI11" s="3">
        <f>ROUND(4.0,2)</f>
        <v/>
      </c>
      <c r="DJ11" s="4">
        <f>IFERROR((DD11/DC11),0)</f>
        <v/>
      </c>
      <c r="DK11" s="4">
        <f>IFERROR(((0+DB11)/T2),0)</f>
        <v/>
      </c>
      <c r="DL11" s="5">
        <f>IFERROR(ROUND(DB11/DD11,2),0)</f>
        <v/>
      </c>
      <c r="DM11" s="5">
        <f>IFERROR(ROUND(DB11/DE11,2),0)</f>
        <v/>
      </c>
      <c r="DN11" s="2" t="inlineStr">
        <is>
          <t>2023-09-20</t>
        </is>
      </c>
      <c r="DO11" s="5">
        <f>ROUND(0.34,2)</f>
        <v/>
      </c>
      <c r="DP11" s="3">
        <f>ROUND(771.0,2)</f>
        <v/>
      </c>
      <c r="DQ11" s="3">
        <f>ROUND(83.0,2)</f>
        <v/>
      </c>
      <c r="DR11" s="3">
        <f>ROUND(275.0,2)</f>
        <v/>
      </c>
      <c r="DS11" s="3">
        <f>ROUND(248.0,2)</f>
        <v/>
      </c>
      <c r="DT11" s="3">
        <f>ROUND(108.0,2)</f>
        <v/>
      </c>
      <c r="DU11" s="3">
        <f>ROUND(66.0,2)</f>
        <v/>
      </c>
      <c r="DV11" s="3">
        <f>ROUND(14.0,2)</f>
        <v/>
      </c>
      <c r="DW11" s="4">
        <f>IFERROR((DQ11/DP11),0)</f>
        <v/>
      </c>
      <c r="DX11" s="4">
        <f>IFERROR(((0+DO11)/T2),0)</f>
        <v/>
      </c>
      <c r="DY11" s="5">
        <f>IFERROR(ROUND(DO11/DQ11,2),0)</f>
        <v/>
      </c>
      <c r="DZ11" s="5">
        <f>IFERROR(ROUND(DO11/DR11,2),0)</f>
        <v/>
      </c>
      <c r="EA11" s="2" t="inlineStr">
        <is>
          <t>2023-09-20</t>
        </is>
      </c>
      <c r="EB11" s="5">
        <f>ROUND(0.62,2)</f>
        <v/>
      </c>
      <c r="EC11" s="3">
        <f>ROUND(1076.0,2)</f>
        <v/>
      </c>
      <c r="ED11" s="3">
        <f>ROUND(101.0,2)</f>
        <v/>
      </c>
      <c r="EE11" s="3">
        <f>ROUND(432.0,2)</f>
        <v/>
      </c>
      <c r="EF11" s="3">
        <f>ROUND(370.0,2)</f>
        <v/>
      </c>
      <c r="EG11" s="3">
        <f>ROUND(149.0,2)</f>
        <v/>
      </c>
      <c r="EH11" s="3">
        <f>ROUND(123.0,2)</f>
        <v/>
      </c>
      <c r="EI11" s="3">
        <f>ROUND(9.0,2)</f>
        <v/>
      </c>
      <c r="EJ11" s="4">
        <f>IFERROR((ED11/EC11),0)</f>
        <v/>
      </c>
      <c r="EK11" s="4">
        <f>IFERROR(((0+EB11)/T2),0)</f>
        <v/>
      </c>
      <c r="EL11" s="5">
        <f>IFERROR(ROUND(EB11/ED11,2),0)</f>
        <v/>
      </c>
      <c r="EM11" s="5">
        <f>IFERROR(ROUND(EB11/EE11,2),0)</f>
        <v/>
      </c>
      <c r="EN11" s="2" t="inlineStr">
        <is>
          <t>2023-09-20</t>
        </is>
      </c>
      <c r="EO11" s="5">
        <f>ROUND(0.25,2)</f>
        <v/>
      </c>
      <c r="EP11" s="3">
        <f>ROUND(422.0,2)</f>
        <v/>
      </c>
      <c r="EQ11" s="3">
        <f>ROUND(35.0,2)</f>
        <v/>
      </c>
      <c r="ER11" s="3">
        <f>ROUND(85.0,2)</f>
        <v/>
      </c>
      <c r="ES11" s="3">
        <f>ROUND(78.0,2)</f>
        <v/>
      </c>
      <c r="ET11" s="3">
        <f>ROUND(34.0,2)</f>
        <v/>
      </c>
      <c r="EU11" s="3">
        <f>ROUND(6.0,2)</f>
        <v/>
      </c>
      <c r="EV11" s="3">
        <f>ROUND(1.0,2)</f>
        <v/>
      </c>
      <c r="EW11" s="4">
        <f>IFERROR((EQ11/EP11),0)</f>
        <v/>
      </c>
      <c r="EX11" s="4">
        <f>IFERROR(((0+EO11)/T2),0)</f>
        <v/>
      </c>
      <c r="EY11" s="5">
        <f>IFERROR(ROUND(EO11/EQ11,2),0)</f>
        <v/>
      </c>
      <c r="EZ11" s="5">
        <f>IFERROR(ROUND(EO11/ER11,2),0)</f>
        <v/>
      </c>
      <c r="FA11" s="2" t="inlineStr">
        <is>
          <t>2023-09-20</t>
        </is>
      </c>
      <c r="FB11" s="5">
        <f>ROUND(0.1,2)</f>
        <v/>
      </c>
      <c r="FC11" s="3">
        <f>ROUND(194.0,2)</f>
        <v/>
      </c>
      <c r="FD11" s="3">
        <f>ROUND(26.0,2)</f>
        <v/>
      </c>
      <c r="FE11" s="3">
        <f>ROUND(82.0,2)</f>
        <v/>
      </c>
      <c r="FF11" s="3">
        <f>ROUND(77.0,2)</f>
        <v/>
      </c>
      <c r="FG11" s="3">
        <f>ROUND(30.0,2)</f>
        <v/>
      </c>
      <c r="FH11" s="3">
        <f>ROUND(26.0,2)</f>
        <v/>
      </c>
      <c r="FI11" s="3">
        <f>ROUND(3.0,2)</f>
        <v/>
      </c>
      <c r="FJ11" s="4">
        <f>IFERROR((FD11/FC11),0)</f>
        <v/>
      </c>
      <c r="FK11" s="4">
        <f>IFERROR(((0+FB11)/T2),0)</f>
        <v/>
      </c>
      <c r="FL11" s="5">
        <f>IFERROR(ROUND(FB11/FD11,2),0)</f>
        <v/>
      </c>
      <c r="FM11" s="5">
        <f>IFERROR(ROUND(FB11/FE11,2),0)</f>
        <v/>
      </c>
      <c r="FN11" s="2" t="inlineStr">
        <is>
          <t>2023-09-20</t>
        </is>
      </c>
      <c r="FO11" s="5">
        <f>ROUND(0.0,2)</f>
        <v/>
      </c>
      <c r="FP11" s="3">
        <f>ROUND(22.0,2)</f>
        <v/>
      </c>
      <c r="FQ11" s="3">
        <f>ROUND(3.0,2)</f>
        <v/>
      </c>
      <c r="FR11" s="3">
        <f>ROUND(11.0,2)</f>
        <v/>
      </c>
      <c r="FS11" s="3">
        <f>ROUND(11.0,2)</f>
        <v/>
      </c>
      <c r="FT11" s="3">
        <f>ROUND(3.0,2)</f>
        <v/>
      </c>
      <c r="FU11" s="3">
        <f>ROUND(3.0,2)</f>
        <v/>
      </c>
      <c r="FV11" s="3">
        <f>ROUND(0.0,2)</f>
        <v/>
      </c>
      <c r="FW11" s="4">
        <f>IFERROR((FQ11/FP11),0)</f>
        <v/>
      </c>
      <c r="FX11" s="4">
        <f>IFERROR(((0+FO11)/T2),0)</f>
        <v/>
      </c>
      <c r="FY11" s="5">
        <f>IFERROR(ROUND(FO11/FQ11,2),0)</f>
        <v/>
      </c>
      <c r="FZ11" s="5">
        <f>IFERROR(ROUND(FO11/FR11,2),0)</f>
        <v/>
      </c>
      <c r="GA11" s="2" t="inlineStr">
        <is>
          <t>2023-09-20</t>
        </is>
      </c>
      <c r="GB11" s="5">
        <f>ROUND(0.83,2)</f>
        <v/>
      </c>
      <c r="GC11" s="3">
        <f>ROUND(957.0,2)</f>
        <v/>
      </c>
      <c r="GD11" s="3">
        <f>ROUND(80.0,2)</f>
        <v/>
      </c>
      <c r="GE11" s="3">
        <f>ROUND(416.0,2)</f>
        <v/>
      </c>
      <c r="GF11" s="3">
        <f>ROUND(381.0,2)</f>
        <v/>
      </c>
      <c r="GG11" s="3">
        <f>ROUND(217.0,2)</f>
        <v/>
      </c>
      <c r="GH11" s="3">
        <f>ROUND(157.0,2)</f>
        <v/>
      </c>
      <c r="GI11" s="3">
        <f>ROUND(27.0,2)</f>
        <v/>
      </c>
      <c r="GJ11" s="4">
        <f>IFERROR((GD11/GC11),0)</f>
        <v/>
      </c>
      <c r="GK11" s="4">
        <f>IFERROR(((0+GB11)/T2),0)</f>
        <v/>
      </c>
      <c r="GL11" s="5">
        <f>IFERROR(ROUND(GB11/GD11,2),0)</f>
        <v/>
      </c>
      <c r="GM11" s="5">
        <f>IFERROR(ROUND(GB11/GE11,2),0)</f>
        <v/>
      </c>
      <c r="GN11" s="2" t="inlineStr">
        <is>
          <t>2023-09-20</t>
        </is>
      </c>
      <c r="GO11" s="5">
        <f>ROUND(0.07,2)</f>
        <v/>
      </c>
      <c r="GP11" s="3">
        <f>ROUND(128.0,2)</f>
        <v/>
      </c>
      <c r="GQ11" s="3">
        <f>ROUND(11.0,2)</f>
        <v/>
      </c>
      <c r="GR11" s="3">
        <f>ROUND(36.0,2)</f>
        <v/>
      </c>
      <c r="GS11" s="3">
        <f>ROUND(32.0,2)</f>
        <v/>
      </c>
      <c r="GT11" s="3">
        <f>ROUND(18.0,2)</f>
        <v/>
      </c>
      <c r="GU11" s="3">
        <f>ROUND(14.0,2)</f>
        <v/>
      </c>
      <c r="GV11" s="3">
        <f>ROUND(11.0,2)</f>
        <v/>
      </c>
      <c r="GW11" s="4">
        <f>IFERROR((GQ11/GP11),0)</f>
        <v/>
      </c>
      <c r="GX11" s="4">
        <f>IFERROR(((0+GO11)/T2),0)</f>
        <v/>
      </c>
      <c r="GY11" s="5">
        <f>IFERROR(ROUND(GO11/GQ11,2),0)</f>
        <v/>
      </c>
      <c r="GZ11" s="5">
        <f>IFERROR(ROUND(GO11/GR11,2),0)</f>
        <v/>
      </c>
      <c r="HA11" s="2" t="inlineStr">
        <is>
          <t>2023-09-20</t>
        </is>
      </c>
      <c r="HB11" s="5">
        <f>ROUND(0.02,2)</f>
        <v/>
      </c>
      <c r="HC11" s="3">
        <f>ROUND(59.0,2)</f>
        <v/>
      </c>
      <c r="HD11" s="3">
        <f>ROUND(13.0,2)</f>
        <v/>
      </c>
      <c r="HE11" s="3">
        <f>ROUND(35.0,2)</f>
        <v/>
      </c>
      <c r="HF11" s="3">
        <f>ROUND(29.0,2)</f>
        <v/>
      </c>
      <c r="HG11" s="3">
        <f>ROUND(11.0,2)</f>
        <v/>
      </c>
      <c r="HH11" s="3">
        <f>ROUND(10.0,2)</f>
        <v/>
      </c>
      <c r="HI11" s="3">
        <f>ROUND(2.0,2)</f>
        <v/>
      </c>
      <c r="HJ11" s="4">
        <f>IFERROR((HD11/HC11),0)</f>
        <v/>
      </c>
      <c r="HK11" s="4">
        <f>IFERROR(((0+HB11)/T2),0)</f>
        <v/>
      </c>
      <c r="HL11" s="5">
        <f>IFERROR(ROUND(HB11/HD11,2),0)</f>
        <v/>
      </c>
      <c r="HM11" s="5">
        <f>IFERROR(ROUND(HB11/HE11,2),0)</f>
        <v/>
      </c>
      <c r="HN11" s="2" t="inlineStr">
        <is>
          <t>2023-09-20</t>
        </is>
      </c>
      <c r="HO11" s="5">
        <f>ROUND(0.29,2)</f>
        <v/>
      </c>
      <c r="HP11" s="3">
        <f>ROUND(310.0,2)</f>
        <v/>
      </c>
      <c r="HQ11" s="3">
        <f>ROUND(23.0,2)</f>
        <v/>
      </c>
      <c r="HR11" s="3">
        <f>ROUND(156.0,2)</f>
        <v/>
      </c>
      <c r="HS11" s="3">
        <f>ROUND(139.0,2)</f>
        <v/>
      </c>
      <c r="HT11" s="3">
        <f>ROUND(90.0,2)</f>
        <v/>
      </c>
      <c r="HU11" s="3">
        <f>ROUND(73.0,2)</f>
        <v/>
      </c>
      <c r="HV11" s="3">
        <f>ROUND(70.0,2)</f>
        <v/>
      </c>
      <c r="HW11" s="4">
        <f>IFERROR((HQ11/HP11),0)</f>
        <v/>
      </c>
      <c r="HX11" s="4">
        <f>IFERROR(((0+HO11)/T2),0)</f>
        <v/>
      </c>
      <c r="HY11" s="5">
        <f>IFERROR(ROUND(HO11/HQ11,2),0)</f>
        <v/>
      </c>
      <c r="HZ11" s="5">
        <f>IFERROR(ROUND(HO11/HR11,2),0)</f>
        <v/>
      </c>
      <c r="IA11" s="2" t="inlineStr">
        <is>
          <t>2023-09-20</t>
        </is>
      </c>
      <c r="IB11" s="5">
        <f>ROUND(1.31,2)</f>
        <v/>
      </c>
      <c r="IC11" s="3">
        <f>ROUND(1767.0,2)</f>
        <v/>
      </c>
      <c r="ID11" s="3">
        <f>ROUND(137.0,2)</f>
        <v/>
      </c>
      <c r="IE11" s="3">
        <f>ROUND(446.0,2)</f>
        <v/>
      </c>
      <c r="IF11" s="3">
        <f>ROUND(393.0,2)</f>
        <v/>
      </c>
      <c r="IG11" s="3">
        <f>ROUND(182.0,2)</f>
        <v/>
      </c>
      <c r="IH11" s="3">
        <f>ROUND(140.0,2)</f>
        <v/>
      </c>
      <c r="II11" s="3">
        <f>ROUND(39.0,2)</f>
        <v/>
      </c>
      <c r="IJ11" s="4">
        <f>IFERROR((ID11/IC11),0)</f>
        <v/>
      </c>
      <c r="IK11" s="4">
        <f>IFERROR(((0+IB11)/T2),0)</f>
        <v/>
      </c>
      <c r="IL11" s="5">
        <f>IFERROR(ROUND(IB11/ID11,2),0)</f>
        <v/>
      </c>
      <c r="IM11" s="5">
        <f>IFERROR(ROUND(IB11/IE11,2),0)</f>
        <v/>
      </c>
      <c r="IN11" s="2" t="inlineStr">
        <is>
          <t>2023-09-20</t>
        </is>
      </c>
      <c r="IO11" s="5">
        <f>ROUND(0.33,2)</f>
        <v/>
      </c>
      <c r="IP11" s="3">
        <f>ROUND(534.0,2)</f>
        <v/>
      </c>
      <c r="IQ11" s="3">
        <f>ROUND(48.0,2)</f>
        <v/>
      </c>
      <c r="IR11" s="3">
        <f>ROUND(143.0,2)</f>
        <v/>
      </c>
      <c r="IS11" s="3">
        <f>ROUND(137.0,2)</f>
        <v/>
      </c>
      <c r="IT11" s="3">
        <f>ROUND(101.0,2)</f>
        <v/>
      </c>
      <c r="IU11" s="3">
        <f>ROUND(82.0,2)</f>
        <v/>
      </c>
      <c r="IV11" s="3">
        <f>ROUND(62.0,2)</f>
        <v/>
      </c>
      <c r="IW11" s="4">
        <f>IFERROR((IQ11/IP11),0)</f>
        <v/>
      </c>
      <c r="IX11" s="4">
        <f>IFERROR(((0+IO11)/T2),0)</f>
        <v/>
      </c>
      <c r="IY11" s="5">
        <f>IFERROR(ROUND(IO11/IQ11,2),0)</f>
        <v/>
      </c>
      <c r="IZ11" s="5">
        <f>IFERROR(ROUND(IO11/IR11,2),0)</f>
        <v/>
      </c>
      <c r="JA11" s="2" t="inlineStr">
        <is>
          <t>2023-09-20</t>
        </is>
      </c>
      <c r="JB11" s="5">
        <f>ROUND(3.14,2)</f>
        <v/>
      </c>
      <c r="JC11" s="3">
        <f>ROUND(3811.0,2)</f>
        <v/>
      </c>
      <c r="JD11" s="3">
        <f>ROUND(255.0,2)</f>
        <v/>
      </c>
      <c r="JE11" s="3">
        <f>ROUND(1630.0,2)</f>
        <v/>
      </c>
      <c r="JF11" s="3">
        <f>ROUND(1496.0,2)</f>
        <v/>
      </c>
      <c r="JG11" s="3">
        <f>ROUND(751.0,2)</f>
        <v/>
      </c>
      <c r="JH11" s="3">
        <f>ROUND(617.0,2)</f>
        <v/>
      </c>
      <c r="JI11" s="3">
        <f>ROUND(51.0,2)</f>
        <v/>
      </c>
      <c r="JJ11" s="4">
        <f>IFERROR((JD11/JC11),0)</f>
        <v/>
      </c>
      <c r="JK11" s="4">
        <f>IFERROR(((0+JB11)/T2),0)</f>
        <v/>
      </c>
      <c r="JL11" s="5">
        <f>IFERROR(ROUND(JB11/JD11,2),0)</f>
        <v/>
      </c>
      <c r="JM11" s="5">
        <f>IFERROR(ROUND(JB11/JE11,2),0)</f>
        <v/>
      </c>
    </row>
    <row r="12">
      <c r="A12" s="2" t="inlineStr">
        <is>
          <t>2023-09-21</t>
        </is>
      </c>
      <c r="B12" s="5">
        <f>ROUND(31.740000000000002,2)</f>
        <v/>
      </c>
      <c r="C12" s="3">
        <f>ROUND(64886.0,2)</f>
        <v/>
      </c>
      <c r="D12" s="3">
        <f>ROUND(4209.0,2)</f>
        <v/>
      </c>
      <c r="E12" s="3">
        <f>ROUND(17246.0,2)</f>
        <v/>
      </c>
      <c r="F12" s="3">
        <f>ROUND(14657.0,2)</f>
        <v/>
      </c>
      <c r="G12" s="3">
        <f>ROUND(7324.0,2)</f>
        <v/>
      </c>
      <c r="H12" s="3">
        <f>ROUND(5295.0,2)</f>
        <v/>
      </c>
      <c r="I12" s="3">
        <f>ROUND(2611.0,2)</f>
        <v/>
      </c>
      <c r="J12" s="4">
        <f>IFERROR((D12/C12),0)</f>
        <v/>
      </c>
      <c r="K12" s="4">
        <f>IFERROR(((0+B11+B12)/T2),0)</f>
        <v/>
      </c>
      <c r="L12" s="5">
        <f>IFERROR(ROUND(B12/D12,2),0)</f>
        <v/>
      </c>
      <c r="M12" s="5">
        <f>IFERROR(ROUND(B12/E12,2),0)</f>
        <v/>
      </c>
      <c r="N12" s="2" t="inlineStr">
        <is>
          <t>2023-09-21</t>
        </is>
      </c>
      <c r="O12" s="5">
        <f>ROUND(0.27,2)</f>
        <v/>
      </c>
      <c r="P12" s="3">
        <f>ROUND(562.0,2)</f>
        <v/>
      </c>
      <c r="Q12" s="3">
        <f>ROUND(40.0,2)</f>
        <v/>
      </c>
      <c r="R12" s="3">
        <f>ROUND(79.0,2)</f>
        <v/>
      </c>
      <c r="S12" s="3">
        <f>ROUND(57.0,2)</f>
        <v/>
      </c>
      <c r="T12" s="3">
        <f>ROUND(19.0,2)</f>
        <v/>
      </c>
      <c r="U12" s="3">
        <f>ROUND(7.0,2)</f>
        <v/>
      </c>
      <c r="V12" s="3">
        <f>ROUND(7.0,2)</f>
        <v/>
      </c>
      <c r="W12" s="4">
        <f>IFERROR((Q12/P12),0)</f>
        <v/>
      </c>
      <c r="X12" s="4">
        <f>IFERROR(((0+O11+O12)/T2),0)</f>
        <v/>
      </c>
      <c r="Y12" s="5">
        <f>IFERROR(ROUND(O12/Q12,2),0)</f>
        <v/>
      </c>
      <c r="Z12" s="5">
        <f>IFERROR(ROUND(O12/R12,2),0)</f>
        <v/>
      </c>
      <c r="AA12" s="2" t="inlineStr">
        <is>
          <t>2023-09-21</t>
        </is>
      </c>
      <c r="AB12" s="5">
        <f>ROUND(2.29,2)</f>
        <v/>
      </c>
      <c r="AC12" s="3">
        <f>ROUND(3550.0,2)</f>
        <v/>
      </c>
      <c r="AD12" s="3">
        <f>ROUND(329.0,2)</f>
        <v/>
      </c>
      <c r="AE12" s="3">
        <f>ROUND(2237.0,2)</f>
        <v/>
      </c>
      <c r="AF12" s="3">
        <f>ROUND(2142.0,2)</f>
        <v/>
      </c>
      <c r="AG12" s="3">
        <f>ROUND(844.0,2)</f>
        <v/>
      </c>
      <c r="AH12" s="3">
        <f>ROUND(609.0,2)</f>
        <v/>
      </c>
      <c r="AI12" s="3">
        <f>ROUND(45.0,2)</f>
        <v/>
      </c>
      <c r="AJ12" s="4">
        <f>IFERROR((AD12/AC12),0)</f>
        <v/>
      </c>
      <c r="AK12" s="4">
        <f>IFERROR(((0+AB11+AB12)/T2),0)</f>
        <v/>
      </c>
      <c r="AL12" s="5">
        <f>IFERROR(ROUND(AB12/AD12,2),0)</f>
        <v/>
      </c>
      <c r="AM12" s="5">
        <f>IFERROR(ROUND(AB12/AE12,2),0)</f>
        <v/>
      </c>
      <c r="AN12" s="2" t="inlineStr">
        <is>
          <t>2023-09-21</t>
        </is>
      </c>
      <c r="AO12" s="5">
        <f>ROUND(0.01,2)</f>
        <v/>
      </c>
      <c r="AP12" s="3">
        <f>ROUND(49.0,2)</f>
        <v/>
      </c>
      <c r="AQ12" s="3">
        <f>ROUND(5.0,2)</f>
        <v/>
      </c>
      <c r="AR12" s="3">
        <f>ROUND(13.0,2)</f>
        <v/>
      </c>
      <c r="AS12" s="3">
        <f>ROUND(10.0,2)</f>
        <v/>
      </c>
      <c r="AT12" s="3">
        <f>ROUND(5.0,2)</f>
        <v/>
      </c>
      <c r="AU12" s="3">
        <f>ROUND(3.0,2)</f>
        <v/>
      </c>
      <c r="AV12" s="3">
        <f>ROUND(3.0,2)</f>
        <v/>
      </c>
      <c r="AW12" s="4">
        <f>IFERROR((AQ12/AP12),0)</f>
        <v/>
      </c>
      <c r="AX12" s="4">
        <f>IFERROR(((0+AO11+AO12)/T2),0)</f>
        <v/>
      </c>
      <c r="AY12" s="5">
        <f>IFERROR(ROUND(AO12/AQ12,2),0)</f>
        <v/>
      </c>
      <c r="AZ12" s="5">
        <f>IFERROR(ROUND(AO12/AR12,2),0)</f>
        <v/>
      </c>
      <c r="BA12" s="2" t="inlineStr">
        <is>
          <t>2023-09-21</t>
        </is>
      </c>
      <c r="BB12" s="5">
        <f>ROUND(7.13,2)</f>
        <v/>
      </c>
      <c r="BC12" s="3">
        <f>ROUND(18964.0,2)</f>
        <v/>
      </c>
      <c r="BD12" s="3">
        <f>ROUND(1123.0,2)</f>
        <v/>
      </c>
      <c r="BE12" s="3">
        <f>ROUND(4313.0,2)</f>
        <v/>
      </c>
      <c r="BF12" s="3">
        <f>ROUND(3321.0,2)</f>
        <v/>
      </c>
      <c r="BG12" s="3">
        <f>ROUND(1505.0,2)</f>
        <v/>
      </c>
      <c r="BH12" s="3">
        <f>ROUND(853.0,2)</f>
        <v/>
      </c>
      <c r="BI12" s="3">
        <f>ROUND(414.0,2)</f>
        <v/>
      </c>
      <c r="BJ12" s="4">
        <f>IFERROR((BD12/BC12),0)</f>
        <v/>
      </c>
      <c r="BK12" s="4">
        <f>IFERROR(((0+BB11+BB12)/T2),0)</f>
        <v/>
      </c>
      <c r="BL12" s="5">
        <f>IFERROR(ROUND(BB12/BD12,2),0)</f>
        <v/>
      </c>
      <c r="BM12" s="5">
        <f>IFERROR(ROUND(BB12/BE12,2),0)</f>
        <v/>
      </c>
      <c r="BN12" s="2" t="inlineStr">
        <is>
          <t>2023-09-21</t>
        </is>
      </c>
      <c r="BO12" s="5">
        <f>ROUND(6.41,2)</f>
        <v/>
      </c>
      <c r="BP12" s="3">
        <f>ROUND(15348.0,2)</f>
        <v/>
      </c>
      <c r="BQ12" s="3">
        <f>ROUND(904.0,2)</f>
        <v/>
      </c>
      <c r="BR12" s="3">
        <f>ROUND(4787.0,2)</f>
        <v/>
      </c>
      <c r="BS12" s="3">
        <f>ROUND(4214.0,2)</f>
        <v/>
      </c>
      <c r="BT12" s="3">
        <f>ROUND(2595.0,2)</f>
        <v/>
      </c>
      <c r="BU12" s="3">
        <f>ROUND(2124.0,2)</f>
        <v/>
      </c>
      <c r="BV12" s="3">
        <f>ROUND(1306.0,2)</f>
        <v/>
      </c>
      <c r="BW12" s="4">
        <f>IFERROR((BQ12/BP12),0)</f>
        <v/>
      </c>
      <c r="BX12" s="4">
        <f>IFERROR(((0+BO11+BO12)/T2),0)</f>
        <v/>
      </c>
      <c r="BY12" s="5">
        <f>IFERROR(ROUND(BO12/BQ12,2),0)</f>
        <v/>
      </c>
      <c r="BZ12" s="5">
        <f>IFERROR(ROUND(BO12/BR12,2),0)</f>
        <v/>
      </c>
      <c r="CA12" s="2" t="inlineStr">
        <is>
          <t>2023-09-21</t>
        </is>
      </c>
      <c r="CB12" s="5">
        <f>ROUND(0.61,2)</f>
        <v/>
      </c>
      <c r="CC12" s="3">
        <f>ROUND(1280.0,2)</f>
        <v/>
      </c>
      <c r="CD12" s="3">
        <f>ROUND(91.0,2)</f>
        <v/>
      </c>
      <c r="CE12" s="3">
        <f>ROUND(382.0,2)</f>
        <v/>
      </c>
      <c r="CF12" s="3">
        <f>ROUND(279.0,2)</f>
        <v/>
      </c>
      <c r="CG12" s="3">
        <f>ROUND(136.0,2)</f>
        <v/>
      </c>
      <c r="CH12" s="3">
        <f>ROUND(88.0,2)</f>
        <v/>
      </c>
      <c r="CI12" s="3">
        <f>ROUND(39.0,2)</f>
        <v/>
      </c>
      <c r="CJ12" s="4">
        <f>IFERROR((CD12/CC12),0)</f>
        <v/>
      </c>
      <c r="CK12" s="4">
        <f>IFERROR(((0+CB11+CB12)/T2),0)</f>
        <v/>
      </c>
      <c r="CL12" s="5">
        <f>IFERROR(ROUND(CB12/CD12,2),0)</f>
        <v/>
      </c>
      <c r="CM12" s="5">
        <f>IFERROR(ROUND(CB12/CE12,2),0)</f>
        <v/>
      </c>
      <c r="CN12" s="2" t="inlineStr">
        <is>
          <t>2023-09-21</t>
        </is>
      </c>
      <c r="CO12" s="5">
        <f>ROUND(0.98,2)</f>
        <v/>
      </c>
      <c r="CP12" s="3">
        <f>ROUND(1865.0,2)</f>
        <v/>
      </c>
      <c r="CQ12" s="3">
        <f>ROUND(103.0,2)</f>
        <v/>
      </c>
      <c r="CR12" s="3">
        <f>ROUND(771.0,2)</f>
        <v/>
      </c>
      <c r="CS12" s="3">
        <f>ROUND(721.0,2)</f>
        <v/>
      </c>
      <c r="CT12" s="3">
        <f>ROUND(305.0,2)</f>
        <v/>
      </c>
      <c r="CU12" s="3">
        <f>ROUND(175.0,2)</f>
        <v/>
      </c>
      <c r="CV12" s="3">
        <f>ROUND(120.0,2)</f>
        <v/>
      </c>
      <c r="CW12" s="4">
        <f>IFERROR((CQ12/CP12),0)</f>
        <v/>
      </c>
      <c r="CX12" s="4">
        <f>IFERROR(((0+CO11+CO12)/T2),0)</f>
        <v/>
      </c>
      <c r="CY12" s="5">
        <f>IFERROR(ROUND(CO12/CQ12,2),0)</f>
        <v/>
      </c>
      <c r="CZ12" s="5">
        <f>IFERROR(ROUND(CO12/CR12,2),0)</f>
        <v/>
      </c>
      <c r="DA12" s="2" t="inlineStr">
        <is>
          <t>2023-09-21</t>
        </is>
      </c>
      <c r="DB12" s="5">
        <f>ROUND(0.62,2)</f>
        <v/>
      </c>
      <c r="DC12" s="3">
        <f>ROUND(1760.0,2)</f>
        <v/>
      </c>
      <c r="DD12" s="3">
        <f>ROUND(109.0,2)</f>
        <v/>
      </c>
      <c r="DE12" s="3">
        <f>ROUND(375.0,2)</f>
        <v/>
      </c>
      <c r="DF12" s="3">
        <f>ROUND(205.0,2)</f>
        <v/>
      </c>
      <c r="DG12" s="3">
        <f>ROUND(85.0,2)</f>
        <v/>
      </c>
      <c r="DH12" s="3">
        <f>ROUND(46.0,2)</f>
        <v/>
      </c>
      <c r="DI12" s="3">
        <f>ROUND(21.0,2)</f>
        <v/>
      </c>
      <c r="DJ12" s="4">
        <f>IFERROR((DD12/DC12),0)</f>
        <v/>
      </c>
      <c r="DK12" s="4">
        <f>IFERROR(((0+DB11+DB12)/T2),0)</f>
        <v/>
      </c>
      <c r="DL12" s="5">
        <f>IFERROR(ROUND(DB12/DD12,2),0)</f>
        <v/>
      </c>
      <c r="DM12" s="5">
        <f>IFERROR(ROUND(DB12/DE12,2),0)</f>
        <v/>
      </c>
      <c r="DN12" s="2" t="inlineStr">
        <is>
          <t>2023-09-21</t>
        </is>
      </c>
      <c r="DO12" s="5">
        <f>ROUND(3.24,2)</f>
        <v/>
      </c>
      <c r="DP12" s="3">
        <f>ROUND(6180.0,2)</f>
        <v/>
      </c>
      <c r="DQ12" s="3">
        <f>ROUND(496.0,2)</f>
        <v/>
      </c>
      <c r="DR12" s="3">
        <f>ROUND(1320.0,2)</f>
        <v/>
      </c>
      <c r="DS12" s="3">
        <f>ROUND(1177.0,2)</f>
        <v/>
      </c>
      <c r="DT12" s="3">
        <f>ROUND(507.0,2)</f>
        <v/>
      </c>
      <c r="DU12" s="3">
        <f>ROUND(362.0,2)</f>
        <v/>
      </c>
      <c r="DV12" s="3">
        <f>ROUND(116.0,2)</f>
        <v/>
      </c>
      <c r="DW12" s="4">
        <f>IFERROR((DQ12/DP12),0)</f>
        <v/>
      </c>
      <c r="DX12" s="4">
        <f>IFERROR(((0+DO11+DO12)/T2),0)</f>
        <v/>
      </c>
      <c r="DY12" s="5">
        <f>IFERROR(ROUND(DO12/DQ12,2),0)</f>
        <v/>
      </c>
      <c r="DZ12" s="5">
        <f>IFERROR(ROUND(DO12/DR12,2),0)</f>
        <v/>
      </c>
      <c r="EA12" s="2" t="inlineStr">
        <is>
          <t>2023-09-21</t>
        </is>
      </c>
      <c r="EB12" s="5">
        <f>ROUND(0.24,2)</f>
        <v/>
      </c>
      <c r="EC12" s="3">
        <f>ROUND(464.0,2)</f>
        <v/>
      </c>
      <c r="ED12" s="3">
        <f>ROUND(24.0,2)</f>
        <v/>
      </c>
      <c r="EE12" s="3">
        <f>ROUND(71.0,2)</f>
        <v/>
      </c>
      <c r="EF12" s="3">
        <f>ROUND(52.0,2)</f>
        <v/>
      </c>
      <c r="EG12" s="3">
        <f>ROUND(22.0,2)</f>
        <v/>
      </c>
      <c r="EH12" s="3">
        <f>ROUND(16.0,2)</f>
        <v/>
      </c>
      <c r="EI12" s="3">
        <f>ROUND(9.0,2)</f>
        <v/>
      </c>
      <c r="EJ12" s="4">
        <f>IFERROR((ED12/EC12),0)</f>
        <v/>
      </c>
      <c r="EK12" s="4">
        <f>IFERROR(((0+EB11+EB12)/T2),0)</f>
        <v/>
      </c>
      <c r="EL12" s="5">
        <f>IFERROR(ROUND(EB12/ED12,2),0)</f>
        <v/>
      </c>
      <c r="EM12" s="5">
        <f>IFERROR(ROUND(EB12/EE12,2),0)</f>
        <v/>
      </c>
      <c r="EN12" s="2" t="inlineStr">
        <is>
          <t>2023-09-21</t>
        </is>
      </c>
      <c r="EO12" s="5">
        <f>ROUND(0.73,2)</f>
        <v/>
      </c>
      <c r="EP12" s="3">
        <f>ROUND(1239.0,2)</f>
        <v/>
      </c>
      <c r="EQ12" s="3">
        <f>ROUND(93.0,2)</f>
        <v/>
      </c>
      <c r="ER12" s="3">
        <f>ROUND(118.0,2)</f>
        <v/>
      </c>
      <c r="ES12" s="3">
        <f>ROUND(69.0,2)</f>
        <v/>
      </c>
      <c r="ET12" s="3">
        <f>ROUND(34.0,2)</f>
        <v/>
      </c>
      <c r="EU12" s="3">
        <f>ROUND(25.0,2)</f>
        <v/>
      </c>
      <c r="EV12" s="3">
        <f>ROUND(13.0,2)</f>
        <v/>
      </c>
      <c r="EW12" s="4">
        <f>IFERROR((EQ12/EP12),0)</f>
        <v/>
      </c>
      <c r="EX12" s="4">
        <f>IFERROR(((0+EO11+EO12)/T2),0)</f>
        <v/>
      </c>
      <c r="EY12" s="5">
        <f>IFERROR(ROUND(EO12/EQ12,2),0)</f>
        <v/>
      </c>
      <c r="EZ12" s="5">
        <f>IFERROR(ROUND(EO12/ER12,2),0)</f>
        <v/>
      </c>
      <c r="FA12" s="2" t="inlineStr">
        <is>
          <t>2023-09-21</t>
        </is>
      </c>
      <c r="FB12" s="5">
        <f>ROUND(2.09,2)</f>
        <v/>
      </c>
      <c r="FC12" s="3">
        <f>ROUND(3285.0,2)</f>
        <v/>
      </c>
      <c r="FD12" s="3">
        <f>ROUND(221.0,2)</f>
        <v/>
      </c>
      <c r="FE12" s="3">
        <f>ROUND(576.0,2)</f>
        <v/>
      </c>
      <c r="FF12" s="3">
        <f>ROUND(504.0,2)</f>
        <v/>
      </c>
      <c r="FG12" s="3">
        <f>ROUND(247.0,2)</f>
        <v/>
      </c>
      <c r="FH12" s="3">
        <f>ROUND(176.0,2)</f>
        <v/>
      </c>
      <c r="FI12" s="3">
        <f>ROUND(63.0,2)</f>
        <v/>
      </c>
      <c r="FJ12" s="4">
        <f>IFERROR((FD12/FC12),0)</f>
        <v/>
      </c>
      <c r="FK12" s="4">
        <f>IFERROR(((0+FB11+FB12)/T2),0)</f>
        <v/>
      </c>
      <c r="FL12" s="5">
        <f>IFERROR(ROUND(FB12/FD12,2),0)</f>
        <v/>
      </c>
      <c r="FM12" s="5">
        <f>IFERROR(ROUND(FB12/FE12,2),0)</f>
        <v/>
      </c>
      <c r="FN12" s="2" t="inlineStr">
        <is>
          <t>2023-09-21</t>
        </is>
      </c>
      <c r="FO12" s="5">
        <f>ROUND(0.02,2)</f>
        <v/>
      </c>
      <c r="FP12" s="3">
        <f>ROUND(33.0,2)</f>
        <v/>
      </c>
      <c r="FQ12" s="3">
        <f>ROUND(1.0,2)</f>
        <v/>
      </c>
      <c r="FR12" s="3">
        <f>ROUND(14.0,2)</f>
        <v/>
      </c>
      <c r="FS12" s="3">
        <f>ROUND(11.0,2)</f>
        <v/>
      </c>
      <c r="FT12" s="3">
        <f>ROUND(4.0,2)</f>
        <v/>
      </c>
      <c r="FU12" s="3">
        <f>ROUND(3.0,2)</f>
        <v/>
      </c>
      <c r="FV12" s="3">
        <f>ROUND(1.0,2)</f>
        <v/>
      </c>
      <c r="FW12" s="4">
        <f>IFERROR((FQ12/FP12),0)</f>
        <v/>
      </c>
      <c r="FX12" s="4">
        <f>IFERROR(((0+FO11+FO12)/T2),0)</f>
        <v/>
      </c>
      <c r="FY12" s="5">
        <f>IFERROR(ROUND(FO12/FQ12,2),0)</f>
        <v/>
      </c>
      <c r="FZ12" s="5">
        <f>IFERROR(ROUND(FO12/FR12,2),0)</f>
        <v/>
      </c>
      <c r="GA12" s="2" t="inlineStr">
        <is>
          <t>2023-09-21</t>
        </is>
      </c>
      <c r="GB12" s="5">
        <f>ROUND(0.21,2)</f>
        <v/>
      </c>
      <c r="GC12" s="3">
        <f>ROUND(328.0,2)</f>
        <v/>
      </c>
      <c r="GD12" s="3">
        <f>ROUND(22.0,2)</f>
        <v/>
      </c>
      <c r="GE12" s="3">
        <f>ROUND(71.0,2)</f>
        <v/>
      </c>
      <c r="GF12" s="3">
        <f>ROUND(60.0,2)</f>
        <v/>
      </c>
      <c r="GG12" s="3">
        <f>ROUND(25.0,2)</f>
        <v/>
      </c>
      <c r="GH12" s="3">
        <f>ROUND(20.0,2)</f>
        <v/>
      </c>
      <c r="GI12" s="3">
        <f>ROUND(8.0,2)</f>
        <v/>
      </c>
      <c r="GJ12" s="4">
        <f>IFERROR((GD12/GC12),0)</f>
        <v/>
      </c>
      <c r="GK12" s="4">
        <f>IFERROR(((0+GB11+GB12)/T2),0)</f>
        <v/>
      </c>
      <c r="GL12" s="5">
        <f>IFERROR(ROUND(GB12/GD12,2),0)</f>
        <v/>
      </c>
      <c r="GM12" s="5">
        <f>IFERROR(ROUND(GB12/GE12,2),0)</f>
        <v/>
      </c>
      <c r="GN12" s="2" t="inlineStr">
        <is>
          <t>2023-09-21</t>
        </is>
      </c>
      <c r="GO12" s="5">
        <f>ROUND(0.85,2)</f>
        <v/>
      </c>
      <c r="GP12" s="3">
        <f>ROUND(1246.0,2)</f>
        <v/>
      </c>
      <c r="GQ12" s="3">
        <f>ROUND(95.0,2)</f>
        <v/>
      </c>
      <c r="GR12" s="3">
        <f>ROUND(272.0,2)</f>
        <v/>
      </c>
      <c r="GS12" s="3">
        <f>ROUND(226.0,2)</f>
        <v/>
      </c>
      <c r="GT12" s="3">
        <f>ROUND(98.0,2)</f>
        <v/>
      </c>
      <c r="GU12" s="3">
        <f>ROUND(61.0,2)</f>
        <v/>
      </c>
      <c r="GV12" s="3">
        <f>ROUND(45.0,2)</f>
        <v/>
      </c>
      <c r="GW12" s="4">
        <f>IFERROR((GQ12/GP12),0)</f>
        <v/>
      </c>
      <c r="GX12" s="4">
        <f>IFERROR(((0+GO11+GO12)/T2),0)</f>
        <v/>
      </c>
      <c r="GY12" s="5">
        <f>IFERROR(ROUND(GO12/GQ12,2),0)</f>
        <v/>
      </c>
      <c r="GZ12" s="5">
        <f>IFERROR(ROUND(GO12/GR12,2),0)</f>
        <v/>
      </c>
      <c r="HA12" s="2" t="inlineStr">
        <is>
          <t>2023-09-21</t>
        </is>
      </c>
      <c r="HB12" s="5">
        <f>ROUND(0.56,2)</f>
        <v/>
      </c>
      <c r="HC12" s="3">
        <f>ROUND(450.0,2)</f>
        <v/>
      </c>
      <c r="HD12" s="3">
        <f>ROUND(38.0,2)</f>
        <v/>
      </c>
      <c r="HE12" s="3">
        <f>ROUND(276.0,2)</f>
        <v/>
      </c>
      <c r="HF12" s="3">
        <f>ROUND(249.0,2)</f>
        <v/>
      </c>
      <c r="HG12" s="3">
        <f>ROUND(108.0,2)</f>
        <v/>
      </c>
      <c r="HH12" s="3">
        <f>ROUND(92.0,2)</f>
        <v/>
      </c>
      <c r="HI12" s="3">
        <f>ROUND(3.0,2)</f>
        <v/>
      </c>
      <c r="HJ12" s="4">
        <f>IFERROR((HD12/HC12),0)</f>
        <v/>
      </c>
      <c r="HK12" s="4">
        <f>IFERROR(((0+HB11+HB12)/T2),0)</f>
        <v/>
      </c>
      <c r="HL12" s="5">
        <f>IFERROR(ROUND(HB12/HD12,2),0)</f>
        <v/>
      </c>
      <c r="HM12" s="5">
        <f>IFERROR(ROUND(HB12/HE12,2),0)</f>
        <v/>
      </c>
      <c r="HN12" s="2" t="inlineStr">
        <is>
          <t>2023-09-21</t>
        </is>
      </c>
      <c r="HO12" s="5">
        <f>ROUND(0.26,2)</f>
        <v/>
      </c>
      <c r="HP12" s="3">
        <f>ROUND(309.0,2)</f>
        <v/>
      </c>
      <c r="HQ12" s="3">
        <f>ROUND(20.0,2)</f>
        <v/>
      </c>
      <c r="HR12" s="3">
        <f>ROUND(134.0,2)</f>
        <v/>
      </c>
      <c r="HS12" s="3">
        <f>ROUND(127.0,2)</f>
        <v/>
      </c>
      <c r="HT12" s="3">
        <f>ROUND(75.0,2)</f>
        <v/>
      </c>
      <c r="HU12" s="3">
        <f>ROUND(66.0,2)</f>
        <v/>
      </c>
      <c r="HV12" s="3">
        <f>ROUND(62.0,2)</f>
        <v/>
      </c>
      <c r="HW12" s="4">
        <f>IFERROR((HQ12/HP12),0)</f>
        <v/>
      </c>
      <c r="HX12" s="4">
        <f>IFERROR(((0+HO11+HO12)/T2),0)</f>
        <v/>
      </c>
      <c r="HY12" s="5">
        <f>IFERROR(ROUND(HO12/HQ12,2),0)</f>
        <v/>
      </c>
      <c r="HZ12" s="5">
        <f>IFERROR(ROUND(HO12/HR12,2),0)</f>
        <v/>
      </c>
      <c r="IA12" s="2" t="inlineStr">
        <is>
          <t>2023-09-21</t>
        </is>
      </c>
      <c r="IB12" s="5">
        <f>ROUND(1.7,2)</f>
        <v/>
      </c>
      <c r="IC12" s="3">
        <f>ROUND(2658.0,2)</f>
        <v/>
      </c>
      <c r="ID12" s="3">
        <f>ROUND(158.0,2)</f>
        <v/>
      </c>
      <c r="IE12" s="3">
        <f>ROUND(492.0,2)</f>
        <v/>
      </c>
      <c r="IF12" s="3">
        <f>ROUND(379.0,2)</f>
        <v/>
      </c>
      <c r="IG12" s="3">
        <f>ROUND(167.0,2)</f>
        <v/>
      </c>
      <c r="IH12" s="3">
        <f>ROUND(116.0,2)</f>
        <v/>
      </c>
      <c r="II12" s="3">
        <f>ROUND(62.0,2)</f>
        <v/>
      </c>
      <c r="IJ12" s="4">
        <f>IFERROR((ID12/IC12),0)</f>
        <v/>
      </c>
      <c r="IK12" s="4">
        <f>IFERROR(((0+IB11+IB12)/T2),0)</f>
        <v/>
      </c>
      <c r="IL12" s="5">
        <f>IFERROR(ROUND(IB12/ID12,2),0)</f>
        <v/>
      </c>
      <c r="IM12" s="5">
        <f>IFERROR(ROUND(IB12/IE12,2),0)</f>
        <v/>
      </c>
      <c r="IN12" s="2" t="inlineStr">
        <is>
          <t>2023-09-21</t>
        </is>
      </c>
      <c r="IO12" s="5">
        <f>ROUND(2.84,2)</f>
        <v/>
      </c>
      <c r="IP12" s="3">
        <f>ROUND(4383.0,2)</f>
        <v/>
      </c>
      <c r="IQ12" s="3">
        <f>ROUND(283.0,2)</f>
        <v/>
      </c>
      <c r="IR12" s="3">
        <f>ROUND(584.0,2)</f>
        <v/>
      </c>
      <c r="IS12" s="3">
        <f>ROUND(527.0,2)</f>
        <v/>
      </c>
      <c r="IT12" s="3">
        <f>ROUND(376.0,2)</f>
        <v/>
      </c>
      <c r="IU12" s="3">
        <f>ROUND(323.0,2)</f>
        <v/>
      </c>
      <c r="IV12" s="3">
        <f>ROUND(263.0,2)</f>
        <v/>
      </c>
      <c r="IW12" s="4">
        <f>IFERROR((IQ12/IP12),0)</f>
        <v/>
      </c>
      <c r="IX12" s="4">
        <f>IFERROR(((0+IO11+IO12)/T2),0)</f>
        <v/>
      </c>
      <c r="IY12" s="5">
        <f>IFERROR(ROUND(IO12/IQ12,2),0)</f>
        <v/>
      </c>
      <c r="IZ12" s="5">
        <f>IFERROR(ROUND(IO12/IR12,2),0)</f>
        <v/>
      </c>
      <c r="JA12" s="2" t="inlineStr">
        <is>
          <t>2023-09-21</t>
        </is>
      </c>
      <c r="JB12" s="5">
        <f>ROUND(0.68,2)</f>
        <v/>
      </c>
      <c r="JC12" s="3">
        <f>ROUND(933.0,2)</f>
        <v/>
      </c>
      <c r="JD12" s="3">
        <f>ROUND(54.0,2)</f>
        <v/>
      </c>
      <c r="JE12" s="3">
        <f>ROUND(361.0,2)</f>
        <v/>
      </c>
      <c r="JF12" s="3">
        <f>ROUND(327.0,2)</f>
        <v/>
      </c>
      <c r="JG12" s="3">
        <f>ROUND(167.0,2)</f>
        <v/>
      </c>
      <c r="JH12" s="3">
        <f>ROUND(130.0,2)</f>
        <v/>
      </c>
      <c r="JI12" s="3">
        <f>ROUND(11.0,2)</f>
        <v/>
      </c>
      <c r="JJ12" s="4">
        <f>IFERROR((JD12/JC12),0)</f>
        <v/>
      </c>
      <c r="JK12" s="4">
        <f>IFERROR(((0+JB11+JB12)/T2),0)</f>
        <v/>
      </c>
      <c r="JL12" s="5">
        <f>IFERROR(ROUND(JB12/JD12,2),0)</f>
        <v/>
      </c>
      <c r="JM12" s="5">
        <f>IFERROR(ROUND(JB12/JE12,2),0)</f>
        <v/>
      </c>
    </row>
    <row r="13">
      <c r="A13" s="2" t="inlineStr">
        <is>
          <t>2023-09-22</t>
        </is>
      </c>
      <c r="B13" s="5">
        <f>ROUND(48.93,2)</f>
        <v/>
      </c>
      <c r="C13" s="3">
        <f>ROUND(113339.0,2)</f>
        <v/>
      </c>
      <c r="D13" s="3">
        <f>ROUND(6062.0,2)</f>
        <v/>
      </c>
      <c r="E13" s="3">
        <f>ROUND(25167.0,2)</f>
        <v/>
      </c>
      <c r="F13" s="3">
        <f>ROUND(20796.0,2)</f>
        <v/>
      </c>
      <c r="G13" s="3">
        <f>ROUND(11568.0,2)</f>
        <v/>
      </c>
      <c r="H13" s="3">
        <f>ROUND(8446.0,2)</f>
        <v/>
      </c>
      <c r="I13" s="3">
        <f>ROUND(5314.0,2)</f>
        <v/>
      </c>
      <c r="J13" s="4">
        <f>IFERROR((D13/C13),0)</f>
        <v/>
      </c>
      <c r="K13" s="4">
        <f>IFERROR(((0+B11+B12+B13)/T2),0)</f>
        <v/>
      </c>
      <c r="L13" s="5">
        <f>IFERROR(ROUND(B13/D13,2),0)</f>
        <v/>
      </c>
      <c r="M13" s="5">
        <f>IFERROR(ROUND(B13/E13,2),0)</f>
        <v/>
      </c>
      <c r="N13" s="2" t="inlineStr">
        <is>
          <t>2023-09-22</t>
        </is>
      </c>
      <c r="O13" s="5">
        <f>ROUND(0.42,2)</f>
        <v/>
      </c>
      <c r="P13" s="3">
        <f>ROUND(924.0,2)</f>
        <v/>
      </c>
      <c r="Q13" s="3">
        <f>ROUND(45.0,2)</f>
        <v/>
      </c>
      <c r="R13" s="3">
        <f>ROUND(116.0,2)</f>
        <v/>
      </c>
      <c r="S13" s="3">
        <f>ROUND(85.0,2)</f>
        <v/>
      </c>
      <c r="T13" s="3">
        <f>ROUND(39.0,2)</f>
        <v/>
      </c>
      <c r="U13" s="3">
        <f>ROUND(19.0,2)</f>
        <v/>
      </c>
      <c r="V13" s="3">
        <f>ROUND(12.0,2)</f>
        <v/>
      </c>
      <c r="W13" s="4">
        <f>IFERROR((Q13/P13),0)</f>
        <v/>
      </c>
      <c r="X13" s="4">
        <f>IFERROR(((0+O11+O12+O13)/T2),0)</f>
        <v/>
      </c>
      <c r="Y13" s="5">
        <f>IFERROR(ROUND(O13/Q13,2),0)</f>
        <v/>
      </c>
      <c r="Z13" s="5">
        <f>IFERROR(ROUND(O13/R13,2),0)</f>
        <v/>
      </c>
      <c r="AA13" s="2" t="inlineStr">
        <is>
          <t>2023-09-22</t>
        </is>
      </c>
      <c r="AB13" s="5">
        <f>ROUND(0.13,2)</f>
        <v/>
      </c>
      <c r="AC13" s="3">
        <f>ROUND(333.0,2)</f>
        <v/>
      </c>
      <c r="AD13" s="3">
        <f>ROUND(14.0,2)</f>
        <v/>
      </c>
      <c r="AE13" s="3">
        <f>ROUND(47.0,2)</f>
        <v/>
      </c>
      <c r="AF13" s="3">
        <f>ROUND(35.0,2)</f>
        <v/>
      </c>
      <c r="AG13" s="3">
        <f>ROUND(15.0,2)</f>
        <v/>
      </c>
      <c r="AH13" s="3">
        <f>ROUND(10.0,2)</f>
        <v/>
      </c>
      <c r="AI13" s="3">
        <f>ROUND(4.0,2)</f>
        <v/>
      </c>
      <c r="AJ13" s="4">
        <f>IFERROR((AD13/AC13),0)</f>
        <v/>
      </c>
      <c r="AK13" s="4">
        <f>IFERROR(((0+AB11+AB12+AB13)/T2),0)</f>
        <v/>
      </c>
      <c r="AL13" s="5">
        <f>IFERROR(ROUND(AB13/AD13,2),0)</f>
        <v/>
      </c>
      <c r="AM13" s="5">
        <f>IFERROR(ROUND(AB13/AE13,2),0)</f>
        <v/>
      </c>
      <c r="AN13" s="2" t="inlineStr">
        <is>
          <t>2023-09-22</t>
        </is>
      </c>
      <c r="AO13" s="5">
        <f>ROUND(0.03,2)</f>
        <v/>
      </c>
      <c r="AP13" s="3">
        <f>ROUND(92.0,2)</f>
        <v/>
      </c>
      <c r="AQ13" s="3">
        <f>ROUND(4.0,2)</f>
        <v/>
      </c>
      <c r="AR13" s="3">
        <f>ROUND(22.0,2)</f>
        <v/>
      </c>
      <c r="AS13" s="3">
        <f>ROUND(15.0,2)</f>
        <v/>
      </c>
      <c r="AT13" s="3">
        <f>ROUND(9.0,2)</f>
        <v/>
      </c>
      <c r="AU13" s="3">
        <f>ROUND(7.0,2)</f>
        <v/>
      </c>
      <c r="AV13" s="3">
        <f>ROUND(6.0,2)</f>
        <v/>
      </c>
      <c r="AW13" s="4">
        <f>IFERROR((AQ13/AP13),0)</f>
        <v/>
      </c>
      <c r="AX13" s="4">
        <f>IFERROR(((0+AO11+AO12+AO13)/T2),0)</f>
        <v/>
      </c>
      <c r="AY13" s="5">
        <f>IFERROR(ROUND(AO13/AQ13,2),0)</f>
        <v/>
      </c>
      <c r="AZ13" s="5">
        <f>IFERROR(ROUND(AO13/AR13,2),0)</f>
        <v/>
      </c>
      <c r="BA13" s="2" t="inlineStr">
        <is>
          <t>2023-09-22</t>
        </is>
      </c>
      <c r="BB13" s="5">
        <f>ROUND(12.06,2)</f>
        <v/>
      </c>
      <c r="BC13" s="3">
        <f>ROUND(34662.0,2)</f>
        <v/>
      </c>
      <c r="BD13" s="3">
        <f>ROUND(1774.0,2)</f>
        <v/>
      </c>
      <c r="BE13" s="3">
        <f>ROUND(7555.0,2)</f>
        <v/>
      </c>
      <c r="BF13" s="3">
        <f>ROUND(5828.0,2)</f>
        <v/>
      </c>
      <c r="BG13" s="3">
        <f>ROUND(2619.0,2)</f>
        <v/>
      </c>
      <c r="BH13" s="3">
        <f>ROUND(1490.0,2)</f>
        <v/>
      </c>
      <c r="BI13" s="3">
        <f>ROUND(739.0,2)</f>
        <v/>
      </c>
      <c r="BJ13" s="4">
        <f>IFERROR((BD13/BC13),0)</f>
        <v/>
      </c>
      <c r="BK13" s="4">
        <f>IFERROR(((0+BB11+BB12+BB13)/T2),0)</f>
        <v/>
      </c>
      <c r="BL13" s="5">
        <f>IFERROR(ROUND(BB13/BD13,2),0)</f>
        <v/>
      </c>
      <c r="BM13" s="5">
        <f>IFERROR(ROUND(BB13/BE13,2),0)</f>
        <v/>
      </c>
      <c r="BN13" s="2" t="inlineStr">
        <is>
          <t>2023-09-22</t>
        </is>
      </c>
      <c r="BO13" s="5">
        <f>ROUND(12.15,2)</f>
        <v/>
      </c>
      <c r="BP13" s="3">
        <f>ROUND(31561.0,2)</f>
        <v/>
      </c>
      <c r="BQ13" s="3">
        <f>ROUND(1510.0,2)</f>
        <v/>
      </c>
      <c r="BR13" s="3">
        <f>ROUND(9083.0,2)</f>
        <v/>
      </c>
      <c r="BS13" s="3">
        <f>ROUND(8003.0,2)</f>
        <v/>
      </c>
      <c r="BT13" s="3">
        <f>ROUND(4929.0,2)</f>
        <v/>
      </c>
      <c r="BU13" s="3">
        <f>ROUND(3994.0,2)</f>
        <v/>
      </c>
      <c r="BV13" s="3">
        <f>ROUND(2608.0,2)</f>
        <v/>
      </c>
      <c r="BW13" s="4">
        <f>IFERROR((BQ13/BP13),0)</f>
        <v/>
      </c>
      <c r="BX13" s="4">
        <f>IFERROR(((0+BO11+BO12+BO13)/T2),0)</f>
        <v/>
      </c>
      <c r="BY13" s="5">
        <f>IFERROR(ROUND(BO13/BQ13,2),0)</f>
        <v/>
      </c>
      <c r="BZ13" s="5">
        <f>IFERROR(ROUND(BO13/BR13,2),0)</f>
        <v/>
      </c>
      <c r="CA13" s="2" t="inlineStr">
        <is>
          <t>2023-09-22</t>
        </is>
      </c>
      <c r="CB13" s="5">
        <f>ROUND(1.01,2)</f>
        <v/>
      </c>
      <c r="CC13" s="3">
        <f>ROUND(2282.0,2)</f>
        <v/>
      </c>
      <c r="CD13" s="3">
        <f>ROUND(114.0,2)</f>
        <v/>
      </c>
      <c r="CE13" s="3">
        <f>ROUND(514.0,2)</f>
        <v/>
      </c>
      <c r="CF13" s="3">
        <f>ROUND(376.0,2)</f>
        <v/>
      </c>
      <c r="CG13" s="3">
        <f>ROUND(189.0,2)</f>
        <v/>
      </c>
      <c r="CH13" s="3">
        <f>ROUND(126.0,2)</f>
        <v/>
      </c>
      <c r="CI13" s="3">
        <f>ROUND(53.0,2)</f>
        <v/>
      </c>
      <c r="CJ13" s="4">
        <f>IFERROR((CD13/CC13),0)</f>
        <v/>
      </c>
      <c r="CK13" s="4">
        <f>IFERROR(((0+CB11+CB12+CB13)/T2),0)</f>
        <v/>
      </c>
      <c r="CL13" s="5">
        <f>IFERROR(ROUND(CB13/CD13,2),0)</f>
        <v/>
      </c>
      <c r="CM13" s="5">
        <f>IFERROR(ROUND(CB13/CE13,2),0)</f>
        <v/>
      </c>
      <c r="CN13" s="2" t="inlineStr">
        <is>
          <t>2023-09-22</t>
        </is>
      </c>
      <c r="CO13" s="5">
        <f>ROUND(1.54,2)</f>
        <v/>
      </c>
      <c r="CP13" s="3">
        <f>ROUND(2489.0,2)</f>
        <v/>
      </c>
      <c r="CQ13" s="3">
        <f>ROUND(156.0,2)</f>
        <v/>
      </c>
      <c r="CR13" s="3">
        <f>ROUND(1171.0,2)</f>
        <v/>
      </c>
      <c r="CS13" s="3">
        <f>ROUND(1089.0,2)</f>
        <v/>
      </c>
      <c r="CT13" s="3">
        <f>ROUND(471.0,2)</f>
        <v/>
      </c>
      <c r="CU13" s="3">
        <f>ROUND(290.0,2)</f>
        <v/>
      </c>
      <c r="CV13" s="3">
        <f>ROUND(183.0,2)</f>
        <v/>
      </c>
      <c r="CW13" s="4">
        <f>IFERROR((CQ13/CP13),0)</f>
        <v/>
      </c>
      <c r="CX13" s="4">
        <f>IFERROR(((0+CO11+CO12+CO13)/T2),0)</f>
        <v/>
      </c>
      <c r="CY13" s="5">
        <f>IFERROR(ROUND(CO13/CQ13,2),0)</f>
        <v/>
      </c>
      <c r="CZ13" s="5">
        <f>IFERROR(ROUND(CO13/CR13,2),0)</f>
        <v/>
      </c>
      <c r="DA13" s="2" t="inlineStr">
        <is>
          <t>2023-09-22</t>
        </is>
      </c>
      <c r="DB13" s="5">
        <f>ROUND(0.9,2)</f>
        <v/>
      </c>
      <c r="DC13" s="3">
        <f>ROUND(2507.0,2)</f>
        <v/>
      </c>
      <c r="DD13" s="3">
        <f>ROUND(145.0,2)</f>
        <v/>
      </c>
      <c r="DE13" s="3">
        <f>ROUND(427.0,2)</f>
        <v/>
      </c>
      <c r="DF13" s="3">
        <f>ROUND(228.0,2)</f>
        <v/>
      </c>
      <c r="DG13" s="3">
        <f>ROUND(84.0,2)</f>
        <v/>
      </c>
      <c r="DH13" s="3">
        <f>ROUND(48.0,2)</f>
        <v/>
      </c>
      <c r="DI13" s="3">
        <f>ROUND(22.0,2)</f>
        <v/>
      </c>
      <c r="DJ13" s="4">
        <f>IFERROR((DD13/DC13),0)</f>
        <v/>
      </c>
      <c r="DK13" s="4">
        <f>IFERROR(((0+DB11+DB12+DB13)/T2),0)</f>
        <v/>
      </c>
      <c r="DL13" s="5">
        <f>IFERROR(ROUND(DB13/DD13,2),0)</f>
        <v/>
      </c>
      <c r="DM13" s="5">
        <f>IFERROR(ROUND(DB13/DE13,2),0)</f>
        <v/>
      </c>
      <c r="DN13" s="2" t="inlineStr">
        <is>
          <t>2023-09-22</t>
        </is>
      </c>
      <c r="DO13" s="5">
        <f>ROUND(5.72,2)</f>
        <v/>
      </c>
      <c r="DP13" s="3">
        <f>ROUND(12004.0,2)</f>
        <v/>
      </c>
      <c r="DQ13" s="3">
        <f>ROUND(825.0,2)</f>
        <v/>
      </c>
      <c r="DR13" s="3">
        <f>ROUND(1349.0,2)</f>
        <v/>
      </c>
      <c r="DS13" s="3">
        <f>ROUND(1053.0,2)</f>
        <v/>
      </c>
      <c r="DT13" s="3">
        <f>ROUND(670.0,2)</f>
        <v/>
      </c>
      <c r="DU13" s="3">
        <f>ROUND(450.0,2)</f>
        <v/>
      </c>
      <c r="DV13" s="3">
        <f>ROUND(249.0,2)</f>
        <v/>
      </c>
      <c r="DW13" s="4">
        <f>IFERROR((DQ13/DP13),0)</f>
        <v/>
      </c>
      <c r="DX13" s="4">
        <f>IFERROR(((0+DO11+DO12+DO13)/T2),0)</f>
        <v/>
      </c>
      <c r="DY13" s="5">
        <f>IFERROR(ROUND(DO13/DQ13,2),0)</f>
        <v/>
      </c>
      <c r="DZ13" s="5">
        <f>IFERROR(ROUND(DO13/DR13,2),0)</f>
        <v/>
      </c>
      <c r="EA13" s="2" t="inlineStr">
        <is>
          <t>2023-09-22</t>
        </is>
      </c>
      <c r="EB13" s="5">
        <f>ROUND(0.69,2)</f>
        <v/>
      </c>
      <c r="EC13" s="3">
        <f>ROUND(1300.0,2)</f>
        <v/>
      </c>
      <c r="ED13" s="3">
        <f>ROUND(92.0,2)</f>
        <v/>
      </c>
      <c r="EE13" s="3">
        <f>ROUND(209.0,2)</f>
        <v/>
      </c>
      <c r="EF13" s="3">
        <f>ROUND(133.0,2)</f>
        <v/>
      </c>
      <c r="EG13" s="3">
        <f>ROUND(57.0,2)</f>
        <v/>
      </c>
      <c r="EH13" s="3">
        <f>ROUND(34.0,2)</f>
        <v/>
      </c>
      <c r="EI13" s="3">
        <f>ROUND(18.0,2)</f>
        <v/>
      </c>
      <c r="EJ13" s="4">
        <f>IFERROR((ED13/EC13),0)</f>
        <v/>
      </c>
      <c r="EK13" s="4">
        <f>IFERROR(((0+EB11+EB12+EB13)/T2),0)</f>
        <v/>
      </c>
      <c r="EL13" s="5">
        <f>IFERROR(ROUND(EB13/ED13,2),0)</f>
        <v/>
      </c>
      <c r="EM13" s="5">
        <f>IFERROR(ROUND(EB13/EE13,2),0)</f>
        <v/>
      </c>
      <c r="EN13" s="2" t="inlineStr">
        <is>
          <t>2023-09-22</t>
        </is>
      </c>
      <c r="EO13" s="5">
        <f>ROUND(0.99,2)</f>
        <v/>
      </c>
      <c r="EP13" s="3">
        <f>ROUND(1562.0,2)</f>
        <v/>
      </c>
      <c r="EQ13" s="3">
        <f>ROUND(108.0,2)</f>
        <v/>
      </c>
      <c r="ER13" s="3">
        <f>ROUND(136.0,2)</f>
        <v/>
      </c>
      <c r="ES13" s="3">
        <f>ROUND(70.0,2)</f>
        <v/>
      </c>
      <c r="ET13" s="3">
        <f>ROUND(28.0,2)</f>
        <v/>
      </c>
      <c r="EU13" s="3">
        <f>ROUND(21.0,2)</f>
        <v/>
      </c>
      <c r="EV13" s="3">
        <f>ROUND(12.0,2)</f>
        <v/>
      </c>
      <c r="EW13" s="4">
        <f>IFERROR((EQ13/EP13),0)</f>
        <v/>
      </c>
      <c r="EX13" s="4">
        <f>IFERROR(((0+EO11+EO12+EO13)/T2),0)</f>
        <v/>
      </c>
      <c r="EY13" s="5">
        <f>IFERROR(ROUND(EO13/EQ13,2),0)</f>
        <v/>
      </c>
      <c r="EZ13" s="5">
        <f>IFERROR(ROUND(EO13/ER13,2),0)</f>
        <v/>
      </c>
      <c r="FA13" s="2" t="inlineStr">
        <is>
          <t>2023-09-22</t>
        </is>
      </c>
      <c r="FB13" s="5">
        <f>ROUND(3.77,2)</f>
        <v/>
      </c>
      <c r="FC13" s="3">
        <f>ROUND(6234.0,2)</f>
        <v/>
      </c>
      <c r="FD13" s="3">
        <f>ROUND(404.0,2)</f>
        <v/>
      </c>
      <c r="FE13" s="3">
        <f>ROUND(480.0,2)</f>
        <v/>
      </c>
      <c r="FF13" s="3">
        <f>ROUND(365.0,2)</f>
        <v/>
      </c>
      <c r="FG13" s="3">
        <f>ROUND(208.0,2)</f>
        <v/>
      </c>
      <c r="FH13" s="3">
        <f>ROUND(128.0,2)</f>
        <v/>
      </c>
      <c r="FI13" s="3">
        <f>ROUND(78.0,2)</f>
        <v/>
      </c>
      <c r="FJ13" s="4">
        <f>IFERROR((FD13/FC13),0)</f>
        <v/>
      </c>
      <c r="FK13" s="4">
        <f>IFERROR(((0+FB11+FB12+FB13)/T2),0)</f>
        <v/>
      </c>
      <c r="FL13" s="5">
        <f>IFERROR(ROUND(FB13/FD13,2),0)</f>
        <v/>
      </c>
      <c r="FM13" s="5">
        <f>IFERROR(ROUND(FB13/FE13,2),0)</f>
        <v/>
      </c>
      <c r="FN13" s="2" t="inlineStr">
        <is>
          <t>2023-09-22</t>
        </is>
      </c>
      <c r="FO13" s="5">
        <f>ROUND(0.02,2)</f>
        <v/>
      </c>
      <c r="FP13" s="3">
        <f>ROUND(30.0,2)</f>
        <v/>
      </c>
      <c r="FQ13" s="3">
        <f>ROUND(3.0,2)</f>
        <v/>
      </c>
      <c r="FR13" s="3">
        <f>ROUND(5.0,2)</f>
        <v/>
      </c>
      <c r="FS13" s="3">
        <f>ROUND(4.0,2)</f>
        <v/>
      </c>
      <c r="FT13" s="3">
        <f>ROUND(4.0,2)</f>
        <v/>
      </c>
      <c r="FU13" s="3">
        <f>ROUND(3.0,2)</f>
        <v/>
      </c>
      <c r="FV13" s="3">
        <f>ROUND(0.0,2)</f>
        <v/>
      </c>
      <c r="FW13" s="4">
        <f>IFERROR((FQ13/FP13),0)</f>
        <v/>
      </c>
      <c r="FX13" s="4">
        <f>IFERROR(((0+FO11+FO12+FO13)/T2),0)</f>
        <v/>
      </c>
      <c r="FY13" s="5">
        <f>IFERROR(ROUND(FO13/FQ13,2),0)</f>
        <v/>
      </c>
      <c r="FZ13" s="5">
        <f>IFERROR(ROUND(FO13/FR13,2),0)</f>
        <v/>
      </c>
      <c r="GA13" s="2" t="inlineStr">
        <is>
          <t>2023-09-22</t>
        </is>
      </c>
      <c r="GB13" s="5">
        <f>ROUND(0.49,2)</f>
        <v/>
      </c>
      <c r="GC13" s="3">
        <f>ROUND(912.0,2)</f>
        <v/>
      </c>
      <c r="GD13" s="3">
        <f>ROUND(63.0,2)</f>
        <v/>
      </c>
      <c r="GE13" s="3">
        <f>ROUND(155.0,2)</f>
        <v/>
      </c>
      <c r="GF13" s="3">
        <f>ROUND(108.0,2)</f>
        <v/>
      </c>
      <c r="GG13" s="3">
        <f>ROUND(40.0,2)</f>
        <v/>
      </c>
      <c r="GH13" s="3">
        <f>ROUND(21.0,2)</f>
        <v/>
      </c>
      <c r="GI13" s="3">
        <f>ROUND(8.0,2)</f>
        <v/>
      </c>
      <c r="GJ13" s="4">
        <f>IFERROR((GD13/GC13),0)</f>
        <v/>
      </c>
      <c r="GK13" s="4">
        <f>IFERROR(((0+GB11+GB12+GB13)/T2),0)</f>
        <v/>
      </c>
      <c r="GL13" s="5">
        <f>IFERROR(ROUND(GB13/GD13,2),0)</f>
        <v/>
      </c>
      <c r="GM13" s="5">
        <f>IFERROR(ROUND(GB13/GE13,2),0)</f>
        <v/>
      </c>
      <c r="GN13" s="2" t="inlineStr">
        <is>
          <t>2023-09-22</t>
        </is>
      </c>
      <c r="GO13" s="5">
        <f>ROUND(1.07,2)</f>
        <v/>
      </c>
      <c r="GP13" s="3">
        <f>ROUND(1840.0,2)</f>
        <v/>
      </c>
      <c r="GQ13" s="3">
        <f>ROUND(93.0,2)</f>
        <v/>
      </c>
      <c r="GR13" s="3">
        <f>ROUND(313.0,2)</f>
        <v/>
      </c>
      <c r="GS13" s="3">
        <f>ROUND(263.0,2)</f>
        <v/>
      </c>
      <c r="GT13" s="3">
        <f>ROUND(112.0,2)</f>
        <v/>
      </c>
      <c r="GU13" s="3">
        <f>ROUND(63.0,2)</f>
        <v/>
      </c>
      <c r="GV13" s="3">
        <f>ROUND(45.0,2)</f>
        <v/>
      </c>
      <c r="GW13" s="4">
        <f>IFERROR((GQ13/GP13),0)</f>
        <v/>
      </c>
      <c r="GX13" s="4">
        <f>IFERROR(((0+GO11+GO12+GO13)/T2),0)</f>
        <v/>
      </c>
      <c r="GY13" s="5">
        <f>IFERROR(ROUND(GO13/GQ13,2),0)</f>
        <v/>
      </c>
      <c r="GZ13" s="5">
        <f>IFERROR(ROUND(GO13/GR13,2),0)</f>
        <v/>
      </c>
      <c r="HA13" s="2" t="inlineStr">
        <is>
          <t>2023-09-22</t>
        </is>
      </c>
      <c r="HB13" s="5">
        <f>ROUND(0.25,2)</f>
        <v/>
      </c>
      <c r="HC13" s="3">
        <f>ROUND(227.0,2)</f>
        <v/>
      </c>
      <c r="HD13" s="3">
        <f>ROUND(23.0,2)</f>
        <v/>
      </c>
      <c r="HE13" s="3">
        <f>ROUND(120.0,2)</f>
        <v/>
      </c>
      <c r="HF13" s="3">
        <f>ROUND(105.0,2)</f>
        <v/>
      </c>
      <c r="HG13" s="3">
        <f>ROUND(40.0,2)</f>
        <v/>
      </c>
      <c r="HH13" s="3">
        <f>ROUND(34.0,2)</f>
        <v/>
      </c>
      <c r="HI13" s="3">
        <f>ROUND(1.0,2)</f>
        <v/>
      </c>
      <c r="HJ13" s="4">
        <f>IFERROR((HD13/HC13),0)</f>
        <v/>
      </c>
      <c r="HK13" s="4">
        <f>IFERROR(((0+HB11+HB12+HB13)/T2),0)</f>
        <v/>
      </c>
      <c r="HL13" s="5">
        <f>IFERROR(ROUND(HB13/HD13,2),0)</f>
        <v/>
      </c>
      <c r="HM13" s="5">
        <f>IFERROR(ROUND(HB13/HE13,2),0)</f>
        <v/>
      </c>
      <c r="HN13" s="2" t="inlineStr">
        <is>
          <t>2023-09-22</t>
        </is>
      </c>
      <c r="HO13" s="5">
        <f>ROUND(0.1,2)</f>
        <v/>
      </c>
      <c r="HP13" s="3">
        <f>ROUND(200.0,2)</f>
        <v/>
      </c>
      <c r="HQ13" s="3">
        <f>ROUND(9.0,2)</f>
        <v/>
      </c>
      <c r="HR13" s="3">
        <f>ROUND(62.0,2)</f>
        <v/>
      </c>
      <c r="HS13" s="3">
        <f>ROUND(60.0,2)</f>
        <v/>
      </c>
      <c r="HT13" s="3">
        <f>ROUND(28.0,2)</f>
        <v/>
      </c>
      <c r="HU13" s="3">
        <f>ROUND(24.0,2)</f>
        <v/>
      </c>
      <c r="HV13" s="3">
        <f>ROUND(22.0,2)</f>
        <v/>
      </c>
      <c r="HW13" s="4">
        <f>IFERROR((HQ13/HP13),0)</f>
        <v/>
      </c>
      <c r="HX13" s="4">
        <f>IFERROR(((0+HO11+HO12+HO13)/T2),0)</f>
        <v/>
      </c>
      <c r="HY13" s="5">
        <f>IFERROR(ROUND(HO13/HQ13,2),0)</f>
        <v/>
      </c>
      <c r="HZ13" s="5">
        <f>IFERROR(ROUND(HO13/HR13,2),0)</f>
        <v/>
      </c>
      <c r="IA13" s="2" t="inlineStr">
        <is>
          <t>2023-09-22</t>
        </is>
      </c>
      <c r="IB13" s="5">
        <f>ROUND(1.15,2)</f>
        <v/>
      </c>
      <c r="IC13" s="3">
        <f>ROUND(2013.0,2)</f>
        <v/>
      </c>
      <c r="ID13" s="3">
        <f>ROUND(102.0,2)</f>
        <v/>
      </c>
      <c r="IE13" s="3">
        <f>ROUND(296.0,2)</f>
        <v/>
      </c>
      <c r="IF13" s="3">
        <f>ROUND(215.0,2)</f>
        <v/>
      </c>
      <c r="IG13" s="3">
        <f>ROUND(95.0,2)</f>
        <v/>
      </c>
      <c r="IH13" s="3">
        <f>ROUND(56.0,2)</f>
        <v/>
      </c>
      <c r="II13" s="3">
        <f>ROUND(33.0,2)</f>
        <v/>
      </c>
      <c r="IJ13" s="4">
        <f>IFERROR((ID13/IC13),0)</f>
        <v/>
      </c>
      <c r="IK13" s="4">
        <f>IFERROR(((0+IB11+IB12+IB13)/T2),0)</f>
        <v/>
      </c>
      <c r="IL13" s="5">
        <f>IFERROR(ROUND(IB13/ID13,2),0)</f>
        <v/>
      </c>
      <c r="IM13" s="5">
        <f>IFERROR(ROUND(IB13/IE13,2),0)</f>
        <v/>
      </c>
      <c r="IN13" s="2" t="inlineStr">
        <is>
          <t>2023-09-22</t>
        </is>
      </c>
      <c r="IO13" s="5">
        <f>ROUND(6.26,2)</f>
        <v/>
      </c>
      <c r="IP13" s="3">
        <f>ROUND(11873.0,2)</f>
        <v/>
      </c>
      <c r="IQ13" s="3">
        <f>ROUND(566.0,2)</f>
        <v/>
      </c>
      <c r="IR13" s="3">
        <f>ROUND(3048.0,2)</f>
        <v/>
      </c>
      <c r="IS13" s="3">
        <f>ROUND(2708.0,2)</f>
        <v/>
      </c>
      <c r="IT13" s="3">
        <f>ROUND(1903.0,2)</f>
        <v/>
      </c>
      <c r="IU13" s="3">
        <f>ROUND(1612.0,2)</f>
        <v/>
      </c>
      <c r="IV13" s="3">
        <f>ROUND(1219.0,2)</f>
        <v/>
      </c>
      <c r="IW13" s="4">
        <f>IFERROR((IQ13/IP13),0)</f>
        <v/>
      </c>
      <c r="IX13" s="4">
        <f>IFERROR(((0+IO11+IO12+IO13)/T2),0)</f>
        <v/>
      </c>
      <c r="IY13" s="5">
        <f>IFERROR(ROUND(IO13/IQ13,2),0)</f>
        <v/>
      </c>
      <c r="IZ13" s="5">
        <f>IFERROR(ROUND(IO13/IR13,2),0)</f>
        <v/>
      </c>
      <c r="JA13" s="2" t="inlineStr">
        <is>
          <t>2023-09-22</t>
        </is>
      </c>
      <c r="JB13" s="5">
        <f>ROUND(0.18,2)</f>
        <v/>
      </c>
      <c r="JC13" s="3">
        <f>ROUND(294.0,2)</f>
        <v/>
      </c>
      <c r="JD13" s="3">
        <f>ROUND(12.0,2)</f>
        <v/>
      </c>
      <c r="JE13" s="3">
        <f>ROUND(59.0,2)</f>
        <v/>
      </c>
      <c r="JF13" s="3">
        <f>ROUND(53.0,2)</f>
        <v/>
      </c>
      <c r="JG13" s="3">
        <f>ROUND(28.0,2)</f>
        <v/>
      </c>
      <c r="JH13" s="3">
        <f>ROUND(16.0,2)</f>
        <v/>
      </c>
      <c r="JI13" s="3">
        <f>ROUND(2.0,2)</f>
        <v/>
      </c>
      <c r="JJ13" s="4">
        <f>IFERROR((JD13/JC13),0)</f>
        <v/>
      </c>
      <c r="JK13" s="4">
        <f>IFERROR(((0+JB11+JB12+JB13)/T2),0)</f>
        <v/>
      </c>
      <c r="JL13" s="5">
        <f>IFERROR(ROUND(JB13/JD13,2),0)</f>
        <v/>
      </c>
      <c r="JM13" s="5">
        <f>IFERROR(ROUND(JB13/JE13,2),0)</f>
        <v/>
      </c>
    </row>
    <row r="14">
      <c r="A14" s="2" t="inlineStr">
        <is>
          <t>2023-09-23</t>
        </is>
      </c>
      <c r="B14" s="5">
        <f>ROUND(62.51,2)</f>
        <v/>
      </c>
      <c r="C14" s="3">
        <f>ROUND(140704.0,2)</f>
        <v/>
      </c>
      <c r="D14" s="3">
        <f>ROUND(7227.0,2)</f>
        <v/>
      </c>
      <c r="E14" s="3">
        <f>ROUND(28189.0,2)</f>
        <v/>
      </c>
      <c r="F14" s="3">
        <f>ROUND(22320.0,2)</f>
        <v/>
      </c>
      <c r="G14" s="3">
        <f>ROUND(11625.0,2)</f>
        <v/>
      </c>
      <c r="H14" s="3">
        <f>ROUND(8212.0,2)</f>
        <v/>
      </c>
      <c r="I14" s="3">
        <f>ROUND(4990.0,2)</f>
        <v/>
      </c>
      <c r="J14" s="4">
        <f>IFERROR((D14/C14),0)</f>
        <v/>
      </c>
      <c r="K14" s="4">
        <f>IFERROR(((0+B11+B12+B13+B14)/T2),0)</f>
        <v/>
      </c>
      <c r="L14" s="5">
        <f>IFERROR(ROUND(B14/D14,2),0)</f>
        <v/>
      </c>
      <c r="M14" s="5">
        <f>IFERROR(ROUND(B14/E14,2),0)</f>
        <v/>
      </c>
      <c r="N14" s="2" t="inlineStr">
        <is>
          <t>2023-09-23</t>
        </is>
      </c>
      <c r="O14" s="5">
        <f>ROUND(0.76,2)</f>
        <v/>
      </c>
      <c r="P14" s="3">
        <f>ROUND(1227.0,2)</f>
        <v/>
      </c>
      <c r="Q14" s="3">
        <f>ROUND(89.0,2)</f>
        <v/>
      </c>
      <c r="R14" s="3">
        <f>ROUND(216.0,2)</f>
        <v/>
      </c>
      <c r="S14" s="3">
        <f>ROUND(146.0,2)</f>
        <v/>
      </c>
      <c r="T14" s="3">
        <f>ROUND(83.0,2)</f>
        <v/>
      </c>
      <c r="U14" s="3">
        <f>ROUND(55.0,2)</f>
        <v/>
      </c>
      <c r="V14" s="3">
        <f>ROUND(31.0,2)</f>
        <v/>
      </c>
      <c r="W14" s="4">
        <f>IFERROR((Q14/P14),0)</f>
        <v/>
      </c>
      <c r="X14" s="4">
        <f>IFERROR(((0+O11+O12+O13+O14)/T2),0)</f>
        <v/>
      </c>
      <c r="Y14" s="5">
        <f>IFERROR(ROUND(O14/Q14,2),0)</f>
        <v/>
      </c>
      <c r="Z14" s="5">
        <f>IFERROR(ROUND(O14/R14,2),0)</f>
        <v/>
      </c>
      <c r="AA14" s="2" t="inlineStr">
        <is>
          <t>2023-09-23</t>
        </is>
      </c>
      <c r="AB14" s="5">
        <f>ROUND(0.13,2)</f>
        <v/>
      </c>
      <c r="AC14" s="3">
        <f>ROUND(389.0,2)</f>
        <v/>
      </c>
      <c r="AD14" s="3">
        <f>ROUND(13.0,2)</f>
        <v/>
      </c>
      <c r="AE14" s="3">
        <f>ROUND(45.0,2)</f>
        <v/>
      </c>
      <c r="AF14" s="3">
        <f>ROUND(35.0,2)</f>
        <v/>
      </c>
      <c r="AG14" s="3">
        <f>ROUND(11.0,2)</f>
        <v/>
      </c>
      <c r="AH14" s="3">
        <f>ROUND(6.0,2)</f>
        <v/>
      </c>
      <c r="AI14" s="3">
        <f>ROUND(1.0,2)</f>
        <v/>
      </c>
      <c r="AJ14" s="4">
        <f>IFERROR((AD14/AC14),0)</f>
        <v/>
      </c>
      <c r="AK14" s="4">
        <f>IFERROR(((0+AB11+AB12+AB13+AB14)/T2),0)</f>
        <v/>
      </c>
      <c r="AL14" s="5">
        <f>IFERROR(ROUND(AB14/AD14,2),0)</f>
        <v/>
      </c>
      <c r="AM14" s="5">
        <f>IFERROR(ROUND(AB14/AE14,2),0)</f>
        <v/>
      </c>
      <c r="AN14" s="2" t="inlineStr">
        <is>
          <t>2023-09-23</t>
        </is>
      </c>
      <c r="AO14" s="5">
        <f>ROUND(0.14,2)</f>
        <v/>
      </c>
      <c r="AP14" s="3">
        <f>ROUND(188.0,2)</f>
        <v/>
      </c>
      <c r="AQ14" s="3">
        <f>ROUND(13.0,2)</f>
        <v/>
      </c>
      <c r="AR14" s="3">
        <f>ROUND(43.0,2)</f>
        <v/>
      </c>
      <c r="AS14" s="3">
        <f>ROUND(32.0,2)</f>
        <v/>
      </c>
      <c r="AT14" s="3">
        <f>ROUND(14.0,2)</f>
        <v/>
      </c>
      <c r="AU14" s="3">
        <f>ROUND(8.0,2)</f>
        <v/>
      </c>
      <c r="AV14" s="3">
        <f>ROUND(7.0,2)</f>
        <v/>
      </c>
      <c r="AW14" s="4">
        <f>IFERROR((AQ14/AP14),0)</f>
        <v/>
      </c>
      <c r="AX14" s="4">
        <f>IFERROR(((0+AO11+AO12+AO13+AO14)/T2),0)</f>
        <v/>
      </c>
      <c r="AY14" s="5">
        <f>IFERROR(ROUND(AO14/AQ14,2),0)</f>
        <v/>
      </c>
      <c r="AZ14" s="5">
        <f>IFERROR(ROUND(AO14/AR14,2),0)</f>
        <v/>
      </c>
      <c r="BA14" s="2" t="inlineStr">
        <is>
          <t>2023-09-23</t>
        </is>
      </c>
      <c r="BB14" s="5">
        <f>ROUND(13.34,2)</f>
        <v/>
      </c>
      <c r="BC14" s="3">
        <f>ROUND(37953.0,2)</f>
        <v/>
      </c>
      <c r="BD14" s="3">
        <f>ROUND(1644.0,2)</f>
        <v/>
      </c>
      <c r="BE14" s="3">
        <f>ROUND(8071.0,2)</f>
        <v/>
      </c>
      <c r="BF14" s="3">
        <f>ROUND(6149.0,2)</f>
        <v/>
      </c>
      <c r="BG14" s="3">
        <f>ROUND(2789.0,2)</f>
        <v/>
      </c>
      <c r="BH14" s="3">
        <f>ROUND(1581.0,2)</f>
        <v/>
      </c>
      <c r="BI14" s="3">
        <f>ROUND(867.0,2)</f>
        <v/>
      </c>
      <c r="BJ14" s="4">
        <f>IFERROR((BD14/BC14),0)</f>
        <v/>
      </c>
      <c r="BK14" s="4">
        <f>IFERROR(((0+BB11+BB12+BB13+BB14)/T2),0)</f>
        <v/>
      </c>
      <c r="BL14" s="5">
        <f>IFERROR(ROUND(BB14/BD14,2),0)</f>
        <v/>
      </c>
      <c r="BM14" s="5">
        <f>IFERROR(ROUND(BB14/BE14,2),0)</f>
        <v/>
      </c>
      <c r="BN14" s="2" t="inlineStr">
        <is>
          <t>2023-09-23</t>
        </is>
      </c>
      <c r="BO14" s="5">
        <f>ROUND(14.91,2)</f>
        <v/>
      </c>
      <c r="BP14" s="3">
        <f>ROUND(40084.0,2)</f>
        <v/>
      </c>
      <c r="BQ14" s="3">
        <f>ROUND(1823.0,2)</f>
        <v/>
      </c>
      <c r="BR14" s="3">
        <f>ROUND(9529.0,2)</f>
        <v/>
      </c>
      <c r="BS14" s="3">
        <f>ROUND(8117.0,2)</f>
        <v/>
      </c>
      <c r="BT14" s="3">
        <f>ROUND(4532.0,2)</f>
        <v/>
      </c>
      <c r="BU14" s="3">
        <f>ROUND(3555.0,2)</f>
        <v/>
      </c>
      <c r="BV14" s="3">
        <f>ROUND(2137.0,2)</f>
        <v/>
      </c>
      <c r="BW14" s="4">
        <f>IFERROR((BQ14/BP14),0)</f>
        <v/>
      </c>
      <c r="BX14" s="4">
        <f>IFERROR(((0+BO11+BO12+BO13+BO14)/T2),0)</f>
        <v/>
      </c>
      <c r="BY14" s="5">
        <f>IFERROR(ROUND(BO14/BQ14,2),0)</f>
        <v/>
      </c>
      <c r="BZ14" s="5">
        <f>IFERROR(ROUND(BO14/BR14,2),0)</f>
        <v/>
      </c>
      <c r="CA14" s="2" t="inlineStr">
        <is>
          <t>2023-09-23</t>
        </is>
      </c>
      <c r="CB14" s="5">
        <f>ROUND(1.05,2)</f>
        <v/>
      </c>
      <c r="CC14" s="3">
        <f>ROUND(2127.0,2)</f>
        <v/>
      </c>
      <c r="CD14" s="3">
        <f>ROUND(119.0,2)</f>
        <v/>
      </c>
      <c r="CE14" s="3">
        <f>ROUND(492.0,2)</f>
        <v/>
      </c>
      <c r="CF14" s="3">
        <f>ROUND(364.0,2)</f>
        <v/>
      </c>
      <c r="CG14" s="3">
        <f>ROUND(169.0,2)</f>
        <v/>
      </c>
      <c r="CH14" s="3">
        <f>ROUND(103.0,2)</f>
        <v/>
      </c>
      <c r="CI14" s="3">
        <f>ROUND(47.0,2)</f>
        <v/>
      </c>
      <c r="CJ14" s="4">
        <f>IFERROR((CD14/CC14),0)</f>
        <v/>
      </c>
      <c r="CK14" s="4">
        <f>IFERROR(((0+CB11+CB12+CB13+CB14)/T2),0)</f>
        <v/>
      </c>
      <c r="CL14" s="5">
        <f>IFERROR(ROUND(CB14/CD14,2),0)</f>
        <v/>
      </c>
      <c r="CM14" s="5">
        <f>IFERROR(ROUND(CB14/CE14,2),0)</f>
        <v/>
      </c>
      <c r="CN14" s="2" t="inlineStr">
        <is>
          <t>2023-09-23</t>
        </is>
      </c>
      <c r="CO14" s="5">
        <f>ROUND(1.93,2)</f>
        <v/>
      </c>
      <c r="CP14" s="3">
        <f>ROUND(3192.0,2)</f>
        <v/>
      </c>
      <c r="CQ14" s="3">
        <f>ROUND(198.0,2)</f>
        <v/>
      </c>
      <c r="CR14" s="3">
        <f>ROUND(1393.0,2)</f>
        <v/>
      </c>
      <c r="CS14" s="3">
        <f>ROUND(1286.0,2)</f>
        <v/>
      </c>
      <c r="CT14" s="3">
        <f>ROUND(576.0,2)</f>
        <v/>
      </c>
      <c r="CU14" s="3">
        <f>ROUND(352.0,2)</f>
        <v/>
      </c>
      <c r="CV14" s="3">
        <f>ROUND(239.0,2)</f>
        <v/>
      </c>
      <c r="CW14" s="4">
        <f>IFERROR((CQ14/CP14),0)</f>
        <v/>
      </c>
      <c r="CX14" s="4">
        <f>IFERROR(((0+CO11+CO12+CO13+CO14)/T2),0)</f>
        <v/>
      </c>
      <c r="CY14" s="5">
        <f>IFERROR(ROUND(CO14/CQ14,2),0)</f>
        <v/>
      </c>
      <c r="CZ14" s="5">
        <f>IFERROR(ROUND(CO14/CR14,2),0)</f>
        <v/>
      </c>
      <c r="DA14" s="2" t="inlineStr">
        <is>
          <t>2023-09-23</t>
        </is>
      </c>
      <c r="DB14" s="5">
        <f>ROUND(2.97,2)</f>
        <v/>
      </c>
      <c r="DC14" s="3">
        <f>ROUND(7045.0,2)</f>
        <v/>
      </c>
      <c r="DD14" s="3">
        <f>ROUND(450.0,2)</f>
        <v/>
      </c>
      <c r="DE14" s="3">
        <f>ROUND(1131.0,2)</f>
        <v/>
      </c>
      <c r="DF14" s="3">
        <f>ROUND(567.0,2)</f>
        <v/>
      </c>
      <c r="DG14" s="3">
        <f>ROUND(233.0,2)</f>
        <v/>
      </c>
      <c r="DH14" s="3">
        <f>ROUND(134.0,2)</f>
        <v/>
      </c>
      <c r="DI14" s="3">
        <f>ROUND(62.0,2)</f>
        <v/>
      </c>
      <c r="DJ14" s="4">
        <f>IFERROR((DD14/DC14),0)</f>
        <v/>
      </c>
      <c r="DK14" s="4">
        <f>IFERROR(((0+DB11+DB12+DB13+DB14)/T2),0)</f>
        <v/>
      </c>
      <c r="DL14" s="5">
        <f>IFERROR(ROUND(DB14/DD14,2),0)</f>
        <v/>
      </c>
      <c r="DM14" s="5">
        <f>IFERROR(ROUND(DB14/DE14,2),0)</f>
        <v/>
      </c>
      <c r="DN14" s="2" t="inlineStr">
        <is>
          <t>2023-09-23</t>
        </is>
      </c>
      <c r="DO14" s="5">
        <f>ROUND(6.43,2)</f>
        <v/>
      </c>
      <c r="DP14" s="3">
        <f>ROUND(12285.0,2)</f>
        <v/>
      </c>
      <c r="DQ14" s="3">
        <f>ROUND(806.0,2)</f>
        <v/>
      </c>
      <c r="DR14" s="3">
        <f>ROUND(1593.0,2)</f>
        <v/>
      </c>
      <c r="DS14" s="3">
        <f>ROUND(1209.0,2)</f>
        <v/>
      </c>
      <c r="DT14" s="3">
        <f>ROUND(728.0,2)</f>
        <v/>
      </c>
      <c r="DU14" s="3">
        <f>ROUND(508.0,2)</f>
        <v/>
      </c>
      <c r="DV14" s="3">
        <f>ROUND(302.0,2)</f>
        <v/>
      </c>
      <c r="DW14" s="4">
        <f>IFERROR((DQ14/DP14),0)</f>
        <v/>
      </c>
      <c r="DX14" s="4">
        <f>IFERROR(((0+DO11+DO12+DO13+DO14)/T2),0)</f>
        <v/>
      </c>
      <c r="DY14" s="5">
        <f>IFERROR(ROUND(DO14/DQ14,2),0)</f>
        <v/>
      </c>
      <c r="DZ14" s="5">
        <f>IFERROR(ROUND(DO14/DR14,2),0)</f>
        <v/>
      </c>
      <c r="EA14" s="2" t="inlineStr">
        <is>
          <t>2023-09-23</t>
        </is>
      </c>
      <c r="EB14" s="5">
        <f>ROUND(2.11,2)</f>
        <v/>
      </c>
      <c r="EC14" s="3">
        <f>ROUND(4336.0,2)</f>
        <v/>
      </c>
      <c r="ED14" s="3">
        <f>ROUND(306.0,2)</f>
        <v/>
      </c>
      <c r="EE14" s="3">
        <f>ROUND(696.0,2)</f>
        <v/>
      </c>
      <c r="EF14" s="3">
        <f>ROUND(371.0,2)</f>
        <v/>
      </c>
      <c r="EG14" s="3">
        <f>ROUND(135.0,2)</f>
        <v/>
      </c>
      <c r="EH14" s="3">
        <f>ROUND(92.0,2)</f>
        <v/>
      </c>
      <c r="EI14" s="3">
        <f>ROUND(53.0,2)</f>
        <v/>
      </c>
      <c r="EJ14" s="4">
        <f>IFERROR((ED14/EC14),0)</f>
        <v/>
      </c>
      <c r="EK14" s="4">
        <f>IFERROR(((0+EB11+EB12+EB13+EB14)/T2),0)</f>
        <v/>
      </c>
      <c r="EL14" s="5">
        <f>IFERROR(ROUND(EB14/ED14,2),0)</f>
        <v/>
      </c>
      <c r="EM14" s="5">
        <f>IFERROR(ROUND(EB14/EE14,2),0)</f>
        <v/>
      </c>
      <c r="EN14" s="2" t="inlineStr">
        <is>
          <t>2023-09-23</t>
        </is>
      </c>
      <c r="EO14" s="5">
        <f>ROUND(1.46,2)</f>
        <v/>
      </c>
      <c r="EP14" s="3">
        <f>ROUND(2337.0,2)</f>
        <v/>
      </c>
      <c r="EQ14" s="3">
        <f>ROUND(145.0,2)</f>
        <v/>
      </c>
      <c r="ER14" s="3">
        <f>ROUND(219.0,2)</f>
        <v/>
      </c>
      <c r="ES14" s="3">
        <f>ROUND(134.0,2)</f>
        <v/>
      </c>
      <c r="ET14" s="3">
        <f>ROUND(43.0,2)</f>
        <v/>
      </c>
      <c r="EU14" s="3">
        <f>ROUND(26.0,2)</f>
        <v/>
      </c>
      <c r="EV14" s="3">
        <f>ROUND(19.0,2)</f>
        <v/>
      </c>
      <c r="EW14" s="4">
        <f>IFERROR((EQ14/EP14),0)</f>
        <v/>
      </c>
      <c r="EX14" s="4">
        <f>IFERROR(((0+EO11+EO12+EO13+EO14)/T2),0)</f>
        <v/>
      </c>
      <c r="EY14" s="5">
        <f>IFERROR(ROUND(EO14/EQ14,2),0)</f>
        <v/>
      </c>
      <c r="EZ14" s="5">
        <f>IFERROR(ROUND(EO14/ER14,2),0)</f>
        <v/>
      </c>
      <c r="FA14" s="2" t="inlineStr">
        <is>
          <t>2023-09-23</t>
        </is>
      </c>
      <c r="FB14" s="5">
        <f>ROUND(6.75,2)</f>
        <v/>
      </c>
      <c r="FC14" s="3">
        <f>ROUND(10546.0,2)</f>
        <v/>
      </c>
      <c r="FD14" s="3">
        <f>ROUND(632.0,2)</f>
        <v/>
      </c>
      <c r="FE14" s="3">
        <f>ROUND(734.0,2)</f>
        <v/>
      </c>
      <c r="FF14" s="3">
        <f>ROUND(580.0,2)</f>
        <v/>
      </c>
      <c r="FG14" s="3">
        <f>ROUND(340.0,2)</f>
        <v/>
      </c>
      <c r="FH14" s="3">
        <f>ROUND(230.0,2)</f>
        <v/>
      </c>
      <c r="FI14" s="3">
        <f>ROUND(148.0,2)</f>
        <v/>
      </c>
      <c r="FJ14" s="4">
        <f>IFERROR((FD14/FC14),0)</f>
        <v/>
      </c>
      <c r="FK14" s="4">
        <f>IFERROR(((0+FB11+FB12+FB13+FB14)/T2),0)</f>
        <v/>
      </c>
      <c r="FL14" s="5">
        <f>IFERROR(ROUND(FB14/FD14,2),0)</f>
        <v/>
      </c>
      <c r="FM14" s="5">
        <f>IFERROR(ROUND(FB14/FE14,2),0)</f>
        <v/>
      </c>
      <c r="FN14" s="2" t="inlineStr">
        <is>
          <t>2023-09-23</t>
        </is>
      </c>
      <c r="FO14" s="5">
        <f>ROUND(0.02,2)</f>
        <v/>
      </c>
      <c r="FP14" s="3">
        <f>ROUND(12.0,2)</f>
        <v/>
      </c>
      <c r="FQ14" s="3">
        <f>ROUND(1.0,2)</f>
        <v/>
      </c>
      <c r="FR14" s="3">
        <f>ROUND(5.0,2)</f>
        <v/>
      </c>
      <c r="FS14" s="3">
        <f>ROUND(4.0,2)</f>
        <v/>
      </c>
      <c r="FT14" s="3">
        <f>ROUND(2.0,2)</f>
        <v/>
      </c>
      <c r="FU14" s="3">
        <f>ROUND(1.0,2)</f>
        <v/>
      </c>
      <c r="FV14" s="3">
        <f>ROUND(0.0,2)</f>
        <v/>
      </c>
      <c r="FW14" s="4">
        <f>IFERROR((FQ14/FP14),0)</f>
        <v/>
      </c>
      <c r="FX14" s="4">
        <f>IFERROR(((0+FO11+FO12+FO13+FO14)/T2),0)</f>
        <v/>
      </c>
      <c r="FY14" s="5">
        <f>IFERROR(ROUND(FO14/FQ14,2),0)</f>
        <v/>
      </c>
      <c r="FZ14" s="5">
        <f>IFERROR(ROUND(FO14/FR14,2),0)</f>
        <v/>
      </c>
      <c r="GA14" s="2" t="inlineStr">
        <is>
          <t>2023-09-23</t>
        </is>
      </c>
      <c r="GB14" s="5">
        <f>ROUND(1.74,2)</f>
        <v/>
      </c>
      <c r="GC14" s="3">
        <f>ROUND(2940.0,2)</f>
        <v/>
      </c>
      <c r="GD14" s="3">
        <f>ROUND(208.0,2)</f>
        <v/>
      </c>
      <c r="GE14" s="3">
        <f>ROUND(445.0,2)</f>
        <v/>
      </c>
      <c r="GF14" s="3">
        <f>ROUND(332.0,2)</f>
        <v/>
      </c>
      <c r="GG14" s="3">
        <f>ROUND(137.0,2)</f>
        <v/>
      </c>
      <c r="GH14" s="3">
        <f>ROUND(69.0,2)</f>
        <v/>
      </c>
      <c r="GI14" s="3">
        <f>ROUND(29.0,2)</f>
        <v/>
      </c>
      <c r="GJ14" s="4">
        <f>IFERROR((GD14/GC14),0)</f>
        <v/>
      </c>
      <c r="GK14" s="4">
        <f>IFERROR(((0+GB11+GB12+GB13+GB14)/T2),0)</f>
        <v/>
      </c>
      <c r="GL14" s="5">
        <f>IFERROR(ROUND(GB14/GD14,2),0)</f>
        <v/>
      </c>
      <c r="GM14" s="5">
        <f>IFERROR(ROUND(GB14/GE14,2),0)</f>
        <v/>
      </c>
      <c r="GN14" s="2" t="inlineStr">
        <is>
          <t>2023-09-23</t>
        </is>
      </c>
      <c r="GO14" s="5">
        <f>ROUND(1.34,2)</f>
        <v/>
      </c>
      <c r="GP14" s="3">
        <f>ROUND(2494.0,2)</f>
        <v/>
      </c>
      <c r="GQ14" s="3">
        <f>ROUND(118.0,2)</f>
        <v/>
      </c>
      <c r="GR14" s="3">
        <f>ROUND(455.0,2)</f>
        <v/>
      </c>
      <c r="GS14" s="3">
        <f>ROUND(349.0,2)</f>
        <v/>
      </c>
      <c r="GT14" s="3">
        <f>ROUND(146.0,2)</f>
        <v/>
      </c>
      <c r="GU14" s="3">
        <f>ROUND(99.0,2)</f>
        <v/>
      </c>
      <c r="GV14" s="3">
        <f>ROUND(78.0,2)</f>
        <v/>
      </c>
      <c r="GW14" s="4">
        <f>IFERROR((GQ14/GP14),0)</f>
        <v/>
      </c>
      <c r="GX14" s="4">
        <f>IFERROR(((0+GO11+GO12+GO13+GO14)/T2),0)</f>
        <v/>
      </c>
      <c r="GY14" s="5">
        <f>IFERROR(ROUND(GO14/GQ14,2),0)</f>
        <v/>
      </c>
      <c r="GZ14" s="5">
        <f>IFERROR(ROUND(GO14/GR14,2),0)</f>
        <v/>
      </c>
      <c r="HA14" s="2" t="inlineStr">
        <is>
          <t>2023-09-23</t>
        </is>
      </c>
      <c r="HB14" s="5">
        <f>ROUND(0.44,2)</f>
        <v/>
      </c>
      <c r="HC14" s="3">
        <f>ROUND(428.0,2)</f>
        <v/>
      </c>
      <c r="HD14" s="3">
        <f>ROUND(34.0,2)</f>
        <v/>
      </c>
      <c r="HE14" s="3">
        <f>ROUND(198.0,2)</f>
        <v/>
      </c>
      <c r="HF14" s="3">
        <f>ROUND(173.0,2)</f>
        <v/>
      </c>
      <c r="HG14" s="3">
        <f>ROUND(77.0,2)</f>
        <v/>
      </c>
      <c r="HH14" s="3">
        <f>ROUND(62.0,2)</f>
        <v/>
      </c>
      <c r="HI14" s="3">
        <f>ROUND(5.0,2)</f>
        <v/>
      </c>
      <c r="HJ14" s="4">
        <f>IFERROR((HD14/HC14),0)</f>
        <v/>
      </c>
      <c r="HK14" s="4">
        <f>IFERROR(((0+HB11+HB12+HB13+HB14)/T2),0)</f>
        <v/>
      </c>
      <c r="HL14" s="5">
        <f>IFERROR(ROUND(HB14/HD14,2),0)</f>
        <v/>
      </c>
      <c r="HM14" s="5">
        <f>IFERROR(ROUND(HB14/HE14,2),0)</f>
        <v/>
      </c>
      <c r="HN14" s="2" t="inlineStr">
        <is>
          <t>2023-09-23</t>
        </is>
      </c>
      <c r="HO14" s="5">
        <f>ROUND(0.08,2)</f>
        <v/>
      </c>
      <c r="HP14" s="3">
        <f>ROUND(131.0,2)</f>
        <v/>
      </c>
      <c r="HQ14" s="3">
        <f>ROUND(6.0,2)</f>
        <v/>
      </c>
      <c r="HR14" s="3">
        <f>ROUND(42.0,2)</f>
        <v/>
      </c>
      <c r="HS14" s="3">
        <f>ROUND(39.0,2)</f>
        <v/>
      </c>
      <c r="HT14" s="3">
        <f>ROUND(20.0,2)</f>
        <v/>
      </c>
      <c r="HU14" s="3">
        <f>ROUND(16.0,2)</f>
        <v/>
      </c>
      <c r="HV14" s="3">
        <f>ROUND(14.0,2)</f>
        <v/>
      </c>
      <c r="HW14" s="4">
        <f>IFERROR((HQ14/HP14),0)</f>
        <v/>
      </c>
      <c r="HX14" s="4">
        <f>IFERROR(((0+HO11+HO12+HO13+HO14)/T2),0)</f>
        <v/>
      </c>
      <c r="HY14" s="5">
        <f>IFERROR(ROUND(HO14/HQ14,2),0)</f>
        <v/>
      </c>
      <c r="HZ14" s="5">
        <f>IFERROR(ROUND(HO14/HR14,2),0)</f>
        <v/>
      </c>
      <c r="IA14" s="2" t="inlineStr">
        <is>
          <t>2023-09-23</t>
        </is>
      </c>
      <c r="IB14" s="5">
        <f>ROUND(1.79,2)</f>
        <v/>
      </c>
      <c r="IC14" s="3">
        <f>ROUND(3143.0,2)</f>
        <v/>
      </c>
      <c r="ID14" s="3">
        <f>ROUND(159.0,2)</f>
        <v/>
      </c>
      <c r="IE14" s="3">
        <f>ROUND(516.0,2)</f>
        <v/>
      </c>
      <c r="IF14" s="3">
        <f>ROUND(371.0,2)</f>
        <v/>
      </c>
      <c r="IG14" s="3">
        <f>ROUND(158.0,2)</f>
        <v/>
      </c>
      <c r="IH14" s="3">
        <f>ROUND(112.0,2)</f>
        <v/>
      </c>
      <c r="II14" s="3">
        <f>ROUND(76.0,2)</f>
        <v/>
      </c>
      <c r="IJ14" s="4">
        <f>IFERROR((ID14/IC14),0)</f>
        <v/>
      </c>
      <c r="IK14" s="4">
        <f>IFERROR(((0+IB11+IB12+IB13+IB14)/T2),0)</f>
        <v/>
      </c>
      <c r="IL14" s="5">
        <f>IFERROR(ROUND(IB14/ID14,2),0)</f>
        <v/>
      </c>
      <c r="IM14" s="5">
        <f>IFERROR(ROUND(IB14/IE14,2),0)</f>
        <v/>
      </c>
      <c r="IN14" s="2" t="inlineStr">
        <is>
          <t>2023-09-23</t>
        </is>
      </c>
      <c r="IO14" s="5">
        <f>ROUND(4.92,2)</f>
        <v/>
      </c>
      <c r="IP14" s="3">
        <f>ROUND(9568.0,2)</f>
        <v/>
      </c>
      <c r="IQ14" s="3">
        <f>ROUND(446.0,2)</f>
        <v/>
      </c>
      <c r="IR14" s="3">
        <f>ROUND(2301.0,2)</f>
        <v/>
      </c>
      <c r="IS14" s="3">
        <f>ROUND(2009.0,2)</f>
        <v/>
      </c>
      <c r="IT14" s="3">
        <f>ROUND(1402.0,2)</f>
        <v/>
      </c>
      <c r="IU14" s="3">
        <f>ROUND(1180.0,2)</f>
        <v/>
      </c>
      <c r="IV14" s="3">
        <f>ROUND(868.0,2)</f>
        <v/>
      </c>
      <c r="IW14" s="4">
        <f>IFERROR((IQ14/IP14),0)</f>
        <v/>
      </c>
      <c r="IX14" s="4">
        <f>IFERROR(((0+IO11+IO12+IO13+IO14)/T2),0)</f>
        <v/>
      </c>
      <c r="IY14" s="5">
        <f>IFERROR(ROUND(IO14/IQ14,2),0)</f>
        <v/>
      </c>
      <c r="IZ14" s="5">
        <f>IFERROR(ROUND(IO14/IR14,2),0)</f>
        <v/>
      </c>
      <c r="JA14" s="2" t="inlineStr">
        <is>
          <t>2023-09-23</t>
        </is>
      </c>
      <c r="JB14" s="5">
        <f>ROUND(0.2,2)</f>
        <v/>
      </c>
      <c r="JC14" s="3">
        <f>ROUND(279.0,2)</f>
        <v/>
      </c>
      <c r="JD14" s="3">
        <f>ROUND(17.0,2)</f>
        <v/>
      </c>
      <c r="JE14" s="3">
        <f>ROUND(65.0,2)</f>
        <v/>
      </c>
      <c r="JF14" s="3">
        <f>ROUND(53.0,2)</f>
        <v/>
      </c>
      <c r="JG14" s="3">
        <f>ROUND(30.0,2)</f>
        <v/>
      </c>
      <c r="JH14" s="3">
        <f>ROUND(23.0,2)</f>
        <v/>
      </c>
      <c r="JI14" s="3">
        <f>ROUND(7.0,2)</f>
        <v/>
      </c>
      <c r="JJ14" s="4">
        <f>IFERROR((JD14/JC14),0)</f>
        <v/>
      </c>
      <c r="JK14" s="4">
        <f>IFERROR(((0+JB11+JB12+JB13+JB14)/T2),0)</f>
        <v/>
      </c>
      <c r="JL14" s="5">
        <f>IFERROR(ROUND(JB14/JD14,2),0)</f>
        <v/>
      </c>
      <c r="JM14" s="5">
        <f>IFERROR(ROUND(JB14/JE14,2),0)</f>
        <v/>
      </c>
    </row>
    <row r="15">
      <c r="A15" s="2" t="inlineStr">
        <is>
          <t>2023-09-24</t>
        </is>
      </c>
      <c r="B15" s="5">
        <f>ROUND(61.08,2)</f>
        <v/>
      </c>
      <c r="C15" s="3">
        <f>ROUND(143395.0,2)</f>
        <v/>
      </c>
      <c r="D15" s="3">
        <f>ROUND(7038.0,2)</f>
        <v/>
      </c>
      <c r="E15" s="3">
        <f>ROUND(27580.0,2)</f>
        <v/>
      </c>
      <c r="F15" s="3">
        <f>ROUND(21611.0,2)</f>
        <v/>
      </c>
      <c r="G15" s="3">
        <f>ROUND(10704.0,2)</f>
        <v/>
      </c>
      <c r="H15" s="3">
        <f>ROUND(7418.0,2)</f>
        <v/>
      </c>
      <c r="I15" s="3">
        <f>ROUND(4273.0,2)</f>
        <v/>
      </c>
      <c r="J15" s="4">
        <f>IFERROR((D15/C15),0)</f>
        <v/>
      </c>
      <c r="K15" s="4">
        <f>IFERROR(((0+B11+B12+B13+B14+B15)/T2),0)</f>
        <v/>
      </c>
      <c r="L15" s="5">
        <f>IFERROR(ROUND(B15/D15,2),0)</f>
        <v/>
      </c>
      <c r="M15" s="5">
        <f>IFERROR(ROUND(B15/E15,2),0)</f>
        <v/>
      </c>
      <c r="N15" s="2" t="inlineStr">
        <is>
          <t>2023-09-24</t>
        </is>
      </c>
      <c r="O15" s="5">
        <f>ROUND(1.69,2)</f>
        <v/>
      </c>
      <c r="P15" s="3">
        <f>ROUND(3394.0,2)</f>
        <v/>
      </c>
      <c r="Q15" s="3">
        <f>ROUND(222.0,2)</f>
        <v/>
      </c>
      <c r="R15" s="3">
        <f>ROUND(504.0,2)</f>
        <v/>
      </c>
      <c r="S15" s="3">
        <f>ROUND(353.0,2)</f>
        <v/>
      </c>
      <c r="T15" s="3">
        <f>ROUND(145.0,2)</f>
        <v/>
      </c>
      <c r="U15" s="3">
        <f>ROUND(89.0,2)</f>
        <v/>
      </c>
      <c r="V15" s="3">
        <f>ROUND(53.0,2)</f>
        <v/>
      </c>
      <c r="W15" s="4">
        <f>IFERROR((Q15/P15),0)</f>
        <v/>
      </c>
      <c r="X15" s="4">
        <f>IFERROR(((0+O11+O12+O13+O14+O15)/T2),0)</f>
        <v/>
      </c>
      <c r="Y15" s="5">
        <f>IFERROR(ROUND(O15/Q15,2),0)</f>
        <v/>
      </c>
      <c r="Z15" s="5">
        <f>IFERROR(ROUND(O15/R15,2),0)</f>
        <v/>
      </c>
      <c r="AA15" s="2" t="inlineStr">
        <is>
          <t>2023-09-24</t>
        </is>
      </c>
      <c r="AB15" s="5">
        <f>ROUND(0.16,2)</f>
        <v/>
      </c>
      <c r="AC15" s="3">
        <f>ROUND(408.0,2)</f>
        <v/>
      </c>
      <c r="AD15" s="3">
        <f>ROUND(18.0,2)</f>
        <v/>
      </c>
      <c r="AE15" s="3">
        <f>ROUND(73.0,2)</f>
        <v/>
      </c>
      <c r="AF15" s="3">
        <f>ROUND(59.0,2)</f>
        <v/>
      </c>
      <c r="AG15" s="3">
        <f>ROUND(29.0,2)</f>
        <v/>
      </c>
      <c r="AH15" s="3">
        <f>ROUND(23.0,2)</f>
        <v/>
      </c>
      <c r="AI15" s="3">
        <f>ROUND(6.0,2)</f>
        <v/>
      </c>
      <c r="AJ15" s="4">
        <f>IFERROR((AD15/AC15),0)</f>
        <v/>
      </c>
      <c r="AK15" s="4">
        <f>IFERROR(((0+AB11+AB12+AB13+AB14+AB15)/T2),0)</f>
        <v/>
      </c>
      <c r="AL15" s="5">
        <f>IFERROR(ROUND(AB15/AD15,2),0)</f>
        <v/>
      </c>
      <c r="AM15" s="5">
        <f>IFERROR(ROUND(AB15/AE15,2),0)</f>
        <v/>
      </c>
      <c r="AN15" s="2" t="inlineStr">
        <is>
          <t>2023-09-24</t>
        </is>
      </c>
      <c r="AO15" s="5">
        <f>ROUND(0.12,2)</f>
        <v/>
      </c>
      <c r="AP15" s="3">
        <f>ROUND(245.0,2)</f>
        <v/>
      </c>
      <c r="AQ15" s="3">
        <f>ROUND(10.0,2)</f>
        <v/>
      </c>
      <c r="AR15" s="3">
        <f>ROUND(44.0,2)</f>
        <v/>
      </c>
      <c r="AS15" s="3">
        <f>ROUND(34.0,2)</f>
        <v/>
      </c>
      <c r="AT15" s="3">
        <f>ROUND(16.0,2)</f>
        <v/>
      </c>
      <c r="AU15" s="3">
        <f>ROUND(12.0,2)</f>
        <v/>
      </c>
      <c r="AV15" s="3">
        <f>ROUND(11.0,2)</f>
        <v/>
      </c>
      <c r="AW15" s="4">
        <f>IFERROR((AQ15/AP15),0)</f>
        <v/>
      </c>
      <c r="AX15" s="4">
        <f>IFERROR(((0+AO11+AO12+AO13+AO14+AO15)/T2),0)</f>
        <v/>
      </c>
      <c r="AY15" s="5">
        <f>IFERROR(ROUND(AO15/AQ15,2),0)</f>
        <v/>
      </c>
      <c r="AZ15" s="5">
        <f>IFERROR(ROUND(AO15/AR15,2),0)</f>
        <v/>
      </c>
      <c r="BA15" s="2" t="inlineStr">
        <is>
          <t>2023-09-24</t>
        </is>
      </c>
      <c r="BB15" s="5">
        <f>ROUND(11.31,2)</f>
        <v/>
      </c>
      <c r="BC15" s="3">
        <f>ROUND(34533.0,2)</f>
        <v/>
      </c>
      <c r="BD15" s="3">
        <f>ROUND(1399.0,2)</f>
        <v/>
      </c>
      <c r="BE15" s="3">
        <f>ROUND(7208.0,2)</f>
        <v/>
      </c>
      <c r="BF15" s="3">
        <f>ROUND(5429.0,2)</f>
        <v/>
      </c>
      <c r="BG15" s="3">
        <f>ROUND(2328.0,2)</f>
        <v/>
      </c>
      <c r="BH15" s="3">
        <f>ROUND(1308.0,2)</f>
        <v/>
      </c>
      <c r="BI15" s="3">
        <f>ROUND(697.0,2)</f>
        <v/>
      </c>
      <c r="BJ15" s="4">
        <f>IFERROR((BD15/BC15),0)</f>
        <v/>
      </c>
      <c r="BK15" s="4">
        <f>IFERROR(((0+BB11+BB12+BB13+BB14+BB15)/T2),0)</f>
        <v/>
      </c>
      <c r="BL15" s="5">
        <f>IFERROR(ROUND(BB15/BD15,2),0)</f>
        <v/>
      </c>
      <c r="BM15" s="5">
        <f>IFERROR(ROUND(BB15/BE15,2),0)</f>
        <v/>
      </c>
      <c r="BN15" s="2" t="inlineStr">
        <is>
          <t>2023-09-24</t>
        </is>
      </c>
      <c r="BO15" s="5">
        <f>ROUND(12.5,2)</f>
        <v/>
      </c>
      <c r="BP15" s="3">
        <f>ROUND(36356.0,2)</f>
        <v/>
      </c>
      <c r="BQ15" s="3">
        <f>ROUND(1487.0,2)</f>
        <v/>
      </c>
      <c r="BR15" s="3">
        <f>ROUND(8067.0,2)</f>
        <v/>
      </c>
      <c r="BS15" s="3">
        <f>ROUND(6861.0,2)</f>
        <v/>
      </c>
      <c r="BT15" s="3">
        <f>ROUND(3712.0,2)</f>
        <v/>
      </c>
      <c r="BU15" s="3">
        <f>ROUND(2847.0,2)</f>
        <v/>
      </c>
      <c r="BV15" s="3">
        <f>ROUND(1602.0,2)</f>
        <v/>
      </c>
      <c r="BW15" s="4">
        <f>IFERROR((BQ15/BP15),0)</f>
        <v/>
      </c>
      <c r="BX15" s="4">
        <f>IFERROR(((0+BO11+BO12+BO13+BO14+BO15)/T2),0)</f>
        <v/>
      </c>
      <c r="BY15" s="5">
        <f>IFERROR(ROUND(BO15/BQ15,2),0)</f>
        <v/>
      </c>
      <c r="BZ15" s="5">
        <f>IFERROR(ROUND(BO15/BR15,2),0)</f>
        <v/>
      </c>
      <c r="CA15" s="2" t="inlineStr">
        <is>
          <t>2023-09-24</t>
        </is>
      </c>
      <c r="CB15" s="5">
        <f>ROUND(0.89,2)</f>
        <v/>
      </c>
      <c r="CC15" s="3">
        <f>ROUND(1999.0,2)</f>
        <v/>
      </c>
      <c r="CD15" s="3">
        <f>ROUND(91.0,2)</f>
        <v/>
      </c>
      <c r="CE15" s="3">
        <f>ROUND(492.0,2)</f>
        <v/>
      </c>
      <c r="CF15" s="3">
        <f>ROUND(357.0,2)</f>
        <v/>
      </c>
      <c r="CG15" s="3">
        <f>ROUND(186.0,2)</f>
        <v/>
      </c>
      <c r="CH15" s="3">
        <f>ROUND(111.0,2)</f>
        <v/>
      </c>
      <c r="CI15" s="3">
        <f>ROUND(43.0,2)</f>
        <v/>
      </c>
      <c r="CJ15" s="4">
        <f>IFERROR((CD15/CC15),0)</f>
        <v/>
      </c>
      <c r="CK15" s="4">
        <f>IFERROR(((0+CB11+CB12+CB13+CB14+CB15)/T2),0)</f>
        <v/>
      </c>
      <c r="CL15" s="5">
        <f>IFERROR(ROUND(CB15/CD15,2),0)</f>
        <v/>
      </c>
      <c r="CM15" s="5">
        <f>IFERROR(ROUND(CB15/CE15,2),0)</f>
        <v/>
      </c>
      <c r="CN15" s="2" t="inlineStr">
        <is>
          <t>2023-09-24</t>
        </is>
      </c>
      <c r="CO15" s="5">
        <f>ROUND(2.84,2)</f>
        <v/>
      </c>
      <c r="CP15" s="3">
        <f>ROUND(4766.0,2)</f>
        <v/>
      </c>
      <c r="CQ15" s="3">
        <f>ROUND(302.0,2)</f>
        <v/>
      </c>
      <c r="CR15" s="3">
        <f>ROUND(2199.0,2)</f>
        <v/>
      </c>
      <c r="CS15" s="3">
        <f>ROUND(2061.0,2)</f>
        <v/>
      </c>
      <c r="CT15" s="3">
        <f>ROUND(901.0,2)</f>
        <v/>
      </c>
      <c r="CU15" s="3">
        <f>ROUND(586.0,2)</f>
        <v/>
      </c>
      <c r="CV15" s="3">
        <f>ROUND(408.0,2)</f>
        <v/>
      </c>
      <c r="CW15" s="4">
        <f>IFERROR((CQ15/CP15),0)</f>
        <v/>
      </c>
      <c r="CX15" s="4">
        <f>IFERROR(((0+CO11+CO12+CO13+CO14+CO15)/T2),0)</f>
        <v/>
      </c>
      <c r="CY15" s="5">
        <f>IFERROR(ROUND(CO15/CQ15,2),0)</f>
        <v/>
      </c>
      <c r="CZ15" s="5">
        <f>IFERROR(ROUND(CO15/CR15,2),0)</f>
        <v/>
      </c>
      <c r="DA15" s="2" t="inlineStr">
        <is>
          <t>2023-09-24</t>
        </is>
      </c>
      <c r="DB15" s="5">
        <f>ROUND(3.17,2)</f>
        <v/>
      </c>
      <c r="DC15" s="3">
        <f>ROUND(7367.0,2)</f>
        <v/>
      </c>
      <c r="DD15" s="3">
        <f>ROUND(450.0,2)</f>
        <v/>
      </c>
      <c r="DE15" s="3">
        <f>ROUND(934.0,2)</f>
        <v/>
      </c>
      <c r="DF15" s="3">
        <f>ROUND(474.0,2)</f>
        <v/>
      </c>
      <c r="DG15" s="3">
        <f>ROUND(198.0,2)</f>
        <v/>
      </c>
      <c r="DH15" s="3">
        <f>ROUND(109.0,2)</f>
        <v/>
      </c>
      <c r="DI15" s="3">
        <f>ROUND(43.0,2)</f>
        <v/>
      </c>
      <c r="DJ15" s="4">
        <f>IFERROR((DD15/DC15),0)</f>
        <v/>
      </c>
      <c r="DK15" s="4">
        <f>IFERROR(((0+DB11+DB12+DB13+DB14+DB15)/T2),0)</f>
        <v/>
      </c>
      <c r="DL15" s="5">
        <f>IFERROR(ROUND(DB15/DD15,2),0)</f>
        <v/>
      </c>
      <c r="DM15" s="5">
        <f>IFERROR(ROUND(DB15/DE15,2),0)</f>
        <v/>
      </c>
      <c r="DN15" s="2" t="inlineStr">
        <is>
          <t>2023-09-24</t>
        </is>
      </c>
      <c r="DO15" s="5">
        <f>ROUND(6.86,2)</f>
        <v/>
      </c>
      <c r="DP15" s="3">
        <f>ROUND(14723.0,2)</f>
        <v/>
      </c>
      <c r="DQ15" s="3">
        <f>ROUND(891.0,2)</f>
        <v/>
      </c>
      <c r="DR15" s="3">
        <f>ROUND(1978.0,2)</f>
        <v/>
      </c>
      <c r="DS15" s="3">
        <f>ROUND(1490.0,2)</f>
        <v/>
      </c>
      <c r="DT15" s="3">
        <f>ROUND(887.0,2)</f>
        <v/>
      </c>
      <c r="DU15" s="3">
        <f>ROUND(606.0,2)</f>
        <v/>
      </c>
      <c r="DV15" s="3">
        <f>ROUND(342.0,2)</f>
        <v/>
      </c>
      <c r="DW15" s="4">
        <f>IFERROR((DQ15/DP15),0)</f>
        <v/>
      </c>
      <c r="DX15" s="4">
        <f>IFERROR(((0+DO11+DO12+DO13+DO14+DO15)/T2),0)</f>
        <v/>
      </c>
      <c r="DY15" s="5">
        <f>IFERROR(ROUND(DO15/DQ15,2),0)</f>
        <v/>
      </c>
      <c r="DZ15" s="5">
        <f>IFERROR(ROUND(DO15/DR15,2),0)</f>
        <v/>
      </c>
      <c r="EA15" s="2" t="inlineStr">
        <is>
          <t>2023-09-24</t>
        </is>
      </c>
      <c r="EB15" s="5">
        <f>ROUND(3.69,2)</f>
        <v/>
      </c>
      <c r="EC15" s="3">
        <f>ROUND(8478.0,2)</f>
        <v/>
      </c>
      <c r="ED15" s="3">
        <f>ROUND(494.0,2)</f>
        <v/>
      </c>
      <c r="EE15" s="3">
        <f>ROUND(1422.0,2)</f>
        <v/>
      </c>
      <c r="EF15" s="3">
        <f>ROUND(759.0,2)</f>
        <v/>
      </c>
      <c r="EG15" s="3">
        <f>ROUND(276.0,2)</f>
        <v/>
      </c>
      <c r="EH15" s="3">
        <f>ROUND(188.0,2)</f>
        <v/>
      </c>
      <c r="EI15" s="3">
        <f>ROUND(93.0,2)</f>
        <v/>
      </c>
      <c r="EJ15" s="4">
        <f>IFERROR((ED15/EC15),0)</f>
        <v/>
      </c>
      <c r="EK15" s="4">
        <f>IFERROR(((0+EB11+EB12+EB13+EB14+EB15)/T2),0)</f>
        <v/>
      </c>
      <c r="EL15" s="5">
        <f>IFERROR(ROUND(EB15/ED15,2),0)</f>
        <v/>
      </c>
      <c r="EM15" s="5">
        <f>IFERROR(ROUND(EB15/EE15,2),0)</f>
        <v/>
      </c>
      <c r="EN15" s="2" t="inlineStr">
        <is>
          <t>2023-09-24</t>
        </is>
      </c>
      <c r="EO15" s="5">
        <f>ROUND(0.98,2)</f>
        <v/>
      </c>
      <c r="EP15" s="3">
        <f>ROUND(1681.0,2)</f>
        <v/>
      </c>
      <c r="EQ15" s="3">
        <f>ROUND(101.0,2)</f>
        <v/>
      </c>
      <c r="ER15" s="3">
        <f>ROUND(189.0,2)</f>
        <v/>
      </c>
      <c r="ES15" s="3">
        <f>ROUND(117.0,2)</f>
        <v/>
      </c>
      <c r="ET15" s="3">
        <f>ROUND(55.0,2)</f>
        <v/>
      </c>
      <c r="EU15" s="3">
        <f>ROUND(31.0,2)</f>
        <v/>
      </c>
      <c r="EV15" s="3">
        <f>ROUND(15.0,2)</f>
        <v/>
      </c>
      <c r="EW15" s="4">
        <f>IFERROR((EQ15/EP15),0)</f>
        <v/>
      </c>
      <c r="EX15" s="4">
        <f>IFERROR(((0+EO11+EO12+EO13+EO14+EO15)/T2),0)</f>
        <v/>
      </c>
      <c r="EY15" s="5">
        <f>IFERROR(ROUND(EO15/EQ15,2),0)</f>
        <v/>
      </c>
      <c r="EZ15" s="5">
        <f>IFERROR(ROUND(EO15/ER15,2),0)</f>
        <v/>
      </c>
      <c r="FA15" s="2" t="inlineStr">
        <is>
          <t>2023-09-24</t>
        </is>
      </c>
      <c r="FB15" s="5">
        <f>ROUND(4.29,2)</f>
        <v/>
      </c>
      <c r="FC15" s="3">
        <f>ROUND(7161.0,2)</f>
        <v/>
      </c>
      <c r="FD15" s="3">
        <f>ROUND(409.0,2)</f>
        <v/>
      </c>
      <c r="FE15" s="3">
        <f>ROUND(591.0,2)</f>
        <v/>
      </c>
      <c r="FF15" s="3">
        <f>ROUND(479.0,2)</f>
        <v/>
      </c>
      <c r="FG15" s="3">
        <f>ROUND(270.0,2)</f>
        <v/>
      </c>
      <c r="FH15" s="3">
        <f>ROUND(192.0,2)</f>
        <v/>
      </c>
      <c r="FI15" s="3">
        <f>ROUND(120.0,2)</f>
        <v/>
      </c>
      <c r="FJ15" s="4">
        <f>IFERROR((FD15/FC15),0)</f>
        <v/>
      </c>
      <c r="FK15" s="4">
        <f>IFERROR(((0+FB11+FB12+FB13+FB14+FB15)/T2),0)</f>
        <v/>
      </c>
      <c r="FL15" s="5">
        <f>IFERROR(ROUND(FB15/FD15,2),0)</f>
        <v/>
      </c>
      <c r="FM15" s="5">
        <f>IFERROR(ROUND(FB15/FE15,2),0)</f>
        <v/>
      </c>
      <c r="FN15" s="2" t="inlineStr">
        <is>
          <t>2023-09-24</t>
        </is>
      </c>
      <c r="FO15" s="5">
        <f>ROUND(0.03,2)</f>
        <v/>
      </c>
      <c r="FP15" s="3">
        <f>ROUND(15.0,2)</f>
        <v/>
      </c>
      <c r="FQ15" s="3">
        <f>ROUND(2.0,2)</f>
        <v/>
      </c>
      <c r="FR15" s="3">
        <f>ROUND(2.0,2)</f>
        <v/>
      </c>
      <c r="FS15" s="3">
        <f>ROUND(1.0,2)</f>
        <v/>
      </c>
      <c r="FT15" s="3">
        <f>ROUND(1.0,2)</f>
        <v/>
      </c>
      <c r="FU15" s="3">
        <f>ROUND(0.0,2)</f>
        <v/>
      </c>
      <c r="FV15" s="3">
        <f>ROUND(0.0,2)</f>
        <v/>
      </c>
      <c r="FW15" s="4">
        <f>IFERROR((FQ15/FP15),0)</f>
        <v/>
      </c>
      <c r="FX15" s="4">
        <f>IFERROR(((0+FO11+FO12+FO13+FO14+FO15)/T2),0)</f>
        <v/>
      </c>
      <c r="FY15" s="5">
        <f>IFERROR(ROUND(FO15/FQ15,2),0)</f>
        <v/>
      </c>
      <c r="FZ15" s="5">
        <f>IFERROR(ROUND(FO15/FR15,2),0)</f>
        <v/>
      </c>
      <c r="GA15" s="2" t="inlineStr">
        <is>
          <t>2023-09-24</t>
        </is>
      </c>
      <c r="GB15" s="5">
        <f>ROUND(3.77,2)</f>
        <v/>
      </c>
      <c r="GC15" s="3">
        <f>ROUND(6645.0,2)</f>
        <v/>
      </c>
      <c r="GD15" s="3">
        <f>ROUND(391.0,2)</f>
        <v/>
      </c>
      <c r="GE15" s="3">
        <f>ROUND(934.0,2)</f>
        <v/>
      </c>
      <c r="GF15" s="3">
        <f>ROUND(677.0,2)</f>
        <v/>
      </c>
      <c r="GG15" s="3">
        <f>ROUND(252.0,2)</f>
        <v/>
      </c>
      <c r="GH15" s="3">
        <f>ROUND(132.0,2)</f>
        <v/>
      </c>
      <c r="GI15" s="3">
        <f>ROUND(60.0,2)</f>
        <v/>
      </c>
      <c r="GJ15" s="4">
        <f>IFERROR((GD15/GC15),0)</f>
        <v/>
      </c>
      <c r="GK15" s="4">
        <f>IFERROR(((0+GB11+GB12+GB13+GB14+GB15)/T2),0)</f>
        <v/>
      </c>
      <c r="GL15" s="5">
        <f>IFERROR(ROUND(GB15/GD15,2),0)</f>
        <v/>
      </c>
      <c r="GM15" s="5">
        <f>IFERROR(ROUND(GB15/GE15,2),0)</f>
        <v/>
      </c>
      <c r="GN15" s="2" t="inlineStr">
        <is>
          <t>2023-09-24</t>
        </is>
      </c>
      <c r="GO15" s="5">
        <f>ROUND(1.01,2)</f>
        <v/>
      </c>
      <c r="GP15" s="3">
        <f>ROUND(2119.0,2)</f>
        <v/>
      </c>
      <c r="GQ15" s="3">
        <f>ROUND(93.0,2)</f>
        <v/>
      </c>
      <c r="GR15" s="3">
        <f>ROUND(420.0,2)</f>
        <v/>
      </c>
      <c r="GS15" s="3">
        <f>ROUND(321.0,2)</f>
        <v/>
      </c>
      <c r="GT15" s="3">
        <f>ROUND(140.0,2)</f>
        <v/>
      </c>
      <c r="GU15" s="3">
        <f>ROUND(95.0,2)</f>
        <v/>
      </c>
      <c r="GV15" s="3">
        <f>ROUND(73.0,2)</f>
        <v/>
      </c>
      <c r="GW15" s="4">
        <f>IFERROR((GQ15/GP15),0)</f>
        <v/>
      </c>
      <c r="GX15" s="4">
        <f>IFERROR(((0+GO11+GO12+GO13+GO14+GO15)/T2),0)</f>
        <v/>
      </c>
      <c r="GY15" s="5">
        <f>IFERROR(ROUND(GO15/GQ15,2),0)</f>
        <v/>
      </c>
      <c r="GZ15" s="5">
        <f>IFERROR(ROUND(GO15/GR15,2),0)</f>
        <v/>
      </c>
      <c r="HA15" s="2" t="inlineStr">
        <is>
          <t>2023-09-24</t>
        </is>
      </c>
      <c r="HB15" s="5">
        <f>ROUND(0.69,2)</f>
        <v/>
      </c>
      <c r="HC15" s="3">
        <f>ROUND(637.0,2)</f>
        <v/>
      </c>
      <c r="HD15" s="3">
        <f>ROUND(59.0,2)</f>
        <v/>
      </c>
      <c r="HE15" s="3">
        <f>ROUND(326.0,2)</f>
        <v/>
      </c>
      <c r="HF15" s="3">
        <f>ROUND(282.0,2)</f>
        <v/>
      </c>
      <c r="HG15" s="3">
        <f>ROUND(135.0,2)</f>
        <v/>
      </c>
      <c r="HH15" s="3">
        <f>ROUND(118.0,2)</f>
        <v/>
      </c>
      <c r="HI15" s="3">
        <f>ROUND(7.0,2)</f>
        <v/>
      </c>
      <c r="HJ15" s="4">
        <f>IFERROR((HD15/HC15),0)</f>
        <v/>
      </c>
      <c r="HK15" s="4">
        <f>IFERROR(((0+HB11+HB12+HB13+HB14+HB15)/T2),0)</f>
        <v/>
      </c>
      <c r="HL15" s="5">
        <f>IFERROR(ROUND(HB15/HD15,2),0)</f>
        <v/>
      </c>
      <c r="HM15" s="5">
        <f>IFERROR(ROUND(HB15/HE15,2),0)</f>
        <v/>
      </c>
      <c r="HN15" s="2" t="inlineStr">
        <is>
          <t>2023-09-24</t>
        </is>
      </c>
      <c r="HO15" s="5">
        <f>ROUND(0.03,2)</f>
        <v/>
      </c>
      <c r="HP15" s="3">
        <f>ROUND(56.0,2)</f>
        <v/>
      </c>
      <c r="HQ15" s="3">
        <f>ROUND(1.0,2)</f>
        <v/>
      </c>
      <c r="HR15" s="3">
        <f>ROUND(16.0,2)</f>
        <v/>
      </c>
      <c r="HS15" s="3">
        <f>ROUND(13.0,2)</f>
        <v/>
      </c>
      <c r="HT15" s="3">
        <f>ROUND(5.0,2)</f>
        <v/>
      </c>
      <c r="HU15" s="3">
        <f>ROUND(5.0,2)</f>
        <v/>
      </c>
      <c r="HV15" s="3">
        <f>ROUND(5.0,2)</f>
        <v/>
      </c>
      <c r="HW15" s="4">
        <f>IFERROR((HQ15/HP15),0)</f>
        <v/>
      </c>
      <c r="HX15" s="4">
        <f>IFERROR(((0+HO11+HO12+HO13+HO14+HO15)/T2),0)</f>
        <v/>
      </c>
      <c r="HY15" s="5">
        <f>IFERROR(ROUND(HO15/HQ15,2),0)</f>
        <v/>
      </c>
      <c r="HZ15" s="5">
        <f>IFERROR(ROUND(HO15/HR15,2),0)</f>
        <v/>
      </c>
      <c r="IA15" s="2" t="inlineStr">
        <is>
          <t>2023-09-24</t>
        </is>
      </c>
      <c r="IB15" s="5">
        <f>ROUND(1.38,2)</f>
        <v/>
      </c>
      <c r="IC15" s="3">
        <f>ROUND(2566.0,2)</f>
        <v/>
      </c>
      <c r="ID15" s="3">
        <f>ROUND(117.0,2)</f>
        <v/>
      </c>
      <c r="IE15" s="3">
        <f>ROUND(385.0,2)</f>
        <v/>
      </c>
      <c r="IF15" s="3">
        <f>ROUND(279.0,2)</f>
        <v/>
      </c>
      <c r="IG15" s="3">
        <f>ROUND(126.0,2)</f>
        <v/>
      </c>
      <c r="IH15" s="3">
        <f>ROUND(89.0,2)</f>
        <v/>
      </c>
      <c r="II15" s="3">
        <f>ROUND(52.0,2)</f>
        <v/>
      </c>
      <c r="IJ15" s="4">
        <f>IFERROR((ID15/IC15),0)</f>
        <v/>
      </c>
      <c r="IK15" s="4">
        <f>IFERROR(((0+IB11+IB12+IB13+IB14+IB15)/T2),0)</f>
        <v/>
      </c>
      <c r="IL15" s="5">
        <f>IFERROR(ROUND(IB15/ID15,2),0)</f>
        <v/>
      </c>
      <c r="IM15" s="5">
        <f>IFERROR(ROUND(IB15/IE15,2),0)</f>
        <v/>
      </c>
      <c r="IN15" s="2" t="inlineStr">
        <is>
          <t>2023-09-24</t>
        </is>
      </c>
      <c r="IO15" s="5">
        <f>ROUND(5.37,2)</f>
        <v/>
      </c>
      <c r="IP15" s="3">
        <f>ROUND(9879.0,2)</f>
        <v/>
      </c>
      <c r="IQ15" s="3">
        <f>ROUND(479.0,2)</f>
        <v/>
      </c>
      <c r="IR15" s="3">
        <f>ROUND(1716.0,2)</f>
        <v/>
      </c>
      <c r="IS15" s="3">
        <f>ROUND(1500.0,2)</f>
        <v/>
      </c>
      <c r="IT15" s="3">
        <f>ROUND(1012.0,2)</f>
        <v/>
      </c>
      <c r="IU15" s="3">
        <f>ROUND(853.0,2)</f>
        <v/>
      </c>
      <c r="IV15" s="3">
        <f>ROUND(639.0,2)</f>
        <v/>
      </c>
      <c r="IW15" s="4">
        <f>IFERROR((IQ15/IP15),0)</f>
        <v/>
      </c>
      <c r="IX15" s="4">
        <f>IFERROR(((0+IO11+IO12+IO13+IO14+IO15)/T2),0)</f>
        <v/>
      </c>
      <c r="IY15" s="5">
        <f>IFERROR(ROUND(IO15/IQ15,2),0)</f>
        <v/>
      </c>
      <c r="IZ15" s="5">
        <f>IFERROR(ROUND(IO15/IR15,2),0)</f>
        <v/>
      </c>
      <c r="JA15" s="2" t="inlineStr">
        <is>
          <t>2023-09-24</t>
        </is>
      </c>
      <c r="JB15" s="5">
        <f>ROUND(0.3,2)</f>
        <v/>
      </c>
      <c r="JC15" s="3">
        <f>ROUND(367.0,2)</f>
        <v/>
      </c>
      <c r="JD15" s="3">
        <f>ROUND(22.0,2)</f>
        <v/>
      </c>
      <c r="JE15" s="3">
        <f>ROUND(80.0,2)</f>
        <v/>
      </c>
      <c r="JF15" s="3">
        <f>ROUND(65.0,2)</f>
        <v/>
      </c>
      <c r="JG15" s="3">
        <f>ROUND(30.0,2)</f>
        <v/>
      </c>
      <c r="JH15" s="3">
        <f>ROUND(24.0,2)</f>
        <v/>
      </c>
      <c r="JI15" s="3">
        <f>ROUND(4.0,2)</f>
        <v/>
      </c>
      <c r="JJ15" s="4">
        <f>IFERROR((JD15/JC15),0)</f>
        <v/>
      </c>
      <c r="JK15" s="4">
        <f>IFERROR(((0+JB11+JB12+JB13+JB14+JB15)/T2),0)</f>
        <v/>
      </c>
      <c r="JL15" s="5">
        <f>IFERROR(ROUND(JB15/JD15,2),0)</f>
        <v/>
      </c>
      <c r="JM15" s="5">
        <f>IFERROR(ROUND(JB15/JE15,2),0)</f>
        <v/>
      </c>
    </row>
    <row r="16">
      <c r="A16" s="2" t="inlineStr">
        <is>
          <t>2023-09-25</t>
        </is>
      </c>
      <c r="B16" s="5">
        <f>ROUND(61.63,2)</f>
        <v/>
      </c>
      <c r="C16" s="3">
        <f>ROUND(140175.0,2)</f>
        <v/>
      </c>
      <c r="D16" s="3">
        <f>ROUND(6961.0,2)</f>
        <v/>
      </c>
      <c r="E16" s="3">
        <f>ROUND(27375.0,2)</f>
        <v/>
      </c>
      <c r="F16" s="3">
        <f>ROUND(21553.0,2)</f>
        <v/>
      </c>
      <c r="G16" s="3">
        <f>ROUND(10449.0,2)</f>
        <v/>
      </c>
      <c r="H16" s="3">
        <f>ROUND(7158.0,2)</f>
        <v/>
      </c>
      <c r="I16" s="3">
        <f>ROUND(4092.0,2)</f>
        <v/>
      </c>
      <c r="J16" s="4">
        <f>IFERROR((D16/C16),0)</f>
        <v/>
      </c>
      <c r="K16" s="4">
        <f>IFERROR(((0+B11+B12+B13+B14+B15+B16)/T2),0)</f>
        <v/>
      </c>
      <c r="L16" s="5">
        <f>IFERROR(ROUND(B16/D16,2),0)</f>
        <v/>
      </c>
      <c r="M16" s="5">
        <f>IFERROR(ROUND(B16/E16,2),0)</f>
        <v/>
      </c>
      <c r="N16" s="2" t="inlineStr">
        <is>
          <t>2023-09-25</t>
        </is>
      </c>
      <c r="O16" s="5">
        <f>ROUND(2.06,2)</f>
        <v/>
      </c>
      <c r="P16" s="3">
        <f>ROUND(5296.0,2)</f>
        <v/>
      </c>
      <c r="Q16" s="3">
        <f>ROUND(256.0,2)</f>
        <v/>
      </c>
      <c r="R16" s="3">
        <f>ROUND(710.0,2)</f>
        <v/>
      </c>
      <c r="S16" s="3">
        <f>ROUND(494.0,2)</f>
        <v/>
      </c>
      <c r="T16" s="3">
        <f>ROUND(188.0,2)</f>
        <v/>
      </c>
      <c r="U16" s="3">
        <f>ROUND(94.0,2)</f>
        <v/>
      </c>
      <c r="V16" s="3">
        <f>ROUND(53.0,2)</f>
        <v/>
      </c>
      <c r="W16" s="4">
        <f>IFERROR((Q16/P16),0)</f>
        <v/>
      </c>
      <c r="X16" s="4">
        <f>IFERROR(((0+O11+O12+O13+O14+O15+O16)/T2),0)</f>
        <v/>
      </c>
      <c r="Y16" s="5">
        <f>IFERROR(ROUND(O16/Q16,2),0)</f>
        <v/>
      </c>
      <c r="Z16" s="5">
        <f>IFERROR(ROUND(O16/R16,2),0)</f>
        <v/>
      </c>
      <c r="AA16" s="2" t="inlineStr">
        <is>
          <t>2023-09-25</t>
        </is>
      </c>
      <c r="AB16" s="5">
        <f>ROUND(0.14,2)</f>
        <v/>
      </c>
      <c r="AC16" s="3">
        <f>ROUND(302.0,2)</f>
        <v/>
      </c>
      <c r="AD16" s="3">
        <f>ROUND(16.0,2)</f>
        <v/>
      </c>
      <c r="AE16" s="3">
        <f>ROUND(84.0,2)</f>
        <v/>
      </c>
      <c r="AF16" s="3">
        <f>ROUND(71.0,2)</f>
        <v/>
      </c>
      <c r="AG16" s="3">
        <f>ROUND(39.0,2)</f>
        <v/>
      </c>
      <c r="AH16" s="3">
        <f>ROUND(33.0,2)</f>
        <v/>
      </c>
      <c r="AI16" s="3">
        <f>ROUND(5.0,2)</f>
        <v/>
      </c>
      <c r="AJ16" s="4">
        <f>IFERROR((AD16/AC16),0)</f>
        <v/>
      </c>
      <c r="AK16" s="4">
        <f>IFERROR(((0+AB11+AB12+AB13+AB14+AB15+AB16)/T2),0)</f>
        <v/>
      </c>
      <c r="AL16" s="5">
        <f>IFERROR(ROUND(AB16/AD16,2),0)</f>
        <v/>
      </c>
      <c r="AM16" s="5">
        <f>IFERROR(ROUND(AB16/AE16,2),0)</f>
        <v/>
      </c>
      <c r="AN16" s="2" t="inlineStr">
        <is>
          <t>2023-09-25</t>
        </is>
      </c>
      <c r="AO16" s="5">
        <f>ROUND(0.1,2)</f>
        <v/>
      </c>
      <c r="AP16" s="3">
        <f>ROUND(102.0,2)</f>
        <v/>
      </c>
      <c r="AQ16" s="3">
        <f>ROUND(4.0,2)</f>
        <v/>
      </c>
      <c r="AR16" s="3">
        <f>ROUND(21.0,2)</f>
        <v/>
      </c>
      <c r="AS16" s="3">
        <f>ROUND(16.0,2)</f>
        <v/>
      </c>
      <c r="AT16" s="3">
        <f>ROUND(8.0,2)</f>
        <v/>
      </c>
      <c r="AU16" s="3">
        <f>ROUND(4.0,2)</f>
        <v/>
      </c>
      <c r="AV16" s="3">
        <f>ROUND(2.0,2)</f>
        <v/>
      </c>
      <c r="AW16" s="4">
        <f>IFERROR((AQ16/AP16),0)</f>
        <v/>
      </c>
      <c r="AX16" s="4">
        <f>IFERROR(((0+AO11+AO12+AO13+AO14+AO15+AO16)/T2),0)</f>
        <v/>
      </c>
      <c r="AY16" s="5">
        <f>IFERROR(ROUND(AO16/AQ16,2),0)</f>
        <v/>
      </c>
      <c r="AZ16" s="5">
        <f>IFERROR(ROUND(AO16/AR16,2),0)</f>
        <v/>
      </c>
      <c r="BA16" s="2" t="inlineStr">
        <is>
          <t>2023-09-25</t>
        </is>
      </c>
      <c r="BB16" s="5">
        <f>ROUND(9.97,2)</f>
        <v/>
      </c>
      <c r="BC16" s="3">
        <f>ROUND(29439.0,2)</f>
        <v/>
      </c>
      <c r="BD16" s="3">
        <f>ROUND(1312.0,2)</f>
        <v/>
      </c>
      <c r="BE16" s="3">
        <f>ROUND(6265.0,2)</f>
        <v/>
      </c>
      <c r="BF16" s="3">
        <f>ROUND(4733.0,2)</f>
        <v/>
      </c>
      <c r="BG16" s="3">
        <f>ROUND(2010.0,2)</f>
        <v/>
      </c>
      <c r="BH16" s="3">
        <f>ROUND(1115.0,2)</f>
        <v/>
      </c>
      <c r="BI16" s="3">
        <f>ROUND(609.0,2)</f>
        <v/>
      </c>
      <c r="BJ16" s="4">
        <f>IFERROR((BD16/BC16),0)</f>
        <v/>
      </c>
      <c r="BK16" s="4">
        <f>IFERROR(((0+BB11+BB12+BB13+BB14+BB15+BB16)/T2),0)</f>
        <v/>
      </c>
      <c r="BL16" s="5">
        <f>IFERROR(ROUND(BB16/BD16,2),0)</f>
        <v/>
      </c>
      <c r="BM16" s="5">
        <f>IFERROR(ROUND(BB16/BE16,2),0)</f>
        <v/>
      </c>
      <c r="BN16" s="2" t="inlineStr">
        <is>
          <t>2023-09-25</t>
        </is>
      </c>
      <c r="BO16" s="5">
        <f>ROUND(12.35,2)</f>
        <v/>
      </c>
      <c r="BP16" s="3">
        <f>ROUND(35413.0,2)</f>
        <v/>
      </c>
      <c r="BQ16" s="3">
        <f>ROUND(1417.0,2)</f>
        <v/>
      </c>
      <c r="BR16" s="3">
        <f>ROUND(7946.0,2)</f>
        <v/>
      </c>
      <c r="BS16" s="3">
        <f>ROUND(6658.0,2)</f>
        <v/>
      </c>
      <c r="BT16" s="3">
        <f>ROUND(3533.0,2)</f>
        <v/>
      </c>
      <c r="BU16" s="3">
        <f>ROUND(2693.0,2)</f>
        <v/>
      </c>
      <c r="BV16" s="3">
        <f>ROUND(1572.0,2)</f>
        <v/>
      </c>
      <c r="BW16" s="4">
        <f>IFERROR((BQ16/BP16),0)</f>
        <v/>
      </c>
      <c r="BX16" s="4">
        <f>IFERROR(((0+BO11+BO12+BO13+BO14+BO15+BO16)/T2),0)</f>
        <v/>
      </c>
      <c r="BY16" s="5">
        <f>IFERROR(ROUND(BO16/BQ16,2),0)</f>
        <v/>
      </c>
      <c r="BZ16" s="5">
        <f>IFERROR(ROUND(BO16/BR16,2),0)</f>
        <v/>
      </c>
      <c r="CA16" s="2" t="inlineStr">
        <is>
          <t>2023-09-25</t>
        </is>
      </c>
      <c r="CB16" s="5">
        <f>ROUND(0.95,2)</f>
        <v/>
      </c>
      <c r="CC16" s="3">
        <f>ROUND(2141.0,2)</f>
        <v/>
      </c>
      <c r="CD16" s="3">
        <f>ROUND(96.0,2)</f>
        <v/>
      </c>
      <c r="CE16" s="3">
        <f>ROUND(529.0,2)</f>
        <v/>
      </c>
      <c r="CF16" s="3">
        <f>ROUND(392.0,2)</f>
        <v/>
      </c>
      <c r="CG16" s="3">
        <f>ROUND(191.0,2)</f>
        <v/>
      </c>
      <c r="CH16" s="3">
        <f>ROUND(125.0,2)</f>
        <v/>
      </c>
      <c r="CI16" s="3">
        <f>ROUND(46.0,2)</f>
        <v/>
      </c>
      <c r="CJ16" s="4">
        <f>IFERROR((CD16/CC16),0)</f>
        <v/>
      </c>
      <c r="CK16" s="4">
        <f>IFERROR(((0+CB11+CB12+CB13+CB14+CB15+CB16)/T2),0)</f>
        <v/>
      </c>
      <c r="CL16" s="5">
        <f>IFERROR(ROUND(CB16/CD16,2),0)</f>
        <v/>
      </c>
      <c r="CM16" s="5">
        <f>IFERROR(ROUND(CB16/CE16,2),0)</f>
        <v/>
      </c>
      <c r="CN16" s="2" t="inlineStr">
        <is>
          <t>2023-09-25</t>
        </is>
      </c>
      <c r="CO16" s="5">
        <f>ROUND(4.16,2)</f>
        <v/>
      </c>
      <c r="CP16" s="3">
        <f>ROUND(6336.0,2)</f>
        <v/>
      </c>
      <c r="CQ16" s="3">
        <f>ROUND(461.0,2)</f>
        <v/>
      </c>
      <c r="CR16" s="3">
        <f>ROUND(2942.0,2)</f>
        <v/>
      </c>
      <c r="CS16" s="3">
        <f>ROUND(2771.0,2)</f>
        <v/>
      </c>
      <c r="CT16" s="3">
        <f>ROUND(1265.0,2)</f>
        <v/>
      </c>
      <c r="CU16" s="3">
        <f>ROUND(819.0,2)</f>
        <v/>
      </c>
      <c r="CV16" s="3">
        <f>ROUND(584.0,2)</f>
        <v/>
      </c>
      <c r="CW16" s="4">
        <f>IFERROR((CQ16/CP16),0)</f>
        <v/>
      </c>
      <c r="CX16" s="4">
        <f>IFERROR(((0+CO11+CO12+CO13+CO14+CO15+CO16)/T2),0)</f>
        <v/>
      </c>
      <c r="CY16" s="5">
        <f>IFERROR(ROUND(CO16/CQ16,2),0)</f>
        <v/>
      </c>
      <c r="CZ16" s="5">
        <f>IFERROR(ROUND(CO16/CR16,2),0)</f>
        <v/>
      </c>
      <c r="DA16" s="2" t="inlineStr">
        <is>
          <t>2023-09-25</t>
        </is>
      </c>
      <c r="DB16" s="5">
        <f>ROUND(3.08,2)</f>
        <v/>
      </c>
      <c r="DC16" s="3">
        <f>ROUND(6951.0,2)</f>
        <v/>
      </c>
      <c r="DD16" s="3">
        <f>ROUND(389.0,2)</f>
        <v/>
      </c>
      <c r="DE16" s="3">
        <f>ROUND(760.0,2)</f>
        <v/>
      </c>
      <c r="DF16" s="3">
        <f>ROUND(429.0,2)</f>
        <v/>
      </c>
      <c r="DG16" s="3">
        <f>ROUND(195.0,2)</f>
        <v/>
      </c>
      <c r="DH16" s="3">
        <f>ROUND(109.0,2)</f>
        <v/>
      </c>
      <c r="DI16" s="3">
        <f>ROUND(52.0,2)</f>
        <v/>
      </c>
      <c r="DJ16" s="4">
        <f>IFERROR((DD16/DC16),0)</f>
        <v/>
      </c>
      <c r="DK16" s="4">
        <f>IFERROR(((0+DB11+DB12+DB13+DB14+DB15+DB16)/T2),0)</f>
        <v/>
      </c>
      <c r="DL16" s="5">
        <f>IFERROR(ROUND(DB16/DD16,2),0)</f>
        <v/>
      </c>
      <c r="DM16" s="5">
        <f>IFERROR(ROUND(DB16/DE16,2),0)</f>
        <v/>
      </c>
      <c r="DN16" s="2" t="inlineStr">
        <is>
          <t>2023-09-25</t>
        </is>
      </c>
      <c r="DO16" s="5">
        <f>ROUND(7.5,2)</f>
        <v/>
      </c>
      <c r="DP16" s="3">
        <f>ROUND(15867.0,2)</f>
        <v/>
      </c>
      <c r="DQ16" s="3">
        <f>ROUND(964.0,2)</f>
        <v/>
      </c>
      <c r="DR16" s="3">
        <f>ROUND(2183.0,2)</f>
        <v/>
      </c>
      <c r="DS16" s="3">
        <f>ROUND(1626.0,2)</f>
        <v/>
      </c>
      <c r="DT16" s="3">
        <f>ROUND(915.0,2)</f>
        <v/>
      </c>
      <c r="DU16" s="3">
        <f>ROUND(597.0,2)</f>
        <v/>
      </c>
      <c r="DV16" s="3">
        <f>ROUND(329.0,2)</f>
        <v/>
      </c>
      <c r="DW16" s="4">
        <f>IFERROR((DQ16/DP16),0)</f>
        <v/>
      </c>
      <c r="DX16" s="4">
        <f>IFERROR(((0+DO11+DO12+DO13+DO14+DO15+DO16)/T2),0)</f>
        <v/>
      </c>
      <c r="DY16" s="5">
        <f>IFERROR(ROUND(DO16/DQ16,2),0)</f>
        <v/>
      </c>
      <c r="DZ16" s="5">
        <f>IFERROR(ROUND(DO16/DR16,2),0)</f>
        <v/>
      </c>
      <c r="EA16" s="2" t="inlineStr">
        <is>
          <t>2023-09-25</t>
        </is>
      </c>
      <c r="EB16" s="5">
        <f>ROUND(3.32,2)</f>
        <v/>
      </c>
      <c r="EC16" s="3">
        <f>ROUND(7808.0,2)</f>
        <v/>
      </c>
      <c r="ED16" s="3">
        <f>ROUND(424.0,2)</f>
        <v/>
      </c>
      <c r="EE16" s="3">
        <f>ROUND(1325.0,2)</f>
        <v/>
      </c>
      <c r="EF16" s="3">
        <f>ROUND(753.0,2)</f>
        <v/>
      </c>
      <c r="EG16" s="3">
        <f>ROUND(292.0,2)</f>
        <v/>
      </c>
      <c r="EH16" s="3">
        <f>ROUND(199.0,2)</f>
        <v/>
      </c>
      <c r="EI16" s="3">
        <f>ROUND(97.0,2)</f>
        <v/>
      </c>
      <c r="EJ16" s="4">
        <f>IFERROR((ED16/EC16),0)</f>
        <v/>
      </c>
      <c r="EK16" s="4">
        <f>IFERROR(((0+EB11+EB12+EB13+EB14+EB15+EB16)/T2),0)</f>
        <v/>
      </c>
      <c r="EL16" s="5">
        <f>IFERROR(ROUND(EB16/ED16,2),0)</f>
        <v/>
      </c>
      <c r="EM16" s="5">
        <f>IFERROR(ROUND(EB16/EE16,2),0)</f>
        <v/>
      </c>
      <c r="EN16" s="2" t="inlineStr">
        <is>
          <t>2023-09-25</t>
        </is>
      </c>
      <c r="EO16" s="5">
        <f>ROUND(1.54,2)</f>
        <v/>
      </c>
      <c r="EP16" s="3">
        <f>ROUND(2558.0,2)</f>
        <v/>
      </c>
      <c r="EQ16" s="3">
        <f>ROUND(150.0,2)</f>
        <v/>
      </c>
      <c r="ER16" s="3">
        <f>ROUND(203.0,2)</f>
        <v/>
      </c>
      <c r="ES16" s="3">
        <f>ROUND(123.0,2)</f>
        <v/>
      </c>
      <c r="ET16" s="3">
        <f>ROUND(59.0,2)</f>
        <v/>
      </c>
      <c r="EU16" s="3">
        <f>ROUND(31.0,2)</f>
        <v/>
      </c>
      <c r="EV16" s="3">
        <f>ROUND(16.0,2)</f>
        <v/>
      </c>
      <c r="EW16" s="4">
        <f>IFERROR((EQ16/EP16),0)</f>
        <v/>
      </c>
      <c r="EX16" s="4">
        <f>IFERROR(((0+EO11+EO12+EO13+EO14+EO15+EO16)/T2),0)</f>
        <v/>
      </c>
      <c r="EY16" s="5">
        <f>IFERROR(ROUND(EO16/EQ16,2),0)</f>
        <v/>
      </c>
      <c r="EZ16" s="5">
        <f>IFERROR(ROUND(EO16/ER16,2),0)</f>
        <v/>
      </c>
      <c r="FA16" s="2" t="inlineStr">
        <is>
          <t>2023-09-25</t>
        </is>
      </c>
      <c r="FB16" s="5">
        <f>ROUND(4.15,2)</f>
        <v/>
      </c>
      <c r="FC16" s="3">
        <f>ROUND(6691.0,2)</f>
        <v/>
      </c>
      <c r="FD16" s="3">
        <f>ROUND(396.0,2)</f>
        <v/>
      </c>
      <c r="FE16" s="3">
        <f>ROUND(604.0,2)</f>
        <v/>
      </c>
      <c r="FF16" s="3">
        <f>ROUND(477.0,2)</f>
        <v/>
      </c>
      <c r="FG16" s="3">
        <f>ROUND(270.0,2)</f>
        <v/>
      </c>
      <c r="FH16" s="3">
        <f>ROUND(196.0,2)</f>
        <v/>
      </c>
      <c r="FI16" s="3">
        <f>ROUND(122.0,2)</f>
        <v/>
      </c>
      <c r="FJ16" s="4">
        <f>IFERROR((FD16/FC16),0)</f>
        <v/>
      </c>
      <c r="FK16" s="4">
        <f>IFERROR(((0+FB11+FB12+FB13+FB14+FB15+FB16)/T2),0)</f>
        <v/>
      </c>
      <c r="FL16" s="5">
        <f>IFERROR(ROUND(FB16/FD16,2),0)</f>
        <v/>
      </c>
      <c r="FM16" s="5">
        <f>IFERROR(ROUND(FB16/FE16,2),0)</f>
        <v/>
      </c>
      <c r="FN16" s="2" t="inlineStr">
        <is>
          <t>2023-09-25</t>
        </is>
      </c>
      <c r="FO16" s="5">
        <f>ROUND(0.01,2)</f>
        <v/>
      </c>
      <c r="FP16" s="3">
        <f>ROUND(22.0,2)</f>
        <v/>
      </c>
      <c r="FQ16" s="3">
        <f>ROUND(1.0,2)</f>
        <v/>
      </c>
      <c r="FR16" s="3">
        <f>ROUND(1.0,2)</f>
        <v/>
      </c>
      <c r="FS16" s="3">
        <f>ROUND(0.0,2)</f>
        <v/>
      </c>
      <c r="FT16" s="3">
        <f>ROUND(0.0,2)</f>
        <v/>
      </c>
      <c r="FU16" s="3">
        <f>ROUND(0.0,2)</f>
        <v/>
      </c>
      <c r="FV16" s="3">
        <f>ROUND(0.0,2)</f>
        <v/>
      </c>
      <c r="FW16" s="4">
        <f>IFERROR((FQ16/FP16),0)</f>
        <v/>
      </c>
      <c r="FX16" s="4">
        <f>IFERROR(((0+FO11+FO12+FO13+FO14+FO15+FO16)/T2),0)</f>
        <v/>
      </c>
      <c r="FY16" s="5">
        <f>IFERROR(ROUND(FO16/FQ16,2),0)</f>
        <v/>
      </c>
      <c r="FZ16" s="5">
        <f>IFERROR(ROUND(FO16/FR16,2),0)</f>
        <v/>
      </c>
      <c r="GA16" s="2" t="inlineStr">
        <is>
          <t>2023-09-25</t>
        </is>
      </c>
      <c r="GB16" s="5">
        <f>ROUND(3.57,2)</f>
        <v/>
      </c>
      <c r="GC16" s="3">
        <f>ROUND(7149.0,2)</f>
        <v/>
      </c>
      <c r="GD16" s="3">
        <f>ROUND(350.0,2)</f>
        <v/>
      </c>
      <c r="GE16" s="3">
        <f>ROUND(1145.0,2)</f>
        <v/>
      </c>
      <c r="GF16" s="3">
        <f>ROUND(799.0,2)</f>
        <v/>
      </c>
      <c r="GG16" s="3">
        <f>ROUND(295.0,2)</f>
        <v/>
      </c>
      <c r="GH16" s="3">
        <f>ROUND(165.0,2)</f>
        <v/>
      </c>
      <c r="GI16" s="3">
        <f>ROUND(82.0,2)</f>
        <v/>
      </c>
      <c r="GJ16" s="4">
        <f>IFERROR((GD16/GC16),0)</f>
        <v/>
      </c>
      <c r="GK16" s="4">
        <f>IFERROR(((0+GB11+GB12+GB13+GB14+GB15+GB16)/T2),0)</f>
        <v/>
      </c>
      <c r="GL16" s="5">
        <f>IFERROR(ROUND(GB16/GD16,2),0)</f>
        <v/>
      </c>
      <c r="GM16" s="5">
        <f>IFERROR(ROUND(GB16/GE16,2),0)</f>
        <v/>
      </c>
      <c r="GN16" s="2" t="inlineStr">
        <is>
          <t>2023-09-25</t>
        </is>
      </c>
      <c r="GO16" s="5">
        <f>ROUND(1.18,2)</f>
        <v/>
      </c>
      <c r="GP16" s="3">
        <f>ROUND(2192.0,2)</f>
        <v/>
      </c>
      <c r="GQ16" s="3">
        <f>ROUND(109.0,2)</f>
        <v/>
      </c>
      <c r="GR16" s="3">
        <f>ROUND(425.0,2)</f>
        <v/>
      </c>
      <c r="GS16" s="3">
        <f>ROUND(334.0,2)</f>
        <v/>
      </c>
      <c r="GT16" s="3">
        <f>ROUND(138.0,2)</f>
        <v/>
      </c>
      <c r="GU16" s="3">
        <f>ROUND(94.0,2)</f>
        <v/>
      </c>
      <c r="GV16" s="3">
        <f>ROUND(75.0,2)</f>
        <v/>
      </c>
      <c r="GW16" s="4">
        <f>IFERROR((GQ16/GP16),0)</f>
        <v/>
      </c>
      <c r="GX16" s="4">
        <f>IFERROR(((0+GO11+GO12+GO13+GO14+GO15+GO16)/T2),0)</f>
        <v/>
      </c>
      <c r="GY16" s="5">
        <f>IFERROR(ROUND(GO16/GQ16,2),0)</f>
        <v/>
      </c>
      <c r="GZ16" s="5">
        <f>IFERROR(ROUND(GO16/GR16,2),0)</f>
        <v/>
      </c>
      <c r="HA16" s="2" t="inlineStr">
        <is>
          <t>2023-09-25</t>
        </is>
      </c>
      <c r="HB16" s="5">
        <f>ROUND(1.29,2)</f>
        <v/>
      </c>
      <c r="HC16" s="3">
        <f>ROUND(1042.0,2)</f>
        <v/>
      </c>
      <c r="HD16" s="3">
        <f>ROUND(94.0,2)</f>
        <v/>
      </c>
      <c r="HE16" s="3">
        <f>ROUND(529.0,2)</f>
        <v/>
      </c>
      <c r="HF16" s="3">
        <f>ROUND(471.0,2)</f>
        <v/>
      </c>
      <c r="HG16" s="3">
        <f>ROUND(232.0,2)</f>
        <v/>
      </c>
      <c r="HH16" s="3">
        <f>ROUND(199.0,2)</f>
        <v/>
      </c>
      <c r="HI16" s="3">
        <f>ROUND(12.0,2)</f>
        <v/>
      </c>
      <c r="HJ16" s="4">
        <f>IFERROR((HD16/HC16),0)</f>
        <v/>
      </c>
      <c r="HK16" s="4">
        <f>IFERROR(((0+HB11+HB12+HB13+HB14+HB15+HB16)/T2),0)</f>
        <v/>
      </c>
      <c r="HL16" s="5">
        <f>IFERROR(ROUND(HB16/HD16,2),0)</f>
        <v/>
      </c>
      <c r="HM16" s="5">
        <f>IFERROR(ROUND(HB16/HE16,2),0)</f>
        <v/>
      </c>
      <c r="HN16" s="2" t="inlineStr">
        <is>
          <t>2023-09-25</t>
        </is>
      </c>
      <c r="HO16" s="5">
        <f>ROUND(0.02,2)</f>
        <v/>
      </c>
      <c r="HP16" s="3">
        <f>ROUND(23.0,2)</f>
        <v/>
      </c>
      <c r="HQ16" s="3">
        <f>ROUND(1.0,2)</f>
        <v/>
      </c>
      <c r="HR16" s="3">
        <f>ROUND(12.0,2)</f>
        <v/>
      </c>
      <c r="HS16" s="3">
        <f>ROUND(10.0,2)</f>
        <v/>
      </c>
      <c r="HT16" s="3">
        <f>ROUND(5.0,2)</f>
        <v/>
      </c>
      <c r="HU16" s="3">
        <f>ROUND(4.0,2)</f>
        <v/>
      </c>
      <c r="HV16" s="3">
        <f>ROUND(4.0,2)</f>
        <v/>
      </c>
      <c r="HW16" s="4">
        <f>IFERROR((HQ16/HP16),0)</f>
        <v/>
      </c>
      <c r="HX16" s="4">
        <f>IFERROR(((0+HO11+HO12+HO13+HO14+HO15+HO16)/T2),0)</f>
        <v/>
      </c>
      <c r="HY16" s="5">
        <f>IFERROR(ROUND(HO16/HQ16,2),0)</f>
        <v/>
      </c>
      <c r="HZ16" s="5">
        <f>IFERROR(ROUND(HO16/HR16,2),0)</f>
        <v/>
      </c>
      <c r="IA16" s="2" t="inlineStr">
        <is>
          <t>2023-09-25</t>
        </is>
      </c>
      <c r="IB16" s="5">
        <f>ROUND(1.2,2)</f>
        <v/>
      </c>
      <c r="IC16" s="3">
        <f>ROUND(2257.0,2)</f>
        <v/>
      </c>
      <c r="ID16" s="3">
        <f>ROUND(112.0,2)</f>
        <v/>
      </c>
      <c r="IE16" s="3">
        <f>ROUND(377.0,2)</f>
        <v/>
      </c>
      <c r="IF16" s="3">
        <f>ROUND(275.0,2)</f>
        <v/>
      </c>
      <c r="IG16" s="3">
        <f>ROUND(114.0,2)</f>
        <v/>
      </c>
      <c r="IH16" s="3">
        <f>ROUND(89.0,2)</f>
        <v/>
      </c>
      <c r="II16" s="3">
        <f>ROUND(41.0,2)</f>
        <v/>
      </c>
      <c r="IJ16" s="4">
        <f>IFERROR((ID16/IC16),0)</f>
        <v/>
      </c>
      <c r="IK16" s="4">
        <f>IFERROR(((0+IB11+IB12+IB13+IB14+IB15+IB16)/T2),0)</f>
        <v/>
      </c>
      <c r="IL16" s="5">
        <f>IFERROR(ROUND(IB16/ID16,2),0)</f>
        <v/>
      </c>
      <c r="IM16" s="5">
        <f>IFERROR(ROUND(IB16/IE16,2),0)</f>
        <v/>
      </c>
      <c r="IN16" s="2" t="inlineStr">
        <is>
          <t>2023-09-25</t>
        </is>
      </c>
      <c r="IO16" s="5">
        <f>ROUND(4.43,2)</f>
        <v/>
      </c>
      <c r="IP16" s="3">
        <f>ROUND(7825.0,2)</f>
        <v/>
      </c>
      <c r="IQ16" s="3">
        <f>ROUND(353.0,2)</f>
        <v/>
      </c>
      <c r="IR16" s="3">
        <f>ROUND(1131.0,2)</f>
        <v/>
      </c>
      <c r="IS16" s="3">
        <f>ROUND(973.0,2)</f>
        <v/>
      </c>
      <c r="IT16" s="3">
        <f>ROUND(615.0,2)</f>
        <v/>
      </c>
      <c r="IU16" s="3">
        <f>ROUND(521.0,2)</f>
        <v/>
      </c>
      <c r="IV16" s="3">
        <f>ROUND(364.0,2)</f>
        <v/>
      </c>
      <c r="IW16" s="4">
        <f>IFERROR((IQ16/IP16),0)</f>
        <v/>
      </c>
      <c r="IX16" s="4">
        <f>IFERROR(((0+IO11+IO12+IO13+IO14+IO15+IO16)/T2),0)</f>
        <v/>
      </c>
      <c r="IY16" s="5">
        <f>IFERROR(ROUND(IO16/IQ16,2),0)</f>
        <v/>
      </c>
      <c r="IZ16" s="5">
        <f>IFERROR(ROUND(IO16/IR16,2),0)</f>
        <v/>
      </c>
      <c r="JA16" s="2" t="inlineStr">
        <is>
          <t>2023-09-25</t>
        </is>
      </c>
      <c r="JB16" s="5">
        <f>ROUND(0.61,2)</f>
        <v/>
      </c>
      <c r="JC16" s="3">
        <f>ROUND(761.0,2)</f>
        <v/>
      </c>
      <c r="JD16" s="3">
        <f>ROUND(56.0,2)</f>
        <v/>
      </c>
      <c r="JE16" s="3">
        <f>ROUND(183.0,2)</f>
        <v/>
      </c>
      <c r="JF16" s="3">
        <f>ROUND(148.0,2)</f>
        <v/>
      </c>
      <c r="JG16" s="3">
        <f>ROUND(85.0,2)</f>
        <v/>
      </c>
      <c r="JH16" s="3">
        <f>ROUND(71.0,2)</f>
        <v/>
      </c>
      <c r="JI16" s="3">
        <f>ROUND(27.0,2)</f>
        <v/>
      </c>
      <c r="JJ16" s="4">
        <f>IFERROR((JD16/JC16),0)</f>
        <v/>
      </c>
      <c r="JK16" s="4">
        <f>IFERROR(((0+JB11+JB12+JB13+JB14+JB15+JB16)/T2),0)</f>
        <v/>
      </c>
      <c r="JL16" s="5">
        <f>IFERROR(ROUND(JB16/JD16,2),0)</f>
        <v/>
      </c>
      <c r="JM16" s="5">
        <f>IFERROR(ROUND(JB16/JE16,2),0)</f>
        <v/>
      </c>
    </row>
    <row r="17">
      <c r="A17" s="2" t="inlineStr">
        <is>
          <t>2023-09-26</t>
        </is>
      </c>
      <c r="B17" s="5">
        <f>ROUND(59.65,2)</f>
        <v/>
      </c>
      <c r="C17" s="3">
        <f>ROUND(146603.0,2)</f>
        <v/>
      </c>
      <c r="D17" s="3">
        <f>ROUND(6675.0,2)</f>
        <v/>
      </c>
      <c r="E17" s="3">
        <f>ROUND(26182.0,2)</f>
        <v/>
      </c>
      <c r="F17" s="3">
        <f>ROUND(20202.0,2)</f>
        <v/>
      </c>
      <c r="G17" s="3">
        <f>ROUND(9759.0,2)</f>
        <v/>
      </c>
      <c r="H17" s="3">
        <f>ROUND(6538.0,2)</f>
        <v/>
      </c>
      <c r="I17" s="3">
        <f>ROUND(3768.0,2)</f>
        <v/>
      </c>
      <c r="J17" s="4">
        <f>IFERROR((D17/C17),0)</f>
        <v/>
      </c>
      <c r="K17" s="4">
        <f>IFERROR(((0+B11+B12+B13+B14+B15+B16+B17)/T2),0)</f>
        <v/>
      </c>
      <c r="L17" s="5">
        <f>IFERROR(ROUND(B17/D17,2),0)</f>
        <v/>
      </c>
      <c r="M17" s="5">
        <f>IFERROR(ROUND(B17/E17,2),0)</f>
        <v/>
      </c>
      <c r="N17" s="2" t="inlineStr">
        <is>
          <t>2023-09-26</t>
        </is>
      </c>
      <c r="O17" s="5">
        <f>ROUND(2.07,2)</f>
        <v/>
      </c>
      <c r="P17" s="3">
        <f>ROUND(5959.0,2)</f>
        <v/>
      </c>
      <c r="Q17" s="3">
        <f>ROUND(261.0,2)</f>
        <v/>
      </c>
      <c r="R17" s="3">
        <f>ROUND(670.0,2)</f>
        <v/>
      </c>
      <c r="S17" s="3">
        <f>ROUND(452.0,2)</f>
        <v/>
      </c>
      <c r="T17" s="3">
        <f>ROUND(153.0,2)</f>
        <v/>
      </c>
      <c r="U17" s="3">
        <f>ROUND(79.0,2)</f>
        <v/>
      </c>
      <c r="V17" s="3">
        <f>ROUND(44.0,2)</f>
        <v/>
      </c>
      <c r="W17" s="4">
        <f>IFERROR((Q17/P17),0)</f>
        <v/>
      </c>
      <c r="X17" s="4">
        <f>IFERROR(((0+O11+O12+O13+O14+O15+O16+O17)/T2),0)</f>
        <v/>
      </c>
      <c r="Y17" s="5">
        <f>IFERROR(ROUND(O17/Q17,2),0)</f>
        <v/>
      </c>
      <c r="Z17" s="5">
        <f>IFERROR(ROUND(O17/R17,2),0)</f>
        <v/>
      </c>
      <c r="AA17" s="2" t="inlineStr">
        <is>
          <t>2023-09-26</t>
        </is>
      </c>
      <c r="AB17" s="5">
        <f>ROUND(0.1,2)</f>
        <v/>
      </c>
      <c r="AC17" s="3">
        <f>ROUND(274.0,2)</f>
        <v/>
      </c>
      <c r="AD17" s="3">
        <f>ROUND(9.0,2)</f>
        <v/>
      </c>
      <c r="AE17" s="3">
        <f>ROUND(38.0,2)</f>
        <v/>
      </c>
      <c r="AF17" s="3">
        <f>ROUND(26.0,2)</f>
        <v/>
      </c>
      <c r="AG17" s="3">
        <f>ROUND(11.0,2)</f>
        <v/>
      </c>
      <c r="AH17" s="3">
        <f>ROUND(8.0,2)</f>
        <v/>
      </c>
      <c r="AI17" s="3">
        <f>ROUND(2.0,2)</f>
        <v/>
      </c>
      <c r="AJ17" s="4">
        <f>IFERROR((AD17/AC17),0)</f>
        <v/>
      </c>
      <c r="AK17" s="4">
        <f>IFERROR(((0+AB11+AB12+AB13+AB14+AB15+AB16+AB17)/T2),0)</f>
        <v/>
      </c>
      <c r="AL17" s="5">
        <f>IFERROR(ROUND(AB17/AD17,2),0)</f>
        <v/>
      </c>
      <c r="AM17" s="5">
        <f>IFERROR(ROUND(AB17/AE17,2),0)</f>
        <v/>
      </c>
      <c r="AN17" s="2" t="inlineStr">
        <is>
          <t>2023-09-26</t>
        </is>
      </c>
      <c r="AO17" s="5">
        <f>ROUND(0.02,2)</f>
        <v/>
      </c>
      <c r="AP17" s="3">
        <f>ROUND(31.0,2)</f>
        <v/>
      </c>
      <c r="AQ17" s="3">
        <f>ROUND(3.0,2)</f>
        <v/>
      </c>
      <c r="AR17" s="3">
        <f>ROUND(9.0,2)</f>
        <v/>
      </c>
      <c r="AS17" s="3">
        <f>ROUND(5.0,2)</f>
        <v/>
      </c>
      <c r="AT17" s="3">
        <f>ROUND(3.0,2)</f>
        <v/>
      </c>
      <c r="AU17" s="3">
        <f>ROUND(1.0,2)</f>
        <v/>
      </c>
      <c r="AV17" s="3">
        <f>ROUND(1.0,2)</f>
        <v/>
      </c>
      <c r="AW17" s="4">
        <f>IFERROR((AQ17/AP17),0)</f>
        <v/>
      </c>
      <c r="AX17" s="4">
        <f>IFERROR(((0+AO11+AO12+AO13+AO14+AO15+AO16+AO17)/T2),0)</f>
        <v/>
      </c>
      <c r="AY17" s="5">
        <f>IFERROR(ROUND(AO17/AQ17,2),0)</f>
        <v/>
      </c>
      <c r="AZ17" s="5">
        <f>IFERROR(ROUND(AO17/AR17,2),0)</f>
        <v/>
      </c>
      <c r="BA17" s="2" t="inlineStr">
        <is>
          <t>2023-09-26</t>
        </is>
      </c>
      <c r="BB17" s="5">
        <f>ROUND(11.19,2)</f>
        <v/>
      </c>
      <c r="BC17" s="3">
        <f>ROUND(36175.0,2)</f>
        <v/>
      </c>
      <c r="BD17" s="3">
        <f>ROUND(1366.0,2)</f>
        <v/>
      </c>
      <c r="BE17" s="3">
        <f>ROUND(7549.0,2)</f>
        <v/>
      </c>
      <c r="BF17" s="3">
        <f>ROUND(5632.0,2)</f>
        <v/>
      </c>
      <c r="BG17" s="3">
        <f>ROUND(2399.0,2)</f>
        <v/>
      </c>
      <c r="BH17" s="3">
        <f>ROUND(1318.0,2)</f>
        <v/>
      </c>
      <c r="BI17" s="3">
        <f>ROUND(709.0,2)</f>
        <v/>
      </c>
      <c r="BJ17" s="4">
        <f>IFERROR((BD17/BC17),0)</f>
        <v/>
      </c>
      <c r="BK17" s="4">
        <f>IFERROR(((0+BB11+BB12+BB13+BB14+BB15+BB16+BB17)/T2),0)</f>
        <v/>
      </c>
      <c r="BL17" s="5">
        <f>IFERROR(ROUND(BB17/BD17,2),0)</f>
        <v/>
      </c>
      <c r="BM17" s="5">
        <f>IFERROR(ROUND(BB17/BE17,2),0)</f>
        <v/>
      </c>
      <c r="BN17" s="2" t="inlineStr">
        <is>
          <t>2023-09-26</t>
        </is>
      </c>
      <c r="BO17" s="5">
        <f>ROUND(9.73,2)</f>
        <v/>
      </c>
      <c r="BP17" s="3">
        <f>ROUND(28852.0,2)</f>
        <v/>
      </c>
      <c r="BQ17" s="3">
        <f>ROUND(1166.0,2)</f>
        <v/>
      </c>
      <c r="BR17" s="3">
        <f>ROUND(6380.0,2)</f>
        <v/>
      </c>
      <c r="BS17" s="3">
        <f>ROUND(5371.0,2)</f>
        <v/>
      </c>
      <c r="BT17" s="3">
        <f>ROUND(2941.0,2)</f>
        <v/>
      </c>
      <c r="BU17" s="3">
        <f>ROUND(2297.0,2)</f>
        <v/>
      </c>
      <c r="BV17" s="3">
        <f>ROUND(1366.0,2)</f>
        <v/>
      </c>
      <c r="BW17" s="4">
        <f>IFERROR((BQ17/BP17),0)</f>
        <v/>
      </c>
      <c r="BX17" s="4">
        <f>IFERROR(((0+BO11+BO12+BO13+BO14+BO15+BO16+BO17)/T2),0)</f>
        <v/>
      </c>
      <c r="BY17" s="5">
        <f>IFERROR(ROUND(BO17/BQ17,2),0)</f>
        <v/>
      </c>
      <c r="BZ17" s="5">
        <f>IFERROR(ROUND(BO17/BR17,2),0)</f>
        <v/>
      </c>
      <c r="CA17" s="2" t="inlineStr">
        <is>
          <t>2023-09-26</t>
        </is>
      </c>
      <c r="CB17" s="5">
        <f>ROUND(0.88,2)</f>
        <v/>
      </c>
      <c r="CC17" s="3">
        <f>ROUND(2198.0,2)</f>
        <v/>
      </c>
      <c r="CD17" s="3">
        <f>ROUND(97.0,2)</f>
        <v/>
      </c>
      <c r="CE17" s="3">
        <f>ROUND(501.0,2)</f>
        <v/>
      </c>
      <c r="CF17" s="3">
        <f>ROUND(369.0,2)</f>
        <v/>
      </c>
      <c r="CG17" s="3">
        <f>ROUND(170.0,2)</f>
        <v/>
      </c>
      <c r="CH17" s="3">
        <f>ROUND(101.0,2)</f>
        <v/>
      </c>
      <c r="CI17" s="3">
        <f>ROUND(44.0,2)</f>
        <v/>
      </c>
      <c r="CJ17" s="4">
        <f>IFERROR((CD17/CC17),0)</f>
        <v/>
      </c>
      <c r="CK17" s="4">
        <f>IFERROR(((0+CB11+CB12+CB13+CB14+CB15+CB16+CB17)/T2),0)</f>
        <v/>
      </c>
      <c r="CL17" s="5">
        <f>IFERROR(ROUND(CB17/CD17,2),0)</f>
        <v/>
      </c>
      <c r="CM17" s="5">
        <f>IFERROR(ROUND(CB17/CE17,2),0)</f>
        <v/>
      </c>
      <c r="CN17" s="2" t="inlineStr">
        <is>
          <t>2023-09-26</t>
        </is>
      </c>
      <c r="CO17" s="5">
        <f>ROUND(2.52,2)</f>
        <v/>
      </c>
      <c r="CP17" s="3">
        <f>ROUND(4861.0,2)</f>
        <v/>
      </c>
      <c r="CQ17" s="3">
        <f>ROUND(265.0,2)</f>
        <v/>
      </c>
      <c r="CR17" s="3">
        <f>ROUND(1892.0,2)</f>
        <v/>
      </c>
      <c r="CS17" s="3">
        <f>ROUND(1751.0,2)</f>
        <v/>
      </c>
      <c r="CT17" s="3">
        <f>ROUND(741.0,2)</f>
        <v/>
      </c>
      <c r="CU17" s="3">
        <f>ROUND(427.0,2)</f>
        <v/>
      </c>
      <c r="CV17" s="3">
        <f>ROUND(314.0,2)</f>
        <v/>
      </c>
      <c r="CW17" s="4">
        <f>IFERROR((CQ17/CP17),0)</f>
        <v/>
      </c>
      <c r="CX17" s="4">
        <f>IFERROR(((0+CO11+CO12+CO13+CO14+CO15+CO16+CO17)/T2),0)</f>
        <v/>
      </c>
      <c r="CY17" s="5">
        <f>IFERROR(ROUND(CO17/CQ17,2),0)</f>
        <v/>
      </c>
      <c r="CZ17" s="5">
        <f>IFERROR(ROUND(CO17/CR17,2),0)</f>
        <v/>
      </c>
      <c r="DA17" s="2" t="inlineStr">
        <is>
          <t>2023-09-26</t>
        </is>
      </c>
      <c r="DB17" s="5">
        <f>ROUND(2.53,2)</f>
        <v/>
      </c>
      <c r="DC17" s="3">
        <f>ROUND(6337.0,2)</f>
        <v/>
      </c>
      <c r="DD17" s="3">
        <f>ROUND(312.0,2)</f>
        <v/>
      </c>
      <c r="DE17" s="3">
        <f>ROUND(686.0,2)</f>
        <v/>
      </c>
      <c r="DF17" s="3">
        <f>ROUND(384.0,2)</f>
        <v/>
      </c>
      <c r="DG17" s="3">
        <f>ROUND(157.0,2)</f>
        <v/>
      </c>
      <c r="DH17" s="3">
        <f>ROUND(95.0,2)</f>
        <v/>
      </c>
      <c r="DI17" s="3">
        <f>ROUND(39.0,2)</f>
        <v/>
      </c>
      <c r="DJ17" s="4">
        <f>IFERROR((DD17/DC17),0)</f>
        <v/>
      </c>
      <c r="DK17" s="4">
        <f>IFERROR(((0+DB11+DB12+DB13+DB14+DB15+DB16+DB17)/T2),0)</f>
        <v/>
      </c>
      <c r="DL17" s="5">
        <f>IFERROR(ROUND(DB17/DD17,2),0)</f>
        <v/>
      </c>
      <c r="DM17" s="5">
        <f>IFERROR(ROUND(DB17/DE17,2),0)</f>
        <v/>
      </c>
      <c r="DN17" s="2" t="inlineStr">
        <is>
          <t>2023-09-26</t>
        </is>
      </c>
      <c r="DO17" s="5">
        <f>ROUND(9.58,2)</f>
        <v/>
      </c>
      <c r="DP17" s="3">
        <f>ROUND(21361.0,2)</f>
        <v/>
      </c>
      <c r="DQ17" s="3">
        <f>ROUND(1191.0,2)</f>
        <v/>
      </c>
      <c r="DR17" s="3">
        <f>ROUND(2872.0,2)</f>
        <v/>
      </c>
      <c r="DS17" s="3">
        <f>ROUND(2184.0,2)</f>
        <v/>
      </c>
      <c r="DT17" s="3">
        <f>ROUND(1308.0,2)</f>
        <v/>
      </c>
      <c r="DU17" s="3">
        <f>ROUND(869.0,2)</f>
        <v/>
      </c>
      <c r="DV17" s="3">
        <f>ROUND(516.0,2)</f>
        <v/>
      </c>
      <c r="DW17" s="4">
        <f>IFERROR((DQ17/DP17),0)</f>
        <v/>
      </c>
      <c r="DX17" s="4">
        <f>IFERROR(((0+DO11+DO12+DO13+DO14+DO15+DO16+DO17)/T2),0)</f>
        <v/>
      </c>
      <c r="DY17" s="5">
        <f>IFERROR(ROUND(DO17/DQ17,2),0)</f>
        <v/>
      </c>
      <c r="DZ17" s="5">
        <f>IFERROR(ROUND(DO17/DR17,2),0)</f>
        <v/>
      </c>
      <c r="EA17" s="2" t="inlineStr">
        <is>
          <t>2023-09-26</t>
        </is>
      </c>
      <c r="EB17" s="5">
        <f>ROUND(2.96,2)</f>
        <v/>
      </c>
      <c r="EC17" s="3">
        <f>ROUND(7433.0,2)</f>
        <v/>
      </c>
      <c r="ED17" s="3">
        <f>ROUND(384.0,2)</f>
        <v/>
      </c>
      <c r="EE17" s="3">
        <f>ROUND(1254.0,2)</f>
        <v/>
      </c>
      <c r="EF17" s="3">
        <f>ROUND(688.0,2)</f>
        <v/>
      </c>
      <c r="EG17" s="3">
        <f>ROUND(274.0,2)</f>
        <v/>
      </c>
      <c r="EH17" s="3">
        <f>ROUND(171.0,2)</f>
        <v/>
      </c>
      <c r="EI17" s="3">
        <f>ROUND(79.0,2)</f>
        <v/>
      </c>
      <c r="EJ17" s="4">
        <f>IFERROR((ED17/EC17),0)</f>
        <v/>
      </c>
      <c r="EK17" s="4">
        <f>IFERROR(((0+EB11+EB12+EB13+EB14+EB15+EB16+EB17)/T2),0)</f>
        <v/>
      </c>
      <c r="EL17" s="5">
        <f>IFERROR(ROUND(EB17/ED17,2),0)</f>
        <v/>
      </c>
      <c r="EM17" s="5">
        <f>IFERROR(ROUND(EB17/EE17,2),0)</f>
        <v/>
      </c>
      <c r="EN17" s="2" t="inlineStr">
        <is>
          <t>2023-09-26</t>
        </is>
      </c>
      <c r="EO17" s="5">
        <f>ROUND(1.84,2)</f>
        <v/>
      </c>
      <c r="EP17" s="3">
        <f>ROUND(3274.0,2)</f>
        <v/>
      </c>
      <c r="EQ17" s="3">
        <f>ROUND(193.0,2)</f>
        <v/>
      </c>
      <c r="ER17" s="3">
        <f>ROUND(213.0,2)</f>
        <v/>
      </c>
      <c r="ES17" s="3">
        <f>ROUND(120.0,2)</f>
        <v/>
      </c>
      <c r="ET17" s="3">
        <f>ROUND(60.0,2)</f>
        <v/>
      </c>
      <c r="EU17" s="3">
        <f>ROUND(34.0,2)</f>
        <v/>
      </c>
      <c r="EV17" s="3">
        <f>ROUND(19.0,2)</f>
        <v/>
      </c>
      <c r="EW17" s="4">
        <f>IFERROR((EQ17/EP17),0)</f>
        <v/>
      </c>
      <c r="EX17" s="4">
        <f>IFERROR(((0+EO11+EO12+EO13+EO14+EO15+EO16+EO17)/T2),0)</f>
        <v/>
      </c>
      <c r="EY17" s="5">
        <f>IFERROR(ROUND(EO17/EQ17,2),0)</f>
        <v/>
      </c>
      <c r="EZ17" s="5">
        <f>IFERROR(ROUND(EO17/ER17,2),0)</f>
        <v/>
      </c>
      <c r="FA17" s="2" t="inlineStr">
        <is>
          <t>2023-09-26</t>
        </is>
      </c>
      <c r="FB17" s="5">
        <f>ROUND(3.94,2)</f>
        <v/>
      </c>
      <c r="FC17" s="3">
        <f>ROUND(6832.0,2)</f>
        <v/>
      </c>
      <c r="FD17" s="3">
        <f>ROUND(325.0,2)</f>
        <v/>
      </c>
      <c r="FE17" s="3">
        <f>ROUND(599.0,2)</f>
        <v/>
      </c>
      <c r="FF17" s="3">
        <f>ROUND(466.0,2)</f>
        <v/>
      </c>
      <c r="FG17" s="3">
        <f>ROUND(260.0,2)</f>
        <v/>
      </c>
      <c r="FH17" s="3">
        <f>ROUND(186.0,2)</f>
        <v/>
      </c>
      <c r="FI17" s="3">
        <f>ROUND(120.0,2)</f>
        <v/>
      </c>
      <c r="FJ17" s="4">
        <f>IFERROR((FD17/FC17),0)</f>
        <v/>
      </c>
      <c r="FK17" s="4">
        <f>IFERROR(((0+FB11+FB12+FB13+FB14+FB15+FB16+FB17)/T2),0)</f>
        <v/>
      </c>
      <c r="FL17" s="5">
        <f>IFERROR(ROUND(FB17/FD17,2),0)</f>
        <v/>
      </c>
      <c r="FM17" s="5">
        <f>IFERROR(ROUND(FB17/FE17,2),0)</f>
        <v/>
      </c>
      <c r="FN17" s="2" t="inlineStr">
        <is>
          <t>2023-09-26</t>
        </is>
      </c>
      <c r="FO17" s="5">
        <f>ROUND(0.01,2)</f>
        <v/>
      </c>
      <c r="FP17" s="3">
        <f>ROUND(9.0,2)</f>
        <v/>
      </c>
      <c r="FQ17" s="3">
        <f>ROUND(0.0,2)</f>
        <v/>
      </c>
      <c r="FR17" s="3">
        <f>ROUND(0.0,2)</f>
        <v/>
      </c>
      <c r="FS17" s="3">
        <f>ROUND(0.0,2)</f>
        <v/>
      </c>
      <c r="FT17" s="3">
        <f>ROUND(0.0,2)</f>
        <v/>
      </c>
      <c r="FU17" s="3">
        <f>ROUND(0.0,2)</f>
        <v/>
      </c>
      <c r="FV17" s="3">
        <f>ROUND(0.0,2)</f>
        <v/>
      </c>
      <c r="FW17" s="4">
        <f>IFERROR((FQ17/FP17),0)</f>
        <v/>
      </c>
      <c r="FX17" s="4">
        <f>IFERROR(((0+FO11+FO12+FO13+FO14+FO15+FO16+FO17)/T2),0)</f>
        <v/>
      </c>
      <c r="FY17" s="5">
        <f>IFERROR(ROUND(FO17/FQ17,2),0)</f>
        <v/>
      </c>
      <c r="FZ17" s="5">
        <f>IFERROR(ROUND(FO17/FR17,2),0)</f>
        <v/>
      </c>
      <c r="GA17" s="2" t="inlineStr">
        <is>
          <t>2023-09-26</t>
        </is>
      </c>
      <c r="GB17" s="5">
        <f>ROUND(5.1,2)</f>
        <v/>
      </c>
      <c r="GC17" s="3">
        <f>ROUND(9824.0,2)</f>
        <v/>
      </c>
      <c r="GD17" s="3">
        <f>ROUND(459.0,2)</f>
        <v/>
      </c>
      <c r="GE17" s="3">
        <f>ROUND(1234.0,2)</f>
        <v/>
      </c>
      <c r="GF17" s="3">
        <f>ROUND(892.0,2)</f>
        <v/>
      </c>
      <c r="GG17" s="3">
        <f>ROUND(344.0,2)</f>
        <v/>
      </c>
      <c r="GH17" s="3">
        <f>ROUND(206.0,2)</f>
        <v/>
      </c>
      <c r="GI17" s="3">
        <f>ROUND(114.0,2)</f>
        <v/>
      </c>
      <c r="GJ17" s="4">
        <f>IFERROR((GD17/GC17),0)</f>
        <v/>
      </c>
      <c r="GK17" s="4">
        <f>IFERROR(((0+GB11+GB12+GB13+GB14+GB15+GB16+GB17)/T2),0)</f>
        <v/>
      </c>
      <c r="GL17" s="5">
        <f>IFERROR(ROUND(GB17/GD17,2),0)</f>
        <v/>
      </c>
      <c r="GM17" s="5">
        <f>IFERROR(ROUND(GB17/GE17,2),0)</f>
        <v/>
      </c>
      <c r="GN17" s="2" t="inlineStr">
        <is>
          <t>2023-09-26</t>
        </is>
      </c>
      <c r="GO17" s="5">
        <f>ROUND(1.16,2)</f>
        <v/>
      </c>
      <c r="GP17" s="3">
        <f>ROUND(2202.0,2)</f>
        <v/>
      </c>
      <c r="GQ17" s="3">
        <f>ROUND(98.0,2)</f>
        <v/>
      </c>
      <c r="GR17" s="3">
        <f>ROUND(349.0,2)</f>
        <v/>
      </c>
      <c r="GS17" s="3">
        <f>ROUND(262.0,2)</f>
        <v/>
      </c>
      <c r="GT17" s="3">
        <f>ROUND(92.0,2)</f>
        <v/>
      </c>
      <c r="GU17" s="3">
        <f>ROUND(58.0,2)</f>
        <v/>
      </c>
      <c r="GV17" s="3">
        <f>ROUND(41.0,2)</f>
        <v/>
      </c>
      <c r="GW17" s="4">
        <f>IFERROR((GQ17/GP17),0)</f>
        <v/>
      </c>
      <c r="GX17" s="4">
        <f>IFERROR(((0+GO11+GO12+GO13+GO14+GO15+GO16+GO17)/T2),0)</f>
        <v/>
      </c>
      <c r="GY17" s="5">
        <f>IFERROR(ROUND(GO17/GQ17,2),0)</f>
        <v/>
      </c>
      <c r="GZ17" s="5">
        <f>IFERROR(ROUND(GO17/GR17,2),0)</f>
        <v/>
      </c>
      <c r="HA17" s="2" t="inlineStr">
        <is>
          <t>2023-09-26</t>
        </is>
      </c>
      <c r="HB17" s="5">
        <f>ROUND(1.0,2)</f>
        <v/>
      </c>
      <c r="HC17" s="3">
        <f>ROUND(1359.0,2)</f>
        <v/>
      </c>
      <c r="HD17" s="3">
        <f>ROUND(83.0,2)</f>
        <v/>
      </c>
      <c r="HE17" s="3">
        <f>ROUND(457.0,2)</f>
        <v/>
      </c>
      <c r="HF17" s="3">
        <f>ROUND(371.0,2)</f>
        <v/>
      </c>
      <c r="HG17" s="3">
        <f>ROUND(174.0,2)</f>
        <v/>
      </c>
      <c r="HH17" s="3">
        <f>ROUND(158.0,2)</f>
        <v/>
      </c>
      <c r="HI17" s="3">
        <f>ROUND(15.0,2)</f>
        <v/>
      </c>
      <c r="HJ17" s="4">
        <f>IFERROR((HD17/HC17),0)</f>
        <v/>
      </c>
      <c r="HK17" s="4">
        <f>IFERROR(((0+HB11+HB12+HB13+HB14+HB15+HB16+HB17)/T2),0)</f>
        <v/>
      </c>
      <c r="HL17" s="5">
        <f>IFERROR(ROUND(HB17/HD17,2),0)</f>
        <v/>
      </c>
      <c r="HM17" s="5">
        <f>IFERROR(ROUND(HB17/HE17,2),0)</f>
        <v/>
      </c>
      <c r="HN17" s="2" t="inlineStr">
        <is>
          <t>2023-09-26</t>
        </is>
      </c>
      <c r="HO17" s="5">
        <f>ROUND(0.02,2)</f>
        <v/>
      </c>
      <c r="HP17" s="3">
        <f>ROUND(16.0,2)</f>
        <v/>
      </c>
      <c r="HQ17" s="3">
        <f>ROUND(1.0,2)</f>
        <v/>
      </c>
      <c r="HR17" s="3">
        <f>ROUND(4.0,2)</f>
        <v/>
      </c>
      <c r="HS17" s="3">
        <f>ROUND(3.0,2)</f>
        <v/>
      </c>
      <c r="HT17" s="3">
        <f>ROUND(2.0,2)</f>
        <v/>
      </c>
      <c r="HU17" s="3">
        <f>ROUND(1.0,2)</f>
        <v/>
      </c>
      <c r="HV17" s="3">
        <f>ROUND(1.0,2)</f>
        <v/>
      </c>
      <c r="HW17" s="4">
        <f>IFERROR((HQ17/HP17),0)</f>
        <v/>
      </c>
      <c r="HX17" s="4">
        <f>IFERROR(((0+HO11+HO12+HO13+HO14+HO15+HO16+HO17)/T2),0)</f>
        <v/>
      </c>
      <c r="HY17" s="5">
        <f>IFERROR(ROUND(HO17/HQ17,2),0)</f>
        <v/>
      </c>
      <c r="HZ17" s="5">
        <f>IFERROR(ROUND(HO17/HR17,2),0)</f>
        <v/>
      </c>
      <c r="IA17" s="2" t="inlineStr">
        <is>
          <t>2023-09-26</t>
        </is>
      </c>
      <c r="IB17" s="5">
        <f>ROUND(1.26,2)</f>
        <v/>
      </c>
      <c r="IC17" s="3">
        <f>ROUND(2325.0,2)</f>
        <v/>
      </c>
      <c r="ID17" s="3">
        <f>ROUND(110.0,2)</f>
        <v/>
      </c>
      <c r="IE17" s="3">
        <f>ROUND(341.0,2)</f>
        <v/>
      </c>
      <c r="IF17" s="3">
        <f>ROUND(254.0,2)</f>
        <v/>
      </c>
      <c r="IG17" s="3">
        <f>ROUND(94.0,2)</f>
        <v/>
      </c>
      <c r="IH17" s="3">
        <f>ROUND(60.0,2)</f>
        <v/>
      </c>
      <c r="II17" s="3">
        <f>ROUND(38.0,2)</f>
        <v/>
      </c>
      <c r="IJ17" s="4">
        <f>IFERROR((ID17/IC17),0)</f>
        <v/>
      </c>
      <c r="IK17" s="4">
        <f>IFERROR(((0+IB11+IB12+IB13+IB14+IB15+IB16+IB17)/T2),0)</f>
        <v/>
      </c>
      <c r="IL17" s="5">
        <f>IFERROR(ROUND(IB17/ID17,2),0)</f>
        <v/>
      </c>
      <c r="IM17" s="5">
        <f>IFERROR(ROUND(IB17/IE17,2),0)</f>
        <v/>
      </c>
      <c r="IN17" s="2" t="inlineStr">
        <is>
          <t>2023-09-26</t>
        </is>
      </c>
      <c r="IO17" s="5">
        <f>ROUND(3.17,2)</f>
        <v/>
      </c>
      <c r="IP17" s="3">
        <f>ROUND(6420.0,2)</f>
        <v/>
      </c>
      <c r="IQ17" s="3">
        <f>ROUND(309.0,2)</f>
        <v/>
      </c>
      <c r="IR17" s="3">
        <f>ROUND(957.0,2)</f>
        <v/>
      </c>
      <c r="IS17" s="3">
        <f>ROUND(832.0,2)</f>
        <v/>
      </c>
      <c r="IT17" s="3">
        <f>ROUND(514.0,2)</f>
        <v/>
      </c>
      <c r="IU17" s="3">
        <f>ROUND(421.0,2)</f>
        <v/>
      </c>
      <c r="IV17" s="3">
        <f>ROUND(292.0,2)</f>
        <v/>
      </c>
      <c r="IW17" s="4">
        <f>IFERROR((IQ17/IP17),0)</f>
        <v/>
      </c>
      <c r="IX17" s="4">
        <f>IFERROR(((0+IO11+IO12+IO13+IO14+IO15+IO16+IO17)/T2),0)</f>
        <v/>
      </c>
      <c r="IY17" s="5">
        <f>IFERROR(ROUND(IO17/IQ17,2),0)</f>
        <v/>
      </c>
      <c r="IZ17" s="5">
        <f>IFERROR(ROUND(IO17/IR17,2),0)</f>
        <v/>
      </c>
      <c r="JA17" s="2" t="inlineStr">
        <is>
          <t>2023-09-26</t>
        </is>
      </c>
      <c r="JB17" s="5">
        <f>ROUND(0.57,2)</f>
        <v/>
      </c>
      <c r="JC17" s="3">
        <f>ROUND(861.0,2)</f>
        <v/>
      </c>
      <c r="JD17" s="3">
        <f>ROUND(43.0,2)</f>
        <v/>
      </c>
      <c r="JE17" s="3">
        <f>ROUND(177.0,2)</f>
        <v/>
      </c>
      <c r="JF17" s="3">
        <f>ROUND(140.0,2)</f>
        <v/>
      </c>
      <c r="JG17" s="3">
        <f>ROUND(62.0,2)</f>
        <v/>
      </c>
      <c r="JH17" s="3">
        <f>ROUND(48.0,2)</f>
        <v/>
      </c>
      <c r="JI17" s="3">
        <f>ROUND(14.0,2)</f>
        <v/>
      </c>
      <c r="JJ17" s="4">
        <f>IFERROR((JD17/JC17),0)</f>
        <v/>
      </c>
      <c r="JK17" s="4">
        <f>IFERROR(((0+JB11+JB12+JB13+JB14+JB15+JB16+JB17)/T2),0)</f>
        <v/>
      </c>
      <c r="JL17" s="5">
        <f>IFERROR(ROUND(JB17/JD17,2),0)</f>
        <v/>
      </c>
      <c r="JM17" s="5">
        <f>IFERROR(ROUND(JB17/JE17,2),0)</f>
        <v/>
      </c>
    </row>
    <row r="18">
      <c r="A18" s="2" t="inlineStr">
        <is>
          <t>1 Weekly Total</t>
        </is>
      </c>
      <c r="B18" s="5">
        <f>ROUND(345.53,2)</f>
        <v/>
      </c>
      <c r="C18" s="3">
        <f>ROUND(780931.0,2)</f>
        <v/>
      </c>
      <c r="D18" s="3">
        <f>ROUND(40955.0,2)</f>
        <v/>
      </c>
      <c r="E18" s="3">
        <f>ROUND(166842.0,2)</f>
        <v/>
      </c>
      <c r="F18" s="3">
        <f>ROUND(135250.0,2)</f>
        <v/>
      </c>
      <c r="G18" s="3">
        <f>ROUND(67783.0,2)</f>
        <v/>
      </c>
      <c r="H18" s="3">
        <f>ROUND(47380.0,2)</f>
        <v/>
      </c>
      <c r="I18" s="3">
        <f>ROUND(27062.0,2)</f>
        <v/>
      </c>
      <c r="J18" s="4">
        <f>IFERROR((D18/C18),0)</f>
        <v/>
      </c>
      <c r="K18" s="4">
        <f>IFERROR(((0+B11+B12+B13+B14+B15+B16+B17)/T2),0)</f>
        <v/>
      </c>
      <c r="L18" s="5">
        <f>IFERROR(ROUND(B18/D18,2),0)</f>
        <v/>
      </c>
      <c r="M18" s="5">
        <f>IFERROR(ROUND(B18/E18,2),0)</f>
        <v/>
      </c>
      <c r="N18" s="2" t="inlineStr">
        <is>
          <t>1 Weekly Total</t>
        </is>
      </c>
      <c r="O18" s="5">
        <f>ROUND(7.67,2)</f>
        <v/>
      </c>
      <c r="P18" s="3">
        <f>ROUND(17905.0,2)</f>
        <v/>
      </c>
      <c r="Q18" s="3">
        <f>ROUND(969.0,2)</f>
        <v/>
      </c>
      <c r="R18" s="3">
        <f>ROUND(2521.0,2)</f>
        <v/>
      </c>
      <c r="S18" s="3">
        <f>ROUND(1798.0,2)</f>
        <v/>
      </c>
      <c r="T18" s="3">
        <f>ROUND(707.0,2)</f>
        <v/>
      </c>
      <c r="U18" s="3">
        <f>ROUND(398.0,2)</f>
        <v/>
      </c>
      <c r="V18" s="3">
        <f>ROUND(204.0,2)</f>
        <v/>
      </c>
      <c r="W18" s="4">
        <f>IFERROR((Q18/P18),0)</f>
        <v/>
      </c>
      <c r="X18" s="4">
        <f>IFERROR(((0+O11+O12+O13+O14+O15+O16+O17)/T2),0)</f>
        <v/>
      </c>
      <c r="Y18" s="5">
        <f>IFERROR(ROUND(O18/Q18,2),0)</f>
        <v/>
      </c>
      <c r="Z18" s="5">
        <f>IFERROR(ROUND(O18/R18,2),0)</f>
        <v/>
      </c>
      <c r="AA18" s="2" t="inlineStr">
        <is>
          <t>1 Weekly Total</t>
        </is>
      </c>
      <c r="AB18" s="5">
        <f>ROUND(3.5,2)</f>
        <v/>
      </c>
      <c r="AC18" s="3">
        <f>ROUND(6022.0,2)</f>
        <v/>
      </c>
      <c r="AD18" s="3">
        <f>ROUND(486.0,2)</f>
        <v/>
      </c>
      <c r="AE18" s="3">
        <f>ROUND(3013.0,2)</f>
        <v/>
      </c>
      <c r="AF18" s="3">
        <f>ROUND(2837.0,2)</f>
        <v/>
      </c>
      <c r="AG18" s="3">
        <f>ROUND(1131.0,2)</f>
        <v/>
      </c>
      <c r="AH18" s="3">
        <f>ROUND(833.0,2)</f>
        <v/>
      </c>
      <c r="AI18" s="3">
        <f>ROUND(70.0,2)</f>
        <v/>
      </c>
      <c r="AJ18" s="4">
        <f>IFERROR((AD18/AC18),0)</f>
        <v/>
      </c>
      <c r="AK18" s="4">
        <f>IFERROR(((0+AB11+AB12+AB13+AB14+AB15+AB16+AB17)/T2),0)</f>
        <v/>
      </c>
      <c r="AL18" s="5">
        <f>IFERROR(ROUND(AB18/AD18,2),0)</f>
        <v/>
      </c>
      <c r="AM18" s="5">
        <f>IFERROR(ROUND(AB18/AE18,2),0)</f>
        <v/>
      </c>
      <c r="AN18" s="2" t="inlineStr">
        <is>
          <t>1 Weekly Total</t>
        </is>
      </c>
      <c r="AO18" s="5">
        <f>ROUND(0.44,2)</f>
        <v/>
      </c>
      <c r="AP18" s="3">
        <f>ROUND(794.0,2)</f>
        <v/>
      </c>
      <c r="AQ18" s="3">
        <f>ROUND(49.0,2)</f>
        <v/>
      </c>
      <c r="AR18" s="3">
        <f>ROUND(195.0,2)</f>
        <v/>
      </c>
      <c r="AS18" s="3">
        <f>ROUND(152.0,2)</f>
        <v/>
      </c>
      <c r="AT18" s="3">
        <f>ROUND(76.0,2)</f>
        <v/>
      </c>
      <c r="AU18" s="3">
        <f>ROUND(50.0,2)</f>
        <v/>
      </c>
      <c r="AV18" s="3">
        <f>ROUND(44.0,2)</f>
        <v/>
      </c>
      <c r="AW18" s="4">
        <f>IFERROR((AQ18/AP18),0)</f>
        <v/>
      </c>
      <c r="AX18" s="4">
        <f>IFERROR(((0+AO11+AO12+AO13+AO14+AO15+AO16+AO17)/T2),0)</f>
        <v/>
      </c>
      <c r="AY18" s="5">
        <f>IFERROR(ROUND(AO18/AQ18,2),0)</f>
        <v/>
      </c>
      <c r="AZ18" s="5">
        <f>IFERROR(ROUND(AO18/AR18,2),0)</f>
        <v/>
      </c>
      <c r="BA18" s="2" t="inlineStr">
        <is>
          <t>1 Weekly Total</t>
        </is>
      </c>
      <c r="BB18" s="5">
        <f>ROUND(67.06,2)</f>
        <v/>
      </c>
      <c r="BC18" s="3">
        <f>ROUND(197375.0,2)</f>
        <v/>
      </c>
      <c r="BD18" s="3">
        <f>ROUND(9033.0,2)</f>
        <v/>
      </c>
      <c r="BE18" s="3">
        <f>ROUND(42222.0,2)</f>
        <v/>
      </c>
      <c r="BF18" s="3">
        <f>ROUND(32100.0,2)</f>
        <v/>
      </c>
      <c r="BG18" s="3">
        <f>ROUND(14126.0,2)</f>
        <v/>
      </c>
      <c r="BH18" s="3">
        <f>ROUND(7958.0,2)</f>
        <v/>
      </c>
      <c r="BI18" s="3">
        <f>ROUND(4142.0,2)</f>
        <v/>
      </c>
      <c r="BJ18" s="4">
        <f>IFERROR((BD18/BC18),0)</f>
        <v/>
      </c>
      <c r="BK18" s="4">
        <f>IFERROR(((0+BB11+BB12+BB13+BB14+BB15+BB16+BB17)/T2),0)</f>
        <v/>
      </c>
      <c r="BL18" s="5">
        <f>IFERROR(ROUND(BB18/BD18,2),0)</f>
        <v/>
      </c>
      <c r="BM18" s="5">
        <f>IFERROR(ROUND(BB18/BE18,2),0)</f>
        <v/>
      </c>
      <c r="BN18" s="2" t="inlineStr">
        <is>
          <t>1 Weekly Total</t>
        </is>
      </c>
      <c r="BO18" s="5">
        <f>ROUND(69.37,2)</f>
        <v/>
      </c>
      <c r="BP18" s="3">
        <f>ROUND(190663.0,2)</f>
        <v/>
      </c>
      <c r="BQ18" s="3">
        <f>ROUND(8533.0,2)</f>
        <v/>
      </c>
      <c r="BR18" s="3">
        <f>ROUND(46912.0,2)</f>
        <v/>
      </c>
      <c r="BS18" s="3">
        <f>ROUND(40243.0,2)</f>
        <v/>
      </c>
      <c r="BT18" s="3">
        <f>ROUND(22886.0,2)</f>
        <v/>
      </c>
      <c r="BU18" s="3">
        <f>ROUND(18036.0,2)</f>
        <v/>
      </c>
      <c r="BV18" s="3">
        <f>ROUND(10956.0,2)</f>
        <v/>
      </c>
      <c r="BW18" s="4">
        <f>IFERROR((BQ18/BP18),0)</f>
        <v/>
      </c>
      <c r="BX18" s="4">
        <f>IFERROR(((0+BO11+BO12+BO13+BO14+BO15+BO16+BO17)/T2),0)</f>
        <v/>
      </c>
      <c r="BY18" s="5">
        <f>IFERROR(ROUND(BO18/BQ18,2),0)</f>
        <v/>
      </c>
      <c r="BZ18" s="5">
        <f>IFERROR(ROUND(BO18/BR18,2),0)</f>
        <v/>
      </c>
      <c r="CA18" s="2" t="inlineStr">
        <is>
          <t>1 Weekly Total</t>
        </is>
      </c>
      <c r="CB18" s="5">
        <f>ROUND(6.69,2)</f>
        <v/>
      </c>
      <c r="CC18" s="3">
        <f>ROUND(13537.0,2)</f>
        <v/>
      </c>
      <c r="CD18" s="3">
        <f>ROUND(798.0,2)</f>
        <v/>
      </c>
      <c r="CE18" s="3">
        <f>ROUND(3855.0,2)</f>
        <v/>
      </c>
      <c r="CF18" s="3">
        <f>ROUND(3029.0,2)</f>
        <v/>
      </c>
      <c r="CG18" s="3">
        <f>ROUND(1418.0,2)</f>
        <v/>
      </c>
      <c r="CH18" s="3">
        <f>ROUND(924.0,2)</f>
        <v/>
      </c>
      <c r="CI18" s="3">
        <f>ROUND(299.0,2)</f>
        <v/>
      </c>
      <c r="CJ18" s="4">
        <f>IFERROR((CD18/CC18),0)</f>
        <v/>
      </c>
      <c r="CK18" s="4">
        <f>IFERROR(((0+CB11+CB12+CB13+CB14+CB15+CB16+CB17)/T2),0)</f>
        <v/>
      </c>
      <c r="CL18" s="5">
        <f>IFERROR(ROUND(CB18/CD18,2),0)</f>
        <v/>
      </c>
      <c r="CM18" s="5">
        <f>IFERROR(ROUND(CB18/CE18,2),0)</f>
        <v/>
      </c>
      <c r="CN18" s="2" t="inlineStr">
        <is>
          <t>1 Weekly Total</t>
        </is>
      </c>
      <c r="CO18" s="5">
        <f>ROUND(20.6,2)</f>
        <v/>
      </c>
      <c r="CP18" s="3">
        <f>ROUND(33062.0,2)</f>
        <v/>
      </c>
      <c r="CQ18" s="3">
        <f>ROUND(2392.0,2)</f>
        <v/>
      </c>
      <c r="CR18" s="3">
        <f>ROUND(17319.0,2)</f>
        <v/>
      </c>
      <c r="CS18" s="3">
        <f>ROUND(16472.0,2)</f>
        <v/>
      </c>
      <c r="CT18" s="3">
        <f>ROUND(7018.0,2)</f>
        <v/>
      </c>
      <c r="CU18" s="3">
        <f>ROUND(4318.0,2)</f>
        <v/>
      </c>
      <c r="CV18" s="3">
        <f>ROUND(3045.0,2)</f>
        <v/>
      </c>
      <c r="CW18" s="4">
        <f>IFERROR((CQ18/CP18),0)</f>
        <v/>
      </c>
      <c r="CX18" s="4">
        <f>IFERROR(((0+CO11+CO12+CO13+CO14+CO15+CO16+CO17)/T2),0)</f>
        <v/>
      </c>
      <c r="CY18" s="5">
        <f>IFERROR(ROUND(CO18/CQ18,2),0)</f>
        <v/>
      </c>
      <c r="CZ18" s="5">
        <f>IFERROR(ROUND(CO18/CR18,2),0)</f>
        <v/>
      </c>
      <c r="DA18" s="2" t="inlineStr">
        <is>
          <t>1 Weekly Total</t>
        </is>
      </c>
      <c r="DB18" s="5">
        <f>ROUND(13.68,2)</f>
        <v/>
      </c>
      <c r="DC18" s="3">
        <f>ROUND(32588.0,2)</f>
        <v/>
      </c>
      <c r="DD18" s="3">
        <f>ROUND(1932.0,2)</f>
        <v/>
      </c>
      <c r="DE18" s="3">
        <f>ROUND(4634.0,2)</f>
        <v/>
      </c>
      <c r="DF18" s="3">
        <f>ROUND(2575.0,2)</f>
        <v/>
      </c>
      <c r="DG18" s="3">
        <f>ROUND(1073.0,2)</f>
        <v/>
      </c>
      <c r="DH18" s="3">
        <f>ROUND(565.0,2)</f>
        <v/>
      </c>
      <c r="DI18" s="3">
        <f>ROUND(243.0,2)</f>
        <v/>
      </c>
      <c r="DJ18" s="4">
        <f>IFERROR((DD18/DC18),0)</f>
        <v/>
      </c>
      <c r="DK18" s="4">
        <f>IFERROR(((0+DB11+DB12+DB13+DB14+DB15+DB16+DB17)/T2),0)</f>
        <v/>
      </c>
      <c r="DL18" s="5">
        <f>IFERROR(ROUND(DB18/DD18,2),0)</f>
        <v/>
      </c>
      <c r="DM18" s="5">
        <f>IFERROR(ROUND(DB18/DE18,2),0)</f>
        <v/>
      </c>
      <c r="DN18" s="2" t="inlineStr">
        <is>
          <t>1 Weekly Total</t>
        </is>
      </c>
      <c r="DO18" s="5">
        <f>ROUND(39.67,2)</f>
        <v/>
      </c>
      <c r="DP18" s="3">
        <f>ROUND(83191.0,2)</f>
        <v/>
      </c>
      <c r="DQ18" s="3">
        <f>ROUND(5256.0,2)</f>
        <v/>
      </c>
      <c r="DR18" s="3">
        <f>ROUND(11570.0,2)</f>
        <v/>
      </c>
      <c r="DS18" s="3">
        <f>ROUND(8987.0,2)</f>
        <v/>
      </c>
      <c r="DT18" s="3">
        <f>ROUND(5123.0,2)</f>
        <v/>
      </c>
      <c r="DU18" s="3">
        <f>ROUND(3458.0,2)</f>
        <v/>
      </c>
      <c r="DV18" s="3">
        <f>ROUND(1868.0,2)</f>
        <v/>
      </c>
      <c r="DW18" s="4">
        <f>IFERROR((DQ18/DP18),0)</f>
        <v/>
      </c>
      <c r="DX18" s="4">
        <f>IFERROR(((0+DO11+DO12+DO13+DO14+DO15+DO16+DO17)/T2),0)</f>
        <v/>
      </c>
      <c r="DY18" s="5">
        <f>IFERROR(ROUND(DO18/DQ18,2),0)</f>
        <v/>
      </c>
      <c r="DZ18" s="5">
        <f>IFERROR(ROUND(DO18/DR18,2),0)</f>
        <v/>
      </c>
      <c r="EA18" s="2" t="inlineStr">
        <is>
          <t>1 Weekly Total</t>
        </is>
      </c>
      <c r="EB18" s="5">
        <f>ROUND(13.63,2)</f>
        <v/>
      </c>
      <c r="EC18" s="3">
        <f>ROUND(30895.0,2)</f>
        <v/>
      </c>
      <c r="ED18" s="3">
        <f>ROUND(1825.0,2)</f>
        <v/>
      </c>
      <c r="EE18" s="3">
        <f>ROUND(5409.0,2)</f>
        <v/>
      </c>
      <c r="EF18" s="3">
        <f>ROUND(3126.0,2)</f>
        <v/>
      </c>
      <c r="EG18" s="3">
        <f>ROUND(1205.0,2)</f>
        <v/>
      </c>
      <c r="EH18" s="3">
        <f>ROUND(823.0,2)</f>
        <v/>
      </c>
      <c r="EI18" s="3">
        <f>ROUND(358.0,2)</f>
        <v/>
      </c>
      <c r="EJ18" s="4">
        <f>IFERROR((ED18/EC18),0)</f>
        <v/>
      </c>
      <c r="EK18" s="4">
        <f>IFERROR(((0+EB11+EB12+EB13+EB14+EB15+EB16+EB17)/T2),0)</f>
        <v/>
      </c>
      <c r="EL18" s="5">
        <f>IFERROR(ROUND(EB18/ED18,2),0)</f>
        <v/>
      </c>
      <c r="EM18" s="5">
        <f>IFERROR(ROUND(EB18/EE18,2),0)</f>
        <v/>
      </c>
      <c r="EN18" s="2" t="inlineStr">
        <is>
          <t>1 Weekly Total</t>
        </is>
      </c>
      <c r="EO18" s="5">
        <f>ROUND(7.79,2)</f>
        <v/>
      </c>
      <c r="EP18" s="3">
        <f>ROUND(13073.0,2)</f>
        <v/>
      </c>
      <c r="EQ18" s="3">
        <f>ROUND(825.0,2)</f>
        <v/>
      </c>
      <c r="ER18" s="3">
        <f>ROUND(1163.0,2)</f>
        <v/>
      </c>
      <c r="ES18" s="3">
        <f>ROUND(711.0,2)</f>
        <v/>
      </c>
      <c r="ET18" s="3">
        <f>ROUND(313.0,2)</f>
        <v/>
      </c>
      <c r="EU18" s="3">
        <f>ROUND(174.0,2)</f>
        <v/>
      </c>
      <c r="EV18" s="3">
        <f>ROUND(95.0,2)</f>
        <v/>
      </c>
      <c r="EW18" s="4">
        <f>IFERROR((EQ18/EP18),0)</f>
        <v/>
      </c>
      <c r="EX18" s="4">
        <f>IFERROR(((0+EO11+EO12+EO13+EO14+EO15+EO16+EO17)/T2),0)</f>
        <v/>
      </c>
      <c r="EY18" s="5">
        <f>IFERROR(ROUND(EO18/EQ18,2),0)</f>
        <v/>
      </c>
      <c r="EZ18" s="5">
        <f>IFERROR(ROUND(EO18/ER18,2),0)</f>
        <v/>
      </c>
      <c r="FA18" s="2" t="inlineStr">
        <is>
          <t>1 Weekly Total</t>
        </is>
      </c>
      <c r="FB18" s="5">
        <f>ROUND(25.09,2)</f>
        <v/>
      </c>
      <c r="FC18" s="3">
        <f>ROUND(40943.0,2)</f>
        <v/>
      </c>
      <c r="FD18" s="3">
        <f>ROUND(2413.0,2)</f>
        <v/>
      </c>
      <c r="FE18" s="3">
        <f>ROUND(3666.0,2)</f>
        <v/>
      </c>
      <c r="FF18" s="3">
        <f>ROUND(2948.0,2)</f>
        <v/>
      </c>
      <c r="FG18" s="3">
        <f>ROUND(1625.0,2)</f>
        <v/>
      </c>
      <c r="FH18" s="3">
        <f>ROUND(1134.0,2)</f>
        <v/>
      </c>
      <c r="FI18" s="3">
        <f>ROUND(654.0,2)</f>
        <v/>
      </c>
      <c r="FJ18" s="4">
        <f>IFERROR((FD18/FC18),0)</f>
        <v/>
      </c>
      <c r="FK18" s="4">
        <f>IFERROR(((0+FB11+FB12+FB13+FB14+FB15+FB16+FB17)/T2),0)</f>
        <v/>
      </c>
      <c r="FL18" s="5">
        <f>IFERROR(ROUND(FB18/FD18,2),0)</f>
        <v/>
      </c>
      <c r="FM18" s="5">
        <f>IFERROR(ROUND(FB18/FE18,2),0)</f>
        <v/>
      </c>
      <c r="FN18" s="2" t="inlineStr">
        <is>
          <t>1 Weekly Total</t>
        </is>
      </c>
      <c r="FO18" s="5">
        <f>ROUND(0.11,2)</f>
        <v/>
      </c>
      <c r="FP18" s="3">
        <f>ROUND(143.0,2)</f>
        <v/>
      </c>
      <c r="FQ18" s="3">
        <f>ROUND(11.0,2)</f>
        <v/>
      </c>
      <c r="FR18" s="3">
        <f>ROUND(38.0,2)</f>
        <v/>
      </c>
      <c r="FS18" s="3">
        <f>ROUND(31.0,2)</f>
        <v/>
      </c>
      <c r="FT18" s="3">
        <f>ROUND(14.0,2)</f>
        <v/>
      </c>
      <c r="FU18" s="3">
        <f>ROUND(10.0,2)</f>
        <v/>
      </c>
      <c r="FV18" s="3">
        <f>ROUND(1.0,2)</f>
        <v/>
      </c>
      <c r="FW18" s="4">
        <f>IFERROR((FQ18/FP18),0)</f>
        <v/>
      </c>
      <c r="FX18" s="4">
        <f>IFERROR(((0+FO11+FO12+FO13+FO14+FO15+FO16+FO17)/T2),0)</f>
        <v/>
      </c>
      <c r="FY18" s="5">
        <f>IFERROR(ROUND(FO18/FQ18,2),0)</f>
        <v/>
      </c>
      <c r="FZ18" s="5">
        <f>IFERROR(ROUND(FO18/FR18,2),0)</f>
        <v/>
      </c>
      <c r="GA18" s="2" t="inlineStr">
        <is>
          <t>1 Weekly Total</t>
        </is>
      </c>
      <c r="GB18" s="5">
        <f>ROUND(15.71,2)</f>
        <v/>
      </c>
      <c r="GC18" s="3">
        <f>ROUND(28755.0,2)</f>
        <v/>
      </c>
      <c r="GD18" s="3">
        <f>ROUND(1573.0,2)</f>
        <v/>
      </c>
      <c r="GE18" s="3">
        <f>ROUND(4400.0,2)</f>
        <v/>
      </c>
      <c r="GF18" s="3">
        <f>ROUND(3249.0,2)</f>
        <v/>
      </c>
      <c r="GG18" s="3">
        <f>ROUND(1310.0,2)</f>
        <v/>
      </c>
      <c r="GH18" s="3">
        <f>ROUND(770.0,2)</f>
        <v/>
      </c>
      <c r="GI18" s="3">
        <f>ROUND(328.0,2)</f>
        <v/>
      </c>
      <c r="GJ18" s="4">
        <f>IFERROR((GD18/GC18),0)</f>
        <v/>
      </c>
      <c r="GK18" s="4">
        <f>IFERROR(((0+GB11+GB12+GB13+GB14+GB15+GB16+GB17)/T2),0)</f>
        <v/>
      </c>
      <c r="GL18" s="5">
        <f>IFERROR(ROUND(GB18/GD18,2),0)</f>
        <v/>
      </c>
      <c r="GM18" s="5">
        <f>IFERROR(ROUND(GB18/GE18,2),0)</f>
        <v/>
      </c>
      <c r="GN18" s="2" t="inlineStr">
        <is>
          <t>1 Weekly Total</t>
        </is>
      </c>
      <c r="GO18" s="5">
        <f>ROUND(6.68,2)</f>
        <v/>
      </c>
      <c r="GP18" s="3">
        <f>ROUND(12221.0,2)</f>
        <v/>
      </c>
      <c r="GQ18" s="3">
        <f>ROUND(617.0,2)</f>
        <v/>
      </c>
      <c r="GR18" s="3">
        <f>ROUND(2270.0,2)</f>
        <v/>
      </c>
      <c r="GS18" s="3">
        <f>ROUND(1787.0,2)</f>
        <v/>
      </c>
      <c r="GT18" s="3">
        <f>ROUND(744.0,2)</f>
        <v/>
      </c>
      <c r="GU18" s="3">
        <f>ROUND(484.0,2)</f>
        <v/>
      </c>
      <c r="GV18" s="3">
        <f>ROUND(368.0,2)</f>
        <v/>
      </c>
      <c r="GW18" s="4">
        <f>IFERROR((GQ18/GP18),0)</f>
        <v/>
      </c>
      <c r="GX18" s="4">
        <f>IFERROR(((0+GO11+GO12+GO13+GO14+GO15+GO16+GO17)/T2),0)</f>
        <v/>
      </c>
      <c r="GY18" s="5">
        <f>IFERROR(ROUND(GO18/GQ18,2),0)</f>
        <v/>
      </c>
      <c r="GZ18" s="5">
        <f>IFERROR(ROUND(GO18/GR18,2),0)</f>
        <v/>
      </c>
      <c r="HA18" s="2" t="inlineStr">
        <is>
          <t>1 Weekly Total</t>
        </is>
      </c>
      <c r="HB18" s="5">
        <f>ROUND(4.25,2)</f>
        <v/>
      </c>
      <c r="HC18" s="3">
        <f>ROUND(4202.0,2)</f>
        <v/>
      </c>
      <c r="HD18" s="3">
        <f>ROUND(344.0,2)</f>
        <v/>
      </c>
      <c r="HE18" s="3">
        <f>ROUND(1941.0,2)</f>
        <v/>
      </c>
      <c r="HF18" s="3">
        <f>ROUND(1680.0,2)</f>
        <v/>
      </c>
      <c r="HG18" s="3">
        <f>ROUND(777.0,2)</f>
        <v/>
      </c>
      <c r="HH18" s="3">
        <f>ROUND(673.0,2)</f>
        <v/>
      </c>
      <c r="HI18" s="3">
        <f>ROUND(45.0,2)</f>
        <v/>
      </c>
      <c r="HJ18" s="4">
        <f>IFERROR((HD18/HC18),0)</f>
        <v/>
      </c>
      <c r="HK18" s="4">
        <f>IFERROR(((0+HB11+HB12+HB13+HB14+HB15+HB16+HB17)/T2),0)</f>
        <v/>
      </c>
      <c r="HL18" s="5">
        <f>IFERROR(ROUND(HB18/HD18,2),0)</f>
        <v/>
      </c>
      <c r="HM18" s="5">
        <f>IFERROR(ROUND(HB18/HE18,2),0)</f>
        <v/>
      </c>
      <c r="HN18" s="2" t="inlineStr">
        <is>
          <t>1 Weekly Total</t>
        </is>
      </c>
      <c r="HO18" s="5">
        <f>ROUND(0.8,2)</f>
        <v/>
      </c>
      <c r="HP18" s="3">
        <f>ROUND(1045.0,2)</f>
        <v/>
      </c>
      <c r="HQ18" s="3">
        <f>ROUND(61.0,2)</f>
        <v/>
      </c>
      <c r="HR18" s="3">
        <f>ROUND(426.0,2)</f>
        <v/>
      </c>
      <c r="HS18" s="3">
        <f>ROUND(391.0,2)</f>
        <v/>
      </c>
      <c r="HT18" s="3">
        <f>ROUND(225.0,2)</f>
        <v/>
      </c>
      <c r="HU18" s="3">
        <f>ROUND(189.0,2)</f>
        <v/>
      </c>
      <c r="HV18" s="3">
        <f>ROUND(178.0,2)</f>
        <v/>
      </c>
      <c r="HW18" s="4">
        <f>IFERROR((HQ18/HP18),0)</f>
        <v/>
      </c>
      <c r="HX18" s="4">
        <f>IFERROR(((0+HO11+HO12+HO13+HO14+HO15+HO16+HO17)/T2),0)</f>
        <v/>
      </c>
      <c r="HY18" s="5">
        <f>IFERROR(ROUND(HO18/HQ18,2),0)</f>
        <v/>
      </c>
      <c r="HZ18" s="5">
        <f>IFERROR(ROUND(HO18/HR18,2),0)</f>
        <v/>
      </c>
      <c r="IA18" s="2" t="inlineStr">
        <is>
          <t>1 Weekly Total</t>
        </is>
      </c>
      <c r="IB18" s="5">
        <f>ROUND(9.79,2)</f>
        <v/>
      </c>
      <c r="IC18" s="3">
        <f>ROUND(16729.0,2)</f>
        <v/>
      </c>
      <c r="ID18" s="3">
        <f>ROUND(895.0,2)</f>
        <v/>
      </c>
      <c r="IE18" s="3">
        <f>ROUND(2853.0,2)</f>
        <v/>
      </c>
      <c r="IF18" s="3">
        <f>ROUND(2166.0,2)</f>
        <v/>
      </c>
      <c r="IG18" s="3">
        <f>ROUND(936.0,2)</f>
        <v/>
      </c>
      <c r="IH18" s="3">
        <f>ROUND(662.0,2)</f>
        <v/>
      </c>
      <c r="II18" s="3">
        <f>ROUND(341.0,2)</f>
        <v/>
      </c>
      <c r="IJ18" s="4">
        <f>IFERROR((ID18/IC18),0)</f>
        <v/>
      </c>
      <c r="IK18" s="4">
        <f>IFERROR(((0+IB11+IB12+IB13+IB14+IB15+IB16+IB17)/T2),0)</f>
        <v/>
      </c>
      <c r="IL18" s="5">
        <f>IFERROR(ROUND(IB18/ID18,2),0)</f>
        <v/>
      </c>
      <c r="IM18" s="5">
        <f>IFERROR(ROUND(IB18/IE18,2),0)</f>
        <v/>
      </c>
      <c r="IN18" s="2" t="inlineStr">
        <is>
          <t>1 Weekly Total</t>
        </is>
      </c>
      <c r="IO18" s="5">
        <f>ROUND(27.32,2)</f>
        <v/>
      </c>
      <c r="IP18" s="3">
        <f>ROUND(50482.0,2)</f>
        <v/>
      </c>
      <c r="IQ18" s="3">
        <f>ROUND(2484.0,2)</f>
        <v/>
      </c>
      <c r="IR18" s="3">
        <f>ROUND(9880.0,2)</f>
        <v/>
      </c>
      <c r="IS18" s="3">
        <f>ROUND(8686.0,2)</f>
        <v/>
      </c>
      <c r="IT18" s="3">
        <f>ROUND(5923.0,2)</f>
        <v/>
      </c>
      <c r="IU18" s="3">
        <f>ROUND(4992.0,2)</f>
        <v/>
      </c>
      <c r="IV18" s="3">
        <f>ROUND(3707.0,2)</f>
        <v/>
      </c>
      <c r="IW18" s="4">
        <f>IFERROR((IQ18/IP18),0)</f>
        <v/>
      </c>
      <c r="IX18" s="4">
        <f>IFERROR(((0+IO11+IO12+IO13+IO14+IO15+IO16+IO17)/T2),0)</f>
        <v/>
      </c>
      <c r="IY18" s="5">
        <f>IFERROR(ROUND(IO18/IQ18,2),0)</f>
        <v/>
      </c>
      <c r="IZ18" s="5">
        <f>IFERROR(ROUND(IO18/IR18,2),0)</f>
        <v/>
      </c>
      <c r="JA18" s="2" t="inlineStr">
        <is>
          <t>1 Weekly Total</t>
        </is>
      </c>
      <c r="JB18" s="5">
        <f>ROUND(5.68,2)</f>
        <v/>
      </c>
      <c r="JC18" s="3">
        <f>ROUND(7306.0,2)</f>
        <v/>
      </c>
      <c r="JD18" s="3">
        <f>ROUND(459.0,2)</f>
        <v/>
      </c>
      <c r="JE18" s="3">
        <f>ROUND(2555.0,2)</f>
        <v/>
      </c>
      <c r="JF18" s="3">
        <f>ROUND(2282.0,2)</f>
        <v/>
      </c>
      <c r="JG18" s="3">
        <f>ROUND(1153.0,2)</f>
        <v/>
      </c>
      <c r="JH18" s="3">
        <f>ROUND(929.0,2)</f>
        <v/>
      </c>
      <c r="JI18" s="3">
        <f>ROUND(116.0,2)</f>
        <v/>
      </c>
      <c r="JJ18" s="4">
        <f>IFERROR((JD18/JC18),0)</f>
        <v/>
      </c>
      <c r="JK18" s="4">
        <f>IFERROR(((0+JB11+JB12+JB13+JB14+JB15+JB16+JB17)/T2),0)</f>
        <v/>
      </c>
      <c r="JL18" s="5">
        <f>IFERROR(ROUND(JB18/JD18,2),0)</f>
        <v/>
      </c>
      <c r="JM18" s="5">
        <f>IFERROR(ROUND(JB18/JE18,2),0)</f>
        <v/>
      </c>
    </row>
    <row r="19">
      <c r="A19" s="2" t="inlineStr">
        <is>
          <t>2023-09-27</t>
        </is>
      </c>
      <c r="B19" s="5">
        <f>ROUND(60.21,2)</f>
        <v/>
      </c>
      <c r="C19" s="3">
        <f>ROUND(152332.0,2)</f>
        <v/>
      </c>
      <c r="D19" s="3">
        <f>ROUND(6235.0,2)</f>
        <v/>
      </c>
      <c r="E19" s="3">
        <f>ROUND(26424.0,2)</f>
        <v/>
      </c>
      <c r="F19" s="3">
        <f>ROUND(20384.0,2)</f>
        <v/>
      </c>
      <c r="G19" s="3">
        <f>ROUND(9815.0,2)</f>
        <v/>
      </c>
      <c r="H19" s="3">
        <f>ROUND(6649.0,2)</f>
        <v/>
      </c>
      <c r="I19" s="3">
        <f>ROUND(3829.0,2)</f>
        <v/>
      </c>
      <c r="J19" s="4">
        <f>IFERROR((D19/C19),0)</f>
        <v/>
      </c>
      <c r="K19" s="4">
        <f>IFERROR(((0+B11+B12+B13+B14+B15+B16+B17+B19)/T2),0)</f>
        <v/>
      </c>
      <c r="L19" s="5">
        <f>IFERROR(ROUND(B19/D19,2),0)</f>
        <v/>
      </c>
      <c r="M19" s="5">
        <f>IFERROR(ROUND(B19/E19,2),0)</f>
        <v/>
      </c>
      <c r="N19" s="2" t="inlineStr">
        <is>
          <t>2023-09-27</t>
        </is>
      </c>
      <c r="O19" s="5">
        <f>ROUND(1.85,2)</f>
        <v/>
      </c>
      <c r="P19" s="3">
        <f>ROUND(5260.0,2)</f>
        <v/>
      </c>
      <c r="Q19" s="3">
        <f>ROUND(214.0,2)</f>
        <v/>
      </c>
      <c r="R19" s="3">
        <f>ROUND(616.0,2)</f>
        <v/>
      </c>
      <c r="S19" s="3">
        <f>ROUND(438.0,2)</f>
        <v/>
      </c>
      <c r="T19" s="3">
        <f>ROUND(162.0,2)</f>
        <v/>
      </c>
      <c r="U19" s="3">
        <f>ROUND(79.0,2)</f>
        <v/>
      </c>
      <c r="V19" s="3">
        <f>ROUND(40.0,2)</f>
        <v/>
      </c>
      <c r="W19" s="4">
        <f>IFERROR((Q19/P19),0)</f>
        <v/>
      </c>
      <c r="X19" s="4">
        <f>IFERROR(((0+O11+O12+O13+O14+O15+O16+O17+O19)/T2),0)</f>
        <v/>
      </c>
      <c r="Y19" s="5">
        <f>IFERROR(ROUND(O19/Q19,2),0)</f>
        <v/>
      </c>
      <c r="Z19" s="5">
        <f>IFERROR(ROUND(O19/R19,2),0)</f>
        <v/>
      </c>
      <c r="AA19" s="2" t="inlineStr">
        <is>
          <t>2023-09-27</t>
        </is>
      </c>
      <c r="AB19" s="5">
        <f>ROUND(0.15,2)</f>
        <v/>
      </c>
      <c r="AC19" s="3">
        <f>ROUND(301.0,2)</f>
        <v/>
      </c>
      <c r="AD19" s="3">
        <f>ROUND(10.0,2)</f>
        <v/>
      </c>
      <c r="AE19" s="3">
        <f>ROUND(43.0,2)</f>
        <v/>
      </c>
      <c r="AF19" s="3">
        <f>ROUND(36.0,2)</f>
        <v/>
      </c>
      <c r="AG19" s="3">
        <f>ROUND(15.0,2)</f>
        <v/>
      </c>
      <c r="AH19" s="3">
        <f>ROUND(11.0,2)</f>
        <v/>
      </c>
      <c r="AI19" s="3">
        <f>ROUND(4.0,2)</f>
        <v/>
      </c>
      <c r="AJ19" s="4">
        <f>IFERROR((AD19/AC19),0)</f>
        <v/>
      </c>
      <c r="AK19" s="4">
        <f>IFERROR(((0+AB11+AB12+AB13+AB14+AB15+AB16+AB17+AB19)/T2),0)</f>
        <v/>
      </c>
      <c r="AL19" s="5">
        <f>IFERROR(ROUND(AB19/AD19,2),0)</f>
        <v/>
      </c>
      <c r="AM19" s="5">
        <f>IFERROR(ROUND(AB19/AE19,2),0)</f>
        <v/>
      </c>
      <c r="AN19" s="2" t="inlineStr">
        <is>
          <t>2023-09-27</t>
        </is>
      </c>
      <c r="AO19" s="5">
        <f>ROUND(0.0,2)</f>
        <v/>
      </c>
      <c r="AP19" s="3">
        <f>ROUND(1.0,2)</f>
        <v/>
      </c>
      <c r="AQ19" s="3">
        <f>ROUND(0.0,2)</f>
        <v/>
      </c>
      <c r="AR19" s="3">
        <f>ROUND(0.0,2)</f>
        <v/>
      </c>
      <c r="AS19" s="3">
        <f>ROUND(0.0,2)</f>
        <v/>
      </c>
      <c r="AT19" s="3">
        <f>ROUND(0.0,2)</f>
        <v/>
      </c>
      <c r="AU19" s="3">
        <f>ROUND(0.0,2)</f>
        <v/>
      </c>
      <c r="AV19" s="3">
        <f>ROUND(0.0,2)</f>
        <v/>
      </c>
      <c r="AW19" s="4">
        <f>IFERROR((AQ19/AP19),0)</f>
        <v/>
      </c>
      <c r="AX19" s="4">
        <f>IFERROR(((0+AO11+AO12+AO13+AO14+AO15+AO16+AO17+AO19)/T2),0)</f>
        <v/>
      </c>
      <c r="AY19" s="5">
        <f>IFERROR(ROUND(AO19/AQ19,2),0)</f>
        <v/>
      </c>
      <c r="AZ19" s="5">
        <f>IFERROR(ROUND(AO19/AR19,2),0)</f>
        <v/>
      </c>
      <c r="BA19" s="2" t="inlineStr">
        <is>
          <t>2023-09-27</t>
        </is>
      </c>
      <c r="BB19" s="5">
        <f>ROUND(12.24,2)</f>
        <v/>
      </c>
      <c r="BC19" s="3">
        <f>ROUND(39257.0,2)</f>
        <v/>
      </c>
      <c r="BD19" s="3">
        <f>ROUND(1421.0,2)</f>
        <v/>
      </c>
      <c r="BE19" s="3">
        <f>ROUND(7975.0,2)</f>
        <v/>
      </c>
      <c r="BF19" s="3">
        <f>ROUND(5927.0,2)</f>
        <v/>
      </c>
      <c r="BG19" s="3">
        <f>ROUND(2513.0,2)</f>
        <v/>
      </c>
      <c r="BH19" s="3">
        <f>ROUND(1444.0,2)</f>
        <v/>
      </c>
      <c r="BI19" s="3">
        <f>ROUND(786.0,2)</f>
        <v/>
      </c>
      <c r="BJ19" s="4">
        <f>IFERROR((BD19/BC19),0)</f>
        <v/>
      </c>
      <c r="BK19" s="4">
        <f>IFERROR(((0+BB11+BB12+BB13+BB14+BB15+BB16+BB17+BB19)/T2),0)</f>
        <v/>
      </c>
      <c r="BL19" s="5">
        <f>IFERROR(ROUND(BB19/BD19,2),0)</f>
        <v/>
      </c>
      <c r="BM19" s="5">
        <f>IFERROR(ROUND(BB19/BE19,2),0)</f>
        <v/>
      </c>
      <c r="BN19" s="2" t="inlineStr">
        <is>
          <t>2023-09-27</t>
        </is>
      </c>
      <c r="BO19" s="5">
        <f>ROUND(8.15,2)</f>
        <v/>
      </c>
      <c r="BP19" s="3">
        <f>ROUND(24526.0,2)</f>
        <v/>
      </c>
      <c r="BQ19" s="3">
        <f>ROUND(845.0,2)</f>
        <v/>
      </c>
      <c r="BR19" s="3">
        <f>ROUND(5070.0,2)</f>
        <v/>
      </c>
      <c r="BS19" s="3">
        <f>ROUND(4324.0,2)</f>
        <v/>
      </c>
      <c r="BT19" s="3">
        <f>ROUND(2322.0,2)</f>
        <v/>
      </c>
      <c r="BU19" s="3">
        <f>ROUND(1802.0,2)</f>
        <v/>
      </c>
      <c r="BV19" s="3">
        <f>ROUND(1119.0,2)</f>
        <v/>
      </c>
      <c r="BW19" s="4">
        <f>IFERROR((BQ19/BP19),0)</f>
        <v/>
      </c>
      <c r="BX19" s="4">
        <f>IFERROR(((0+BO11+BO12+BO13+BO14+BO15+BO16+BO17+BO19)/T2),0)</f>
        <v/>
      </c>
      <c r="BY19" s="5">
        <f>IFERROR(ROUND(BO19/BQ19,2),0)</f>
        <v/>
      </c>
      <c r="BZ19" s="5">
        <f>IFERROR(ROUND(BO19/BR19,2),0)</f>
        <v/>
      </c>
      <c r="CA19" s="2" t="inlineStr">
        <is>
          <t>2023-09-27</t>
        </is>
      </c>
      <c r="CB19" s="5">
        <f>ROUND(1.05,2)</f>
        <v/>
      </c>
      <c r="CC19" s="3">
        <f>ROUND(2576.0,2)</f>
        <v/>
      </c>
      <c r="CD19" s="3">
        <f>ROUND(113.0,2)</f>
        <v/>
      </c>
      <c r="CE19" s="3">
        <f>ROUND(621.0,2)</f>
        <v/>
      </c>
      <c r="CF19" s="3">
        <f>ROUND(460.0,2)</f>
        <v/>
      </c>
      <c r="CG19" s="3">
        <f>ROUND(216.0,2)</f>
        <v/>
      </c>
      <c r="CH19" s="3">
        <f>ROUND(128.0,2)</f>
        <v/>
      </c>
      <c r="CI19" s="3">
        <f>ROUND(55.0,2)</f>
        <v/>
      </c>
      <c r="CJ19" s="4">
        <f>IFERROR((CD19/CC19),0)</f>
        <v/>
      </c>
      <c r="CK19" s="4">
        <f>IFERROR(((0+CB11+CB12+CB13+CB14+CB15+CB16+CB17+CB19)/T2),0)</f>
        <v/>
      </c>
      <c r="CL19" s="5">
        <f>IFERROR(ROUND(CB19/CD19,2),0)</f>
        <v/>
      </c>
      <c r="CM19" s="5">
        <f>IFERROR(ROUND(CB19/CE19,2),0)</f>
        <v/>
      </c>
      <c r="CN19" s="2" t="inlineStr">
        <is>
          <t>2023-09-27</t>
        </is>
      </c>
      <c r="CO19" s="5">
        <f>ROUND(2.83,2)</f>
        <v/>
      </c>
      <c r="CP19" s="3">
        <f>ROUND(5071.0,2)</f>
        <v/>
      </c>
      <c r="CQ19" s="3">
        <f>ROUND(276.0,2)</f>
        <v/>
      </c>
      <c r="CR19" s="3">
        <f>ROUND(1900.0,2)</f>
        <v/>
      </c>
      <c r="CS19" s="3">
        <f>ROUND(1748.0,2)</f>
        <v/>
      </c>
      <c r="CT19" s="3">
        <f>ROUND(756.0,2)</f>
        <v/>
      </c>
      <c r="CU19" s="3">
        <f>ROUND(470.0,2)</f>
        <v/>
      </c>
      <c r="CV19" s="3">
        <f>ROUND(329.0,2)</f>
        <v/>
      </c>
      <c r="CW19" s="4">
        <f>IFERROR((CQ19/CP19),0)</f>
        <v/>
      </c>
      <c r="CX19" s="4">
        <f>IFERROR(((0+CO11+CO12+CO13+CO14+CO15+CO16+CO17+CO19)/T2),0)</f>
        <v/>
      </c>
      <c r="CY19" s="5">
        <f>IFERROR(ROUND(CO19/CQ19,2),0)</f>
        <v/>
      </c>
      <c r="CZ19" s="5">
        <f>IFERROR(ROUND(CO19/CR19,2),0)</f>
        <v/>
      </c>
      <c r="DA19" s="2" t="inlineStr">
        <is>
          <t>2023-09-27</t>
        </is>
      </c>
      <c r="DB19" s="5">
        <f>ROUND(3.16,2)</f>
        <v/>
      </c>
      <c r="DC19" s="3">
        <f>ROUND(8609.0,2)</f>
        <v/>
      </c>
      <c r="DD19" s="3">
        <f>ROUND(378.0,2)</f>
        <v/>
      </c>
      <c r="DE19" s="3">
        <f>ROUND(976.0,2)</f>
        <v/>
      </c>
      <c r="DF19" s="3">
        <f>ROUND(536.0,2)</f>
        <v/>
      </c>
      <c r="DG19" s="3">
        <f>ROUND(225.0,2)</f>
        <v/>
      </c>
      <c r="DH19" s="3">
        <f>ROUND(122.0,2)</f>
        <v/>
      </c>
      <c r="DI19" s="3">
        <f>ROUND(46.0,2)</f>
        <v/>
      </c>
      <c r="DJ19" s="4">
        <f>IFERROR((DD19/DC19),0)</f>
        <v/>
      </c>
      <c r="DK19" s="4">
        <f>IFERROR(((0+DB11+DB12+DB13+DB14+DB15+DB16+DB17+DB19)/T2),0)</f>
        <v/>
      </c>
      <c r="DL19" s="5">
        <f>IFERROR(ROUND(DB19/DD19,2),0)</f>
        <v/>
      </c>
      <c r="DM19" s="5">
        <f>IFERROR(ROUND(DB19/DE19,2),0)</f>
        <v/>
      </c>
      <c r="DN19" s="2" t="inlineStr">
        <is>
          <t>2023-09-27</t>
        </is>
      </c>
      <c r="DO19" s="5">
        <f>ROUND(10.0,2)</f>
        <v/>
      </c>
      <c r="DP19" s="3">
        <f>ROUND(24505.0,2)</f>
        <v/>
      </c>
      <c r="DQ19" s="3">
        <f>ROUND(1166.0,2)</f>
        <v/>
      </c>
      <c r="DR19" s="3">
        <f>ROUND(3098.0,2)</f>
        <v/>
      </c>
      <c r="DS19" s="3">
        <f>ROUND(2345.0,2)</f>
        <v/>
      </c>
      <c r="DT19" s="3">
        <f>ROUND(1359.0,2)</f>
        <v/>
      </c>
      <c r="DU19" s="3">
        <f>ROUND(889.0,2)</f>
        <v/>
      </c>
      <c r="DV19" s="3">
        <f>ROUND(532.0,2)</f>
        <v/>
      </c>
      <c r="DW19" s="4">
        <f>IFERROR((DQ19/DP19),0)</f>
        <v/>
      </c>
      <c r="DX19" s="4">
        <f>IFERROR(((0+DO11+DO12+DO13+DO14+DO15+DO16+DO17+DO19)/T2),0)</f>
        <v/>
      </c>
      <c r="DY19" s="5">
        <f>IFERROR(ROUND(DO19/DQ19,2),0)</f>
        <v/>
      </c>
      <c r="DZ19" s="5">
        <f>IFERROR(ROUND(DO19/DR19,2),0)</f>
        <v/>
      </c>
      <c r="EA19" s="2" t="inlineStr">
        <is>
          <t>2023-09-27</t>
        </is>
      </c>
      <c r="EB19" s="5">
        <f>ROUND(2.93,2)</f>
        <v/>
      </c>
      <c r="EC19" s="3">
        <f>ROUND(7074.0,2)</f>
        <v/>
      </c>
      <c r="ED19" s="3">
        <f>ROUND(348.0,2)</f>
        <v/>
      </c>
      <c r="EE19" s="3">
        <f>ROUND(1186.0,2)</f>
        <v/>
      </c>
      <c r="EF19" s="3">
        <f>ROUND(647.0,2)</f>
        <v/>
      </c>
      <c r="EG19" s="3">
        <f>ROUND(237.0,2)</f>
        <v/>
      </c>
      <c r="EH19" s="3">
        <f>ROUND(154.0,2)</f>
        <v/>
      </c>
      <c r="EI19" s="3">
        <f>ROUND(75.0,2)</f>
        <v/>
      </c>
      <c r="EJ19" s="4">
        <f>IFERROR((ED19/EC19),0)</f>
        <v/>
      </c>
      <c r="EK19" s="4">
        <f>IFERROR(((0+EB11+EB12+EB13+EB14+EB15+EB16+EB17+EB19)/T2),0)</f>
        <v/>
      </c>
      <c r="EL19" s="5">
        <f>IFERROR(ROUND(EB19/ED19,2),0)</f>
        <v/>
      </c>
      <c r="EM19" s="5">
        <f>IFERROR(ROUND(EB19/EE19,2),0)</f>
        <v/>
      </c>
      <c r="EN19" s="2" t="inlineStr">
        <is>
          <t>2023-09-27</t>
        </is>
      </c>
      <c r="EO19" s="5">
        <f>ROUND(1.68,2)</f>
        <v/>
      </c>
      <c r="EP19" s="3">
        <f>ROUND(2953.0,2)</f>
        <v/>
      </c>
      <c r="EQ19" s="3">
        <f>ROUND(145.0,2)</f>
        <v/>
      </c>
      <c r="ER19" s="3">
        <f>ROUND(194.0,2)</f>
        <v/>
      </c>
      <c r="ES19" s="3">
        <f>ROUND(109.0,2)</f>
        <v/>
      </c>
      <c r="ET19" s="3">
        <f>ROUND(33.0,2)</f>
        <v/>
      </c>
      <c r="EU19" s="3">
        <f>ROUND(11.0,2)</f>
        <v/>
      </c>
      <c r="EV19" s="3">
        <f>ROUND(7.0,2)</f>
        <v/>
      </c>
      <c r="EW19" s="4">
        <f>IFERROR((EQ19/EP19),0)</f>
        <v/>
      </c>
      <c r="EX19" s="4">
        <f>IFERROR(((0+EO11+EO12+EO13+EO14+EO15+EO16+EO17+EO19)/T2),0)</f>
        <v/>
      </c>
      <c r="EY19" s="5">
        <f>IFERROR(ROUND(EO19/EQ19,2),0)</f>
        <v/>
      </c>
      <c r="EZ19" s="5">
        <f>IFERROR(ROUND(EO19/ER19,2),0)</f>
        <v/>
      </c>
      <c r="FA19" s="2" t="inlineStr">
        <is>
          <t>2023-09-27</t>
        </is>
      </c>
      <c r="FB19" s="5">
        <f>ROUND(2.55,2)</f>
        <v/>
      </c>
      <c r="FC19" s="3">
        <f>ROUND(4785.0,2)</f>
        <v/>
      </c>
      <c r="FD19" s="3">
        <f>ROUND(214.0,2)</f>
        <v/>
      </c>
      <c r="FE19" s="3">
        <f>ROUND(435.0,2)</f>
        <v/>
      </c>
      <c r="FF19" s="3">
        <f>ROUND(348.0,2)</f>
        <v/>
      </c>
      <c r="FG19" s="3">
        <f>ROUND(185.0,2)</f>
        <v/>
      </c>
      <c r="FH19" s="3">
        <f>ROUND(133.0,2)</f>
        <v/>
      </c>
      <c r="FI19" s="3">
        <f>ROUND(90.0,2)</f>
        <v/>
      </c>
      <c r="FJ19" s="4">
        <f>IFERROR((FD19/FC19),0)</f>
        <v/>
      </c>
      <c r="FK19" s="4">
        <f>IFERROR(((0+FB11+FB12+FB13+FB14+FB15+FB16+FB17+FB19)/T2),0)</f>
        <v/>
      </c>
      <c r="FL19" s="5">
        <f>IFERROR(ROUND(FB19/FD19,2),0)</f>
        <v/>
      </c>
      <c r="FM19" s="5">
        <f>IFERROR(ROUND(FB19/FE19,2),0)</f>
        <v/>
      </c>
      <c r="FN19" s="2" t="inlineStr">
        <is>
          <t>2023-09-27</t>
        </is>
      </c>
      <c r="FO19" s="5">
        <f>ROUND(0.0,2)</f>
        <v/>
      </c>
      <c r="FP19" s="3">
        <f>ROUND(6.0,2)</f>
        <v/>
      </c>
      <c r="FQ19" s="3">
        <f>ROUND(0.0,2)</f>
        <v/>
      </c>
      <c r="FR19" s="3">
        <f>ROUND(0.0,2)</f>
        <v/>
      </c>
      <c r="FS19" s="3">
        <f>ROUND(0.0,2)</f>
        <v/>
      </c>
      <c r="FT19" s="3">
        <f>ROUND(0.0,2)</f>
        <v/>
      </c>
      <c r="FU19" s="3">
        <f>ROUND(0.0,2)</f>
        <v/>
      </c>
      <c r="FV19" s="3">
        <f>ROUND(0.0,2)</f>
        <v/>
      </c>
      <c r="FW19" s="4">
        <f>IFERROR((FQ19/FP19),0)</f>
        <v/>
      </c>
      <c r="FX19" s="4">
        <f>IFERROR(((0+FO11+FO12+FO13+FO14+FO15+FO16+FO17+FO19)/T2),0)</f>
        <v/>
      </c>
      <c r="FY19" s="5">
        <f>IFERROR(ROUND(FO19/FQ19,2),0)</f>
        <v/>
      </c>
      <c r="FZ19" s="5">
        <f>IFERROR(ROUND(FO19/FR19,2),0)</f>
        <v/>
      </c>
      <c r="GA19" s="2" t="inlineStr">
        <is>
          <t>2023-09-27</t>
        </is>
      </c>
      <c r="GB19" s="5">
        <f>ROUND(5.16,2)</f>
        <v/>
      </c>
      <c r="GC19" s="3">
        <f>ROUND(10591.0,2)</f>
        <v/>
      </c>
      <c r="GD19" s="3">
        <f>ROUND(422.0,2)</f>
        <v/>
      </c>
      <c r="GE19" s="3">
        <f>ROUND(1288.0,2)</f>
        <v/>
      </c>
      <c r="GF19" s="3">
        <f>ROUND(968.0,2)</f>
        <v/>
      </c>
      <c r="GG19" s="3">
        <f>ROUND(375.0,2)</f>
        <v/>
      </c>
      <c r="GH19" s="3">
        <f>ROUND(231.0,2)</f>
        <v/>
      </c>
      <c r="GI19" s="3">
        <f>ROUND(111.0,2)</f>
        <v/>
      </c>
      <c r="GJ19" s="4">
        <f>IFERROR((GD19/GC19),0)</f>
        <v/>
      </c>
      <c r="GK19" s="4">
        <f>IFERROR(((0+GB11+GB12+GB13+GB14+GB15+GB16+GB17+GB19)/T2),0)</f>
        <v/>
      </c>
      <c r="GL19" s="5">
        <f>IFERROR(ROUND(GB19/GD19,2),0)</f>
        <v/>
      </c>
      <c r="GM19" s="5">
        <f>IFERROR(ROUND(GB19/GE19,2),0)</f>
        <v/>
      </c>
      <c r="GN19" s="2" t="inlineStr">
        <is>
          <t>2023-09-27</t>
        </is>
      </c>
      <c r="GO19" s="5">
        <f>ROUND(1.15,2)</f>
        <v/>
      </c>
      <c r="GP19" s="3">
        <f>ROUND(2076.0,2)</f>
        <v/>
      </c>
      <c r="GQ19" s="3">
        <f>ROUND(116.0,2)</f>
        <v/>
      </c>
      <c r="GR19" s="3">
        <f>ROUND(355.0,2)</f>
        <v/>
      </c>
      <c r="GS19" s="3">
        <f>ROUND(275.0,2)</f>
        <v/>
      </c>
      <c r="GT19" s="3">
        <f>ROUND(114.0,2)</f>
        <v/>
      </c>
      <c r="GU19" s="3">
        <f>ROUND(87.0,2)</f>
        <v/>
      </c>
      <c r="GV19" s="3">
        <f>ROUND(59.0,2)</f>
        <v/>
      </c>
      <c r="GW19" s="4">
        <f>IFERROR((GQ19/GP19),0)</f>
        <v/>
      </c>
      <c r="GX19" s="4">
        <f>IFERROR(((0+GO11+GO12+GO13+GO14+GO15+GO16+GO17+GO19)/T2),0)</f>
        <v/>
      </c>
      <c r="GY19" s="5">
        <f>IFERROR(ROUND(GO19/GQ19,2),0)</f>
        <v/>
      </c>
      <c r="GZ19" s="5">
        <f>IFERROR(ROUND(GO19/GR19,2),0)</f>
        <v/>
      </c>
      <c r="HA19" s="2" t="inlineStr">
        <is>
          <t>2023-09-27</t>
        </is>
      </c>
      <c r="HB19" s="5">
        <f>ROUND(1.06,2)</f>
        <v/>
      </c>
      <c r="HC19" s="3">
        <f>ROUND(1537.0,2)</f>
        <v/>
      </c>
      <c r="HD19" s="3">
        <f>ROUND(79.0,2)</f>
        <v/>
      </c>
      <c r="HE19" s="3">
        <f>ROUND(500.0,2)</f>
        <v/>
      </c>
      <c r="HF19" s="3">
        <f>ROUND(418.0,2)</f>
        <v/>
      </c>
      <c r="HG19" s="3">
        <f>ROUND(205.0,2)</f>
        <v/>
      </c>
      <c r="HH19" s="3">
        <f>ROUND(179.0,2)</f>
        <v/>
      </c>
      <c r="HI19" s="3">
        <f>ROUND(19.0,2)</f>
        <v/>
      </c>
      <c r="HJ19" s="4">
        <f>IFERROR((HD19/HC19),0)</f>
        <v/>
      </c>
      <c r="HK19" s="4">
        <f>IFERROR(((0+HB11+HB12+HB13+HB14+HB15+HB16+HB17+HB19)/T2),0)</f>
        <v/>
      </c>
      <c r="HL19" s="5">
        <f>IFERROR(ROUND(HB19/HD19,2),0)</f>
        <v/>
      </c>
      <c r="HM19" s="5">
        <f>IFERROR(ROUND(HB19/HE19,2),0)</f>
        <v/>
      </c>
      <c r="HN19" s="2" t="inlineStr">
        <is>
          <t>2023-09-27</t>
        </is>
      </c>
      <c r="HO19" s="5">
        <f>ROUND(0.0,2)</f>
        <v/>
      </c>
      <c r="HP19" s="3">
        <f>ROUND(10.0,2)</f>
        <v/>
      </c>
      <c r="HQ19" s="3">
        <f>ROUND(0.0,2)</f>
        <v/>
      </c>
      <c r="HR19" s="3">
        <f>ROUND(2.0,2)</f>
        <v/>
      </c>
      <c r="HS19" s="3">
        <f>ROUND(2.0,2)</f>
        <v/>
      </c>
      <c r="HT19" s="3">
        <f>ROUND(1.0,2)</f>
        <v/>
      </c>
      <c r="HU19" s="3">
        <f>ROUND(1.0,2)</f>
        <v/>
      </c>
      <c r="HV19" s="3">
        <f>ROUND(0.0,2)</f>
        <v/>
      </c>
      <c r="HW19" s="4">
        <f>IFERROR((HQ19/HP19),0)</f>
        <v/>
      </c>
      <c r="HX19" s="4">
        <f>IFERROR(((0+HO11+HO12+HO13+HO14+HO15+HO16+HO17+HO19)/T2),0)</f>
        <v/>
      </c>
      <c r="HY19" s="5">
        <f>IFERROR(ROUND(HO19/HQ19,2),0)</f>
        <v/>
      </c>
      <c r="HZ19" s="5">
        <f>IFERROR(ROUND(HO19/HR19,2),0)</f>
        <v/>
      </c>
      <c r="IA19" s="2" t="inlineStr">
        <is>
          <t>2023-09-27</t>
        </is>
      </c>
      <c r="IB19" s="5">
        <f>ROUND(0.89,2)</f>
        <v/>
      </c>
      <c r="IC19" s="3">
        <f>ROUND(1653.0,2)</f>
        <v/>
      </c>
      <c r="ID19" s="3">
        <f>ROUND(60.0,2)</f>
        <v/>
      </c>
      <c r="IE19" s="3">
        <f>ROUND(252.0,2)</f>
        <v/>
      </c>
      <c r="IF19" s="3">
        <f>ROUND(176.0,2)</f>
        <v/>
      </c>
      <c r="IG19" s="3">
        <f>ROUND(80.0,2)</f>
        <v/>
      </c>
      <c r="IH19" s="3">
        <f>ROUND(56.0,2)</f>
        <v/>
      </c>
      <c r="II19" s="3">
        <f>ROUND(32.0,2)</f>
        <v/>
      </c>
      <c r="IJ19" s="4">
        <f>IFERROR((ID19/IC19),0)</f>
        <v/>
      </c>
      <c r="IK19" s="4">
        <f>IFERROR(((0+IB11+IB12+IB13+IB14+IB15+IB16+IB17+IB19)/T2),0)</f>
        <v/>
      </c>
      <c r="IL19" s="5">
        <f>IFERROR(ROUND(IB19/ID19,2),0)</f>
        <v/>
      </c>
      <c r="IM19" s="5">
        <f>IFERROR(ROUND(IB19/IE19,2),0)</f>
        <v/>
      </c>
      <c r="IN19" s="2" t="inlineStr">
        <is>
          <t>2023-09-27</t>
        </is>
      </c>
      <c r="IO19" s="5">
        <f>ROUND(4.61,2)</f>
        <v/>
      </c>
      <c r="IP19" s="3">
        <f>ROUND(10381.0,2)</f>
        <v/>
      </c>
      <c r="IQ19" s="3">
        <f>ROUND(372.0,2)</f>
        <v/>
      </c>
      <c r="IR19" s="3">
        <f>ROUND(1653.0,2)</f>
        <v/>
      </c>
      <c r="IS19" s="3">
        <f>ROUND(1423.0,2)</f>
        <v/>
      </c>
      <c r="IT19" s="3">
        <f>ROUND(913.0,2)</f>
        <v/>
      </c>
      <c r="IU19" s="3">
        <f>ROUND(772.0,2)</f>
        <v/>
      </c>
      <c r="IV19" s="3">
        <f>ROUND(495.0,2)</f>
        <v/>
      </c>
      <c r="IW19" s="4">
        <f>IFERROR((IQ19/IP19),0)</f>
        <v/>
      </c>
      <c r="IX19" s="4">
        <f>IFERROR(((0+IO11+IO12+IO13+IO14+IO15+IO16+IO17+IO19)/T2),0)</f>
        <v/>
      </c>
      <c r="IY19" s="5">
        <f>IFERROR(ROUND(IO19/IQ19,2),0)</f>
        <v/>
      </c>
      <c r="IZ19" s="5">
        <f>IFERROR(ROUND(IO19/IR19,2),0)</f>
        <v/>
      </c>
      <c r="JA19" s="2" t="inlineStr">
        <is>
          <t>2023-09-27</t>
        </is>
      </c>
      <c r="JB19" s="5">
        <f>ROUND(0.75,2)</f>
        <v/>
      </c>
      <c r="JC19" s="3">
        <f>ROUND(1160.0,2)</f>
        <v/>
      </c>
      <c r="JD19" s="3">
        <f>ROUND(56.0,2)</f>
        <v/>
      </c>
      <c r="JE19" s="3">
        <f>ROUND(260.0,2)</f>
        <v/>
      </c>
      <c r="JF19" s="3">
        <f>ROUND(204.0,2)</f>
        <v/>
      </c>
      <c r="JG19" s="3">
        <f>ROUND(104.0,2)</f>
        <v/>
      </c>
      <c r="JH19" s="3">
        <f>ROUND(80.0,2)</f>
        <v/>
      </c>
      <c r="JI19" s="3">
        <f>ROUND(30.0,2)</f>
        <v/>
      </c>
      <c r="JJ19" s="4">
        <f>IFERROR((JD19/JC19),0)</f>
        <v/>
      </c>
      <c r="JK19" s="4">
        <f>IFERROR(((0+JB11+JB12+JB13+JB14+JB15+JB16+JB17+JB19)/T2),0)</f>
        <v/>
      </c>
      <c r="JL19" s="5">
        <f>IFERROR(ROUND(JB19/JD19,2),0)</f>
        <v/>
      </c>
      <c r="JM19" s="5">
        <f>IFERROR(ROUND(JB19/JE19,2),0)</f>
        <v/>
      </c>
    </row>
    <row r="20">
      <c r="A20" s="2" t="inlineStr">
        <is>
          <t>2023-09-28</t>
        </is>
      </c>
      <c r="B20" s="5">
        <f>ROUND(62.08,2)</f>
        <v/>
      </c>
      <c r="C20" s="3">
        <f>ROUND(148484.0,2)</f>
        <v/>
      </c>
      <c r="D20" s="3">
        <f>ROUND(6228.0,2)</f>
        <v/>
      </c>
      <c r="E20" s="3">
        <f>ROUND(26601.0,2)</f>
        <v/>
      </c>
      <c r="F20" s="3">
        <f>ROUND(20282.0,2)</f>
        <v/>
      </c>
      <c r="G20" s="3">
        <f>ROUND(9699.0,2)</f>
        <v/>
      </c>
      <c r="H20" s="3">
        <f>ROUND(6581.0,2)</f>
        <v/>
      </c>
      <c r="I20" s="3">
        <f>ROUND(3787.0,2)</f>
        <v/>
      </c>
      <c r="J20" s="4">
        <f>IFERROR((D20/C20),0)</f>
        <v/>
      </c>
      <c r="K20" s="4">
        <f>IFERROR(((0+B11+B12+B13+B14+B15+B16+B17+B19+B20)/T2),0)</f>
        <v/>
      </c>
      <c r="L20" s="5">
        <f>IFERROR(ROUND(B20/D20,2),0)</f>
        <v/>
      </c>
      <c r="M20" s="5">
        <f>IFERROR(ROUND(B20/E20,2),0)</f>
        <v/>
      </c>
      <c r="N20" s="2" t="inlineStr">
        <is>
          <t>2023-09-28</t>
        </is>
      </c>
      <c r="O20" s="5">
        <f>ROUND(2.33,2)</f>
        <v/>
      </c>
      <c r="P20" s="3">
        <f>ROUND(6927.0,2)</f>
        <v/>
      </c>
      <c r="Q20" s="3">
        <f>ROUND(263.0,2)</f>
        <v/>
      </c>
      <c r="R20" s="3">
        <f>ROUND(772.0,2)</f>
        <v/>
      </c>
      <c r="S20" s="3">
        <f>ROUND(502.0,2)</f>
        <v/>
      </c>
      <c r="T20" s="3">
        <f>ROUND(176.0,2)</f>
        <v/>
      </c>
      <c r="U20" s="3">
        <f>ROUND(105.0,2)</f>
        <v/>
      </c>
      <c r="V20" s="3">
        <f>ROUND(63.0,2)</f>
        <v/>
      </c>
      <c r="W20" s="4">
        <f>IFERROR((Q20/P20),0)</f>
        <v/>
      </c>
      <c r="X20" s="4">
        <f>IFERROR(((0+O11+O12+O13+O14+O15+O16+O17+O19+O20)/T2),0)</f>
        <v/>
      </c>
      <c r="Y20" s="5">
        <f>IFERROR(ROUND(O20/Q20,2),0)</f>
        <v/>
      </c>
      <c r="Z20" s="5">
        <f>IFERROR(ROUND(O20/R20,2),0)</f>
        <v/>
      </c>
      <c r="AA20" s="2" t="inlineStr">
        <is>
          <t>2023-09-28</t>
        </is>
      </c>
      <c r="AB20" s="5">
        <f>ROUND(0.1,2)</f>
        <v/>
      </c>
      <c r="AC20" s="3">
        <f>ROUND(258.0,2)</f>
        <v/>
      </c>
      <c r="AD20" s="3">
        <f>ROUND(5.0,2)</f>
        <v/>
      </c>
      <c r="AE20" s="3">
        <f>ROUND(46.0,2)</f>
        <v/>
      </c>
      <c r="AF20" s="3">
        <f>ROUND(36.0,2)</f>
        <v/>
      </c>
      <c r="AG20" s="3">
        <f>ROUND(17.0,2)</f>
        <v/>
      </c>
      <c r="AH20" s="3">
        <f>ROUND(12.0,2)</f>
        <v/>
      </c>
      <c r="AI20" s="3">
        <f>ROUND(2.0,2)</f>
        <v/>
      </c>
      <c r="AJ20" s="4">
        <f>IFERROR((AD20/AC20),0)</f>
        <v/>
      </c>
      <c r="AK20" s="4">
        <f>IFERROR(((0+AB11+AB12+AB13+AB14+AB15+AB16+AB17+AB19+AB20)/T2),0)</f>
        <v/>
      </c>
      <c r="AL20" s="5">
        <f>IFERROR(ROUND(AB20/AD20,2),0)</f>
        <v/>
      </c>
      <c r="AM20" s="5">
        <f>IFERROR(ROUND(AB20/AE20,2),0)</f>
        <v/>
      </c>
      <c r="AN20" s="2" t="inlineStr">
        <is>
          <t>2023-09-28</t>
        </is>
      </c>
      <c r="AO20" s="5">
        <f>ROUND(0.0,2)</f>
        <v/>
      </c>
      <c r="AP20" s="3">
        <f>ROUND(6.0,2)</f>
        <v/>
      </c>
      <c r="AQ20" s="3">
        <f>ROUND(1.0,2)</f>
        <v/>
      </c>
      <c r="AR20" s="3">
        <f>ROUND(1.0,2)</f>
        <v/>
      </c>
      <c r="AS20" s="3">
        <f>ROUND(1.0,2)</f>
        <v/>
      </c>
      <c r="AT20" s="3">
        <f>ROUND(0.0,2)</f>
        <v/>
      </c>
      <c r="AU20" s="3">
        <f>ROUND(0.0,2)</f>
        <v/>
      </c>
      <c r="AV20" s="3">
        <f>ROUND(0.0,2)</f>
        <v/>
      </c>
      <c r="AW20" s="4">
        <f>IFERROR((AQ20/AP20),0)</f>
        <v/>
      </c>
      <c r="AX20" s="4">
        <f>IFERROR(((0+AO11+AO12+AO13+AO14+AO15+AO16+AO17+AO19+AO20)/T2),0)</f>
        <v/>
      </c>
      <c r="AY20" s="5">
        <f>IFERROR(ROUND(AO20/AQ20,2),0)</f>
        <v/>
      </c>
      <c r="AZ20" s="5">
        <f>IFERROR(ROUND(AO20/AR20,2),0)</f>
        <v/>
      </c>
      <c r="BA20" s="2" t="inlineStr">
        <is>
          <t>2023-09-28</t>
        </is>
      </c>
      <c r="BB20" s="5">
        <f>ROUND(11.45,2)</f>
        <v/>
      </c>
      <c r="BC20" s="3">
        <f>ROUND(33391.0,2)</f>
        <v/>
      </c>
      <c r="BD20" s="3">
        <f>ROUND(1266.0,2)</f>
        <v/>
      </c>
      <c r="BE20" s="3">
        <f>ROUND(6935.0,2)</f>
        <v/>
      </c>
      <c r="BF20" s="3">
        <f>ROUND(5192.0,2)</f>
        <v/>
      </c>
      <c r="BG20" s="3">
        <f>ROUND(2213.0,2)</f>
        <v/>
      </c>
      <c r="BH20" s="3">
        <f>ROUND(1230.0,2)</f>
        <v/>
      </c>
      <c r="BI20" s="3">
        <f>ROUND(661.0,2)</f>
        <v/>
      </c>
      <c r="BJ20" s="4">
        <f>IFERROR((BD20/BC20),0)</f>
        <v/>
      </c>
      <c r="BK20" s="4">
        <f>IFERROR(((0+BB11+BB12+BB13+BB14+BB15+BB16+BB17+BB19+BB20)/T2),0)</f>
        <v/>
      </c>
      <c r="BL20" s="5">
        <f>IFERROR(ROUND(BB20/BD20,2),0)</f>
        <v/>
      </c>
      <c r="BM20" s="5">
        <f>IFERROR(ROUND(BB20/BE20,2),0)</f>
        <v/>
      </c>
      <c r="BN20" s="2" t="inlineStr">
        <is>
          <t>2023-09-28</t>
        </is>
      </c>
      <c r="BO20" s="5">
        <f>ROUND(7.56,2)</f>
        <v/>
      </c>
      <c r="BP20" s="3">
        <f>ROUND(22266.0,2)</f>
        <v/>
      </c>
      <c r="BQ20" s="3">
        <f>ROUND(781.0,2)</f>
        <v/>
      </c>
      <c r="BR20" s="3">
        <f>ROUND(4742.0,2)</f>
        <v/>
      </c>
      <c r="BS20" s="3">
        <f>ROUND(4002.0,2)</f>
        <v/>
      </c>
      <c r="BT20" s="3">
        <f>ROUND(2271.0,2)</f>
        <v/>
      </c>
      <c r="BU20" s="3">
        <f>ROUND(1783.0,2)</f>
        <v/>
      </c>
      <c r="BV20" s="3">
        <f>ROUND(1086.0,2)</f>
        <v/>
      </c>
      <c r="BW20" s="4">
        <f>IFERROR((BQ20/BP20),0)</f>
        <v/>
      </c>
      <c r="BX20" s="4">
        <f>IFERROR(((0+BO11+BO12+BO13+BO14+BO15+BO16+BO17+BO19+BO20)/T2),0)</f>
        <v/>
      </c>
      <c r="BY20" s="5">
        <f>IFERROR(ROUND(BO20/BQ20,2),0)</f>
        <v/>
      </c>
      <c r="BZ20" s="5">
        <f>IFERROR(ROUND(BO20/BR20,2),0)</f>
        <v/>
      </c>
      <c r="CA20" s="2" t="inlineStr">
        <is>
          <t>2023-09-28</t>
        </is>
      </c>
      <c r="CB20" s="5">
        <f>ROUND(1.31,2)</f>
        <v/>
      </c>
      <c r="CC20" s="3">
        <f>ROUND(2611.0,2)</f>
        <v/>
      </c>
      <c r="CD20" s="3">
        <f>ROUND(120.0,2)</f>
        <v/>
      </c>
      <c r="CE20" s="3">
        <f>ROUND(590.0,2)</f>
        <v/>
      </c>
      <c r="CF20" s="3">
        <f>ROUND(428.0,2)</f>
        <v/>
      </c>
      <c r="CG20" s="3">
        <f>ROUND(200.0,2)</f>
        <v/>
      </c>
      <c r="CH20" s="3">
        <f>ROUND(140.0,2)</f>
        <v/>
      </c>
      <c r="CI20" s="3">
        <f>ROUND(69.0,2)</f>
        <v/>
      </c>
      <c r="CJ20" s="4">
        <f>IFERROR((CD20/CC20),0)</f>
        <v/>
      </c>
      <c r="CK20" s="4">
        <f>IFERROR(((0+CB11+CB12+CB13+CB14+CB15+CB16+CB17+CB19+CB20)/T2),0)</f>
        <v/>
      </c>
      <c r="CL20" s="5">
        <f>IFERROR(ROUND(CB20/CD20,2),0)</f>
        <v/>
      </c>
      <c r="CM20" s="5">
        <f>IFERROR(ROUND(CB20/CE20,2),0)</f>
        <v/>
      </c>
      <c r="CN20" s="2" t="inlineStr">
        <is>
          <t>2023-09-28</t>
        </is>
      </c>
      <c r="CO20" s="5">
        <f>ROUND(3.91,2)</f>
        <v/>
      </c>
      <c r="CP20" s="3">
        <f>ROUND(7239.0,2)</f>
        <v/>
      </c>
      <c r="CQ20" s="3">
        <f>ROUND(387.0,2)</f>
        <v/>
      </c>
      <c r="CR20" s="3">
        <f>ROUND(2518.0,2)</f>
        <v/>
      </c>
      <c r="CS20" s="3">
        <f>ROUND(2299.0,2)</f>
        <v/>
      </c>
      <c r="CT20" s="3">
        <f>ROUND(934.0,2)</f>
        <v/>
      </c>
      <c r="CU20" s="3">
        <f>ROUND(564.0,2)</f>
        <v/>
      </c>
      <c r="CV20" s="3">
        <f>ROUND(359.0,2)</f>
        <v/>
      </c>
      <c r="CW20" s="4">
        <f>IFERROR((CQ20/CP20),0)</f>
        <v/>
      </c>
      <c r="CX20" s="4">
        <f>IFERROR(((0+CO11+CO12+CO13+CO14+CO15+CO16+CO17+CO19+CO20)/T2),0)</f>
        <v/>
      </c>
      <c r="CY20" s="5">
        <f>IFERROR(ROUND(CO20/CQ20,2),0)</f>
        <v/>
      </c>
      <c r="CZ20" s="5">
        <f>IFERROR(ROUND(CO20/CR20,2),0)</f>
        <v/>
      </c>
      <c r="DA20" s="2" t="inlineStr">
        <is>
          <t>2023-09-28</t>
        </is>
      </c>
      <c r="DB20" s="5">
        <f>ROUND(3.68,2)</f>
        <v/>
      </c>
      <c r="DC20" s="3">
        <f>ROUND(9721.0,2)</f>
        <v/>
      </c>
      <c r="DD20" s="3">
        <f>ROUND(413.0,2)</f>
        <v/>
      </c>
      <c r="DE20" s="3">
        <f>ROUND(1117.0,2)</f>
        <v/>
      </c>
      <c r="DF20" s="3">
        <f>ROUND(598.0,2)</f>
        <v/>
      </c>
      <c r="DG20" s="3">
        <f>ROUND(234.0,2)</f>
        <v/>
      </c>
      <c r="DH20" s="3">
        <f>ROUND(143.0,2)</f>
        <v/>
      </c>
      <c r="DI20" s="3">
        <f>ROUND(73.0,2)</f>
        <v/>
      </c>
      <c r="DJ20" s="4">
        <f>IFERROR((DD20/DC20),0)</f>
        <v/>
      </c>
      <c r="DK20" s="4">
        <f>IFERROR(((0+DB11+DB12+DB13+DB14+DB15+DB16+DB17+DB19+DB20)/T2),0)</f>
        <v/>
      </c>
      <c r="DL20" s="5">
        <f>IFERROR(ROUND(DB20/DD20,2),0)</f>
        <v/>
      </c>
      <c r="DM20" s="5">
        <f>IFERROR(ROUND(DB20/DE20,2),0)</f>
        <v/>
      </c>
      <c r="DN20" s="2" t="inlineStr">
        <is>
          <t>2023-09-28</t>
        </is>
      </c>
      <c r="DO20" s="5">
        <f>ROUND(8.85,2)</f>
        <v/>
      </c>
      <c r="DP20" s="3">
        <f>ROUND(20875.0,2)</f>
        <v/>
      </c>
      <c r="DQ20" s="3">
        <f>ROUND(918.0,2)</f>
        <v/>
      </c>
      <c r="DR20" s="3">
        <f>ROUND(2859.0,2)</f>
        <v/>
      </c>
      <c r="DS20" s="3">
        <f>ROUND(2190.0,2)</f>
        <v/>
      </c>
      <c r="DT20" s="3">
        <f>ROUND(1319.0,2)</f>
        <v/>
      </c>
      <c r="DU20" s="3">
        <f>ROUND(895.0,2)</f>
        <v/>
      </c>
      <c r="DV20" s="3">
        <f>ROUND(508.0,2)</f>
        <v/>
      </c>
      <c r="DW20" s="4">
        <f>IFERROR((DQ20/DP20),0)</f>
        <v/>
      </c>
      <c r="DX20" s="4">
        <f>IFERROR(((0+DO11+DO12+DO13+DO14+DO15+DO16+DO17+DO19+DO20)/T2),0)</f>
        <v/>
      </c>
      <c r="DY20" s="5">
        <f>IFERROR(ROUND(DO20/DQ20,2),0)</f>
        <v/>
      </c>
      <c r="DZ20" s="5">
        <f>IFERROR(ROUND(DO20/DR20,2),0)</f>
        <v/>
      </c>
      <c r="EA20" s="2" t="inlineStr">
        <is>
          <t>2023-09-28</t>
        </is>
      </c>
      <c r="EB20" s="5">
        <f>ROUND(4.37,2)</f>
        <v/>
      </c>
      <c r="EC20" s="3">
        <f>ROUND(10360.0,2)</f>
        <v/>
      </c>
      <c r="ED20" s="3">
        <f>ROUND(480.0,2)</f>
        <v/>
      </c>
      <c r="EE20" s="3">
        <f>ROUND(1726.0,2)</f>
        <v/>
      </c>
      <c r="EF20" s="3">
        <f>ROUND(919.0,2)</f>
        <v/>
      </c>
      <c r="EG20" s="3">
        <f>ROUND(335.0,2)</f>
        <v/>
      </c>
      <c r="EH20" s="3">
        <f>ROUND(240.0,2)</f>
        <v/>
      </c>
      <c r="EI20" s="3">
        <f>ROUND(122.0,2)</f>
        <v/>
      </c>
      <c r="EJ20" s="4">
        <f>IFERROR((ED20/EC20),0)</f>
        <v/>
      </c>
      <c r="EK20" s="4">
        <f>IFERROR(((0+EB11+EB12+EB13+EB14+EB15+EB16+EB17+EB19+EB20)/T2),0)</f>
        <v/>
      </c>
      <c r="EL20" s="5">
        <f>IFERROR(ROUND(EB20/ED20,2),0)</f>
        <v/>
      </c>
      <c r="EM20" s="5">
        <f>IFERROR(ROUND(EB20/EE20,2),0)</f>
        <v/>
      </c>
      <c r="EN20" s="2" t="inlineStr">
        <is>
          <t>2023-09-28</t>
        </is>
      </c>
      <c r="EO20" s="5">
        <f>ROUND(1.28,2)</f>
        <v/>
      </c>
      <c r="EP20" s="3">
        <f>ROUND(1995.0,2)</f>
        <v/>
      </c>
      <c r="EQ20" s="3">
        <f>ROUND(122.0,2)</f>
        <v/>
      </c>
      <c r="ER20" s="3">
        <f>ROUND(123.0,2)</f>
        <v/>
      </c>
      <c r="ES20" s="3">
        <f>ROUND(73.0,2)</f>
        <v/>
      </c>
      <c r="ET20" s="3">
        <f>ROUND(33.0,2)</f>
        <v/>
      </c>
      <c r="EU20" s="3">
        <f>ROUND(17.0,2)</f>
        <v/>
      </c>
      <c r="EV20" s="3">
        <f>ROUND(10.0,2)</f>
        <v/>
      </c>
      <c r="EW20" s="4">
        <f>IFERROR((EQ20/EP20),0)</f>
        <v/>
      </c>
      <c r="EX20" s="4">
        <f>IFERROR(((0+EO11+EO12+EO13+EO14+EO15+EO16+EO17+EO19+EO20)/T2),0)</f>
        <v/>
      </c>
      <c r="EY20" s="5">
        <f>IFERROR(ROUND(EO20/EQ20,2),0)</f>
        <v/>
      </c>
      <c r="EZ20" s="5">
        <f>IFERROR(ROUND(EO20/ER20,2),0)</f>
        <v/>
      </c>
      <c r="FA20" s="2" t="inlineStr">
        <is>
          <t>2023-09-28</t>
        </is>
      </c>
      <c r="FB20" s="5">
        <f>ROUND(2.75,2)</f>
        <v/>
      </c>
      <c r="FC20" s="3">
        <f>ROUND(4143.0,2)</f>
        <v/>
      </c>
      <c r="FD20" s="3">
        <f>ROUND(222.0,2)</f>
        <v/>
      </c>
      <c r="FE20" s="3">
        <f>ROUND(383.0,2)</f>
        <v/>
      </c>
      <c r="FF20" s="3">
        <f>ROUND(299.0,2)</f>
        <v/>
      </c>
      <c r="FG20" s="3">
        <f>ROUND(162.0,2)</f>
        <v/>
      </c>
      <c r="FH20" s="3">
        <f>ROUND(103.0,2)</f>
        <v/>
      </c>
      <c r="FI20" s="3">
        <f>ROUND(67.0,2)</f>
        <v/>
      </c>
      <c r="FJ20" s="4">
        <f>IFERROR((FD20/FC20),0)</f>
        <v/>
      </c>
      <c r="FK20" s="4">
        <f>IFERROR(((0+FB11+FB12+FB13+FB14+FB15+FB16+FB17+FB19+FB20)/T2),0)</f>
        <v/>
      </c>
      <c r="FL20" s="5">
        <f>IFERROR(ROUND(FB20/FD20,2),0)</f>
        <v/>
      </c>
      <c r="FM20" s="5">
        <f>IFERROR(ROUND(FB20/FE20,2),0)</f>
        <v/>
      </c>
      <c r="FN20" s="2" t="inlineStr">
        <is>
          <t>2023-09-28</t>
        </is>
      </c>
      <c r="FO20" s="5">
        <f>ROUND(0.02,2)</f>
        <v/>
      </c>
      <c r="FP20" s="3">
        <f>ROUND(24.0,2)</f>
        <v/>
      </c>
      <c r="FQ20" s="3">
        <f>ROUND(2.0,2)</f>
        <v/>
      </c>
      <c r="FR20" s="3">
        <f>ROUND(8.0,2)</f>
        <v/>
      </c>
      <c r="FS20" s="3">
        <f>ROUND(6.0,2)</f>
        <v/>
      </c>
      <c r="FT20" s="3">
        <f>ROUND(4.0,2)</f>
        <v/>
      </c>
      <c r="FU20" s="3">
        <f>ROUND(2.0,2)</f>
        <v/>
      </c>
      <c r="FV20" s="3">
        <f>ROUND(0.0,2)</f>
        <v/>
      </c>
      <c r="FW20" s="4">
        <f>IFERROR((FQ20/FP20),0)</f>
        <v/>
      </c>
      <c r="FX20" s="4">
        <f>IFERROR(((0+FO11+FO12+FO13+FO14+FO15+FO16+FO17+FO19+FO20)/T2),0)</f>
        <v/>
      </c>
      <c r="FY20" s="5">
        <f>IFERROR(ROUND(FO20/FQ20,2),0)</f>
        <v/>
      </c>
      <c r="FZ20" s="5">
        <f>IFERROR(ROUND(FO20/FR20,2),0)</f>
        <v/>
      </c>
      <c r="GA20" s="2" t="inlineStr">
        <is>
          <t>2023-09-28</t>
        </is>
      </c>
      <c r="GB20" s="5">
        <f>ROUND(4.64,2)</f>
        <v/>
      </c>
      <c r="GC20" s="3">
        <f>ROUND(10020.0,2)</f>
        <v/>
      </c>
      <c r="GD20" s="3">
        <f>ROUND(422.0,2)</f>
        <v/>
      </c>
      <c r="GE20" s="3">
        <f>ROUND(1616.0,2)</f>
        <v/>
      </c>
      <c r="GF20" s="3">
        <f>ROUND(1162.0,2)</f>
        <v/>
      </c>
      <c r="GG20" s="3">
        <f>ROUND(450.0,2)</f>
        <v/>
      </c>
      <c r="GH20" s="3">
        <f>ROUND(264.0,2)</f>
        <v/>
      </c>
      <c r="GI20" s="3">
        <f>ROUND(131.0,2)</f>
        <v/>
      </c>
      <c r="GJ20" s="4">
        <f>IFERROR((GD20/GC20),0)</f>
        <v/>
      </c>
      <c r="GK20" s="4">
        <f>IFERROR(((0+GB11+GB12+GB13+GB14+GB15+GB16+GB17+GB19+GB20)/T2),0)</f>
        <v/>
      </c>
      <c r="GL20" s="5">
        <f>IFERROR(ROUND(GB20/GD20,2),0)</f>
        <v/>
      </c>
      <c r="GM20" s="5">
        <f>IFERROR(ROUND(GB20/GE20,2),0)</f>
        <v/>
      </c>
      <c r="GN20" s="2" t="inlineStr">
        <is>
          <t>2023-09-28</t>
        </is>
      </c>
      <c r="GO20" s="5">
        <f>ROUND(2.89,2)</f>
        <v/>
      </c>
      <c r="GP20" s="3">
        <f>ROUND(5684.0,2)</f>
        <v/>
      </c>
      <c r="GQ20" s="3">
        <f>ROUND(277.0,2)</f>
        <v/>
      </c>
      <c r="GR20" s="3">
        <f>ROUND(889.0,2)</f>
        <v/>
      </c>
      <c r="GS20" s="3">
        <f>ROUND(646.0,2)</f>
        <v/>
      </c>
      <c r="GT20" s="3">
        <f>ROUND(232.0,2)</f>
        <v/>
      </c>
      <c r="GU20" s="3">
        <f>ROUND(143.0,2)</f>
        <v/>
      </c>
      <c r="GV20" s="3">
        <f>ROUND(94.0,2)</f>
        <v/>
      </c>
      <c r="GW20" s="4">
        <f>IFERROR((GQ20/GP20),0)</f>
        <v/>
      </c>
      <c r="GX20" s="4">
        <f>IFERROR(((0+GO11+GO12+GO13+GO14+GO15+GO16+GO17+GO19+GO20)/T2),0)</f>
        <v/>
      </c>
      <c r="GY20" s="5">
        <f>IFERROR(ROUND(GO20/GQ20,2),0)</f>
        <v/>
      </c>
      <c r="GZ20" s="5">
        <f>IFERROR(ROUND(GO20/GR20,2),0)</f>
        <v/>
      </c>
      <c r="HA20" s="2" t="inlineStr">
        <is>
          <t>2023-09-28</t>
        </is>
      </c>
      <c r="HB20" s="5">
        <f>ROUND(0.98,2)</f>
        <v/>
      </c>
      <c r="HC20" s="3">
        <f>ROUND(1281.0,2)</f>
        <v/>
      </c>
      <c r="HD20" s="3">
        <f>ROUND(83.0,2)</f>
        <v/>
      </c>
      <c r="HE20" s="3">
        <f>ROUND(465.0,2)</f>
        <v/>
      </c>
      <c r="HF20" s="3">
        <f>ROUND(389.0,2)</f>
        <v/>
      </c>
      <c r="HG20" s="3">
        <f>ROUND(186.0,2)</f>
        <v/>
      </c>
      <c r="HH20" s="3">
        <f>ROUND(168.0,2)</f>
        <v/>
      </c>
      <c r="HI20" s="3">
        <f>ROUND(22.0,2)</f>
        <v/>
      </c>
      <c r="HJ20" s="4">
        <f>IFERROR((HD20/HC20),0)</f>
        <v/>
      </c>
      <c r="HK20" s="4">
        <f>IFERROR(((0+HB11+HB12+HB13+HB14+HB15+HB16+HB17+HB19+HB20)/T2),0)</f>
        <v/>
      </c>
      <c r="HL20" s="5">
        <f>IFERROR(ROUND(HB20/HD20,2),0)</f>
        <v/>
      </c>
      <c r="HM20" s="5">
        <f>IFERROR(ROUND(HB20/HE20,2),0)</f>
        <v/>
      </c>
      <c r="HN20" s="2" t="inlineStr">
        <is>
          <t>2023-09-28</t>
        </is>
      </c>
      <c r="HO20" s="5">
        <f>ROUND(0.0,2)</f>
        <v/>
      </c>
      <c r="HP20" s="3">
        <f>ROUND(12.0,2)</f>
        <v/>
      </c>
      <c r="HQ20" s="3">
        <f>ROUND(0.0,2)</f>
        <v/>
      </c>
      <c r="HR20" s="3">
        <f>ROUND(3.0,2)</f>
        <v/>
      </c>
      <c r="HS20" s="3">
        <f>ROUND(2.0,2)</f>
        <v/>
      </c>
      <c r="HT20" s="3">
        <f>ROUND(1.0,2)</f>
        <v/>
      </c>
      <c r="HU20" s="3">
        <f>ROUND(1.0,2)</f>
        <v/>
      </c>
      <c r="HV20" s="3">
        <f>ROUND(1.0,2)</f>
        <v/>
      </c>
      <c r="HW20" s="4">
        <f>IFERROR((HQ20/HP20),0)</f>
        <v/>
      </c>
      <c r="HX20" s="4">
        <f>IFERROR(((0+HO11+HO12+HO13+HO14+HO15+HO16+HO17+HO19+HO20)/T2),0)</f>
        <v/>
      </c>
      <c r="HY20" s="5">
        <f>IFERROR(ROUND(HO20/HQ20,2),0)</f>
        <v/>
      </c>
      <c r="HZ20" s="5">
        <f>IFERROR(ROUND(HO20/HR20,2),0)</f>
        <v/>
      </c>
      <c r="IA20" s="2" t="inlineStr">
        <is>
          <t>2023-09-28</t>
        </is>
      </c>
      <c r="IB20" s="5">
        <f>ROUND(0.82,2)</f>
        <v/>
      </c>
      <c r="IC20" s="3">
        <f>ROUND(1344.0,2)</f>
        <v/>
      </c>
      <c r="ID20" s="3">
        <f>ROUND(62.0,2)</f>
        <v/>
      </c>
      <c r="IE20" s="3">
        <f>ROUND(211.0,2)</f>
        <v/>
      </c>
      <c r="IF20" s="3">
        <f>ROUND(148.0,2)</f>
        <v/>
      </c>
      <c r="IG20" s="3">
        <f>ROUND(67.0,2)</f>
        <v/>
      </c>
      <c r="IH20" s="3">
        <f>ROUND(41.0,2)</f>
        <v/>
      </c>
      <c r="II20" s="3">
        <f>ROUND(23.0,2)</f>
        <v/>
      </c>
      <c r="IJ20" s="4">
        <f>IFERROR((ID20/IC20),0)</f>
        <v/>
      </c>
      <c r="IK20" s="4">
        <f>IFERROR(((0+IB11+IB12+IB13+IB14+IB15+IB16+IB17+IB19+IB20)/T2),0)</f>
        <v/>
      </c>
      <c r="IL20" s="5">
        <f>IFERROR(ROUND(IB20/ID20,2),0)</f>
        <v/>
      </c>
      <c r="IM20" s="5">
        <f>IFERROR(ROUND(IB20/IE20,2),0)</f>
        <v/>
      </c>
      <c r="IN20" s="2" t="inlineStr">
        <is>
          <t>2023-09-28</t>
        </is>
      </c>
      <c r="IO20" s="5">
        <f>ROUND(4.52,2)</f>
        <v/>
      </c>
      <c r="IP20" s="3">
        <f>ROUND(9461.0,2)</f>
        <v/>
      </c>
      <c r="IQ20" s="3">
        <f>ROUND(364.0,2)</f>
        <v/>
      </c>
      <c r="IR20" s="3">
        <f>ROUND(1402.0,2)</f>
        <v/>
      </c>
      <c r="IS20" s="3">
        <f>ROUND(1227.0,2)</f>
        <v/>
      </c>
      <c r="IT20" s="3">
        <f>ROUND(786.0,2)</f>
        <v/>
      </c>
      <c r="IU20" s="3">
        <f>ROUND(668.0,2)</f>
        <v/>
      </c>
      <c r="IV20" s="3">
        <f>ROUND(470.0,2)</f>
        <v/>
      </c>
      <c r="IW20" s="4">
        <f>IFERROR((IQ20/IP20),0)</f>
        <v/>
      </c>
      <c r="IX20" s="4">
        <f>IFERROR(((0+IO11+IO12+IO13+IO14+IO15+IO16+IO17+IO19+IO20)/T2),0)</f>
        <v/>
      </c>
      <c r="IY20" s="5">
        <f>IFERROR(ROUND(IO20/IQ20,2),0)</f>
        <v/>
      </c>
      <c r="IZ20" s="5">
        <f>IFERROR(ROUND(IO20/IR20,2),0)</f>
        <v/>
      </c>
      <c r="JA20" s="2" t="inlineStr">
        <is>
          <t>2023-09-28</t>
        </is>
      </c>
      <c r="JB20" s="5">
        <f>ROUND(0.62,2)</f>
        <v/>
      </c>
      <c r="JC20" s="3">
        <f>ROUND(866.0,2)</f>
        <v/>
      </c>
      <c r="JD20" s="3">
        <f>ROUND(40.0,2)</f>
        <v/>
      </c>
      <c r="JE20" s="3">
        <f>ROUND(195.0,2)</f>
        <v/>
      </c>
      <c r="JF20" s="3">
        <f>ROUND(163.0,2)</f>
        <v/>
      </c>
      <c r="JG20" s="3">
        <f>ROUND(79.0,2)</f>
        <v/>
      </c>
      <c r="JH20" s="3">
        <f>ROUND(62.0,2)</f>
        <v/>
      </c>
      <c r="JI20" s="3">
        <f>ROUND(26.0,2)</f>
        <v/>
      </c>
      <c r="JJ20" s="4">
        <f>IFERROR((JD20/JC20),0)</f>
        <v/>
      </c>
      <c r="JK20" s="4">
        <f>IFERROR(((0+JB11+JB12+JB13+JB14+JB15+JB16+JB17+JB19+JB20)/T2),0)</f>
        <v/>
      </c>
      <c r="JL20" s="5">
        <f>IFERROR(ROUND(JB20/JD20,2),0)</f>
        <v/>
      </c>
      <c r="JM20" s="5">
        <f>IFERROR(ROUND(JB20/JE20,2),0)</f>
        <v/>
      </c>
    </row>
    <row r="21">
      <c r="A21" s="2" t="inlineStr">
        <is>
          <t>2023-09-29</t>
        </is>
      </c>
      <c r="B21" s="5">
        <f>ROUND(63.7,2)</f>
        <v/>
      </c>
      <c r="C21" s="3">
        <f>ROUND(158163.0,2)</f>
        <v/>
      </c>
      <c r="D21" s="3">
        <f>ROUND(6352.0,2)</f>
        <v/>
      </c>
      <c r="E21" s="3">
        <f>ROUND(28587.0,2)</f>
        <v/>
      </c>
      <c r="F21" s="3">
        <f>ROUND(21811.0,2)</f>
        <v/>
      </c>
      <c r="G21" s="3">
        <f>ROUND(10606.0,2)</f>
        <v/>
      </c>
      <c r="H21" s="3">
        <f>ROUND(7100.0,2)</f>
        <v/>
      </c>
      <c r="I21" s="3">
        <f>ROUND(3979.0,2)</f>
        <v/>
      </c>
      <c r="J21" s="4">
        <f>IFERROR((D21/C21),0)</f>
        <v/>
      </c>
      <c r="K21" s="4">
        <f>IFERROR(((0+B11+B12+B13+B14+B15+B16+B17+B19+B20+B21)/T2),0)</f>
        <v/>
      </c>
      <c r="L21" s="5">
        <f>IFERROR(ROUND(B21/D21,2),0)</f>
        <v/>
      </c>
      <c r="M21" s="5">
        <f>IFERROR(ROUND(B21/E21,2),0)</f>
        <v/>
      </c>
      <c r="N21" s="2" t="inlineStr">
        <is>
          <t>2023-09-29</t>
        </is>
      </c>
      <c r="O21" s="5">
        <f>ROUND(1.86,2)</f>
        <v/>
      </c>
      <c r="P21" s="3">
        <f>ROUND(5568.0,2)</f>
        <v/>
      </c>
      <c r="Q21" s="3">
        <f>ROUND(214.0,2)</f>
        <v/>
      </c>
      <c r="R21" s="3">
        <f>ROUND(695.0,2)</f>
        <v/>
      </c>
      <c r="S21" s="3">
        <f>ROUND(461.0,2)</f>
        <v/>
      </c>
      <c r="T21" s="3">
        <f>ROUND(184.0,2)</f>
        <v/>
      </c>
      <c r="U21" s="3">
        <f>ROUND(95.0,2)</f>
        <v/>
      </c>
      <c r="V21" s="3">
        <f>ROUND(64.0,2)</f>
        <v/>
      </c>
      <c r="W21" s="4">
        <f>IFERROR((Q21/P21),0)</f>
        <v/>
      </c>
      <c r="X21" s="4">
        <f>IFERROR(((0+O11+O12+O13+O14+O15+O16+O17+O19+O20+O21)/T2),0)</f>
        <v/>
      </c>
      <c r="Y21" s="5">
        <f>IFERROR(ROUND(O21/Q21,2),0)</f>
        <v/>
      </c>
      <c r="Z21" s="5">
        <f>IFERROR(ROUND(O21/R21,2),0)</f>
        <v/>
      </c>
      <c r="AA21" s="2" t="inlineStr">
        <is>
          <t>2023-09-29</t>
        </is>
      </c>
      <c r="AB21" s="5">
        <f>ROUND(0.1,2)</f>
        <v/>
      </c>
      <c r="AC21" s="3">
        <f>ROUND(228.0,2)</f>
        <v/>
      </c>
      <c r="AD21" s="3">
        <f>ROUND(7.0,2)</f>
        <v/>
      </c>
      <c r="AE21" s="3">
        <f>ROUND(42.0,2)</f>
        <v/>
      </c>
      <c r="AF21" s="3">
        <f>ROUND(28.0,2)</f>
        <v/>
      </c>
      <c r="AG21" s="3">
        <f>ROUND(17.0,2)</f>
        <v/>
      </c>
      <c r="AH21" s="3">
        <f>ROUND(13.0,2)</f>
        <v/>
      </c>
      <c r="AI21" s="3">
        <f>ROUND(4.0,2)</f>
        <v/>
      </c>
      <c r="AJ21" s="4">
        <f>IFERROR((AD21/AC21),0)</f>
        <v/>
      </c>
      <c r="AK21" s="4">
        <f>IFERROR(((0+AB11+AB12+AB13+AB14+AB15+AB16+AB17+AB19+AB20+AB21)/T2),0)</f>
        <v/>
      </c>
      <c r="AL21" s="5">
        <f>IFERROR(ROUND(AB21/AD21,2),0)</f>
        <v/>
      </c>
      <c r="AM21" s="5">
        <f>IFERROR(ROUND(AB21/AE21,2),0)</f>
        <v/>
      </c>
      <c r="AN21" s="2" t="inlineStr">
        <is>
          <t>2023-09-29</t>
        </is>
      </c>
      <c r="AO21" s="5">
        <f>ROUND(0.0,2)</f>
        <v/>
      </c>
      <c r="AP21" s="3">
        <f>ROUND(4.0,2)</f>
        <v/>
      </c>
      <c r="AQ21" s="3">
        <f>ROUND(0.0,2)</f>
        <v/>
      </c>
      <c r="AR21" s="3">
        <f>ROUND(1.0,2)</f>
        <v/>
      </c>
      <c r="AS21" s="3">
        <f>ROUND(1.0,2)</f>
        <v/>
      </c>
      <c r="AT21" s="3">
        <f>ROUND(0.0,2)</f>
        <v/>
      </c>
      <c r="AU21" s="3">
        <f>ROUND(0.0,2)</f>
        <v/>
      </c>
      <c r="AV21" s="3">
        <f>ROUND(0.0,2)</f>
        <v/>
      </c>
      <c r="AW21" s="4">
        <f>IFERROR((AQ21/AP21),0)</f>
        <v/>
      </c>
      <c r="AX21" s="4">
        <f>IFERROR(((0+AO11+AO12+AO13+AO14+AO15+AO16+AO17+AO19+AO20+AO21)/T2),0)</f>
        <v/>
      </c>
      <c r="AY21" s="5">
        <f>IFERROR(ROUND(AO21/AQ21,2),0)</f>
        <v/>
      </c>
      <c r="AZ21" s="5">
        <f>IFERROR(ROUND(AO21/AR21,2),0)</f>
        <v/>
      </c>
      <c r="BA21" s="2" t="inlineStr">
        <is>
          <t>2023-09-29</t>
        </is>
      </c>
      <c r="BB21" s="5">
        <f>ROUND(10.61,2)</f>
        <v/>
      </c>
      <c r="BC21" s="3">
        <f>ROUND(30939.0,2)</f>
        <v/>
      </c>
      <c r="BD21" s="3">
        <f>ROUND(1132.0,2)</f>
        <v/>
      </c>
      <c r="BE21" s="3">
        <f>ROUND(6478.0,2)</f>
        <v/>
      </c>
      <c r="BF21" s="3">
        <f>ROUND(4884.0,2)</f>
        <v/>
      </c>
      <c r="BG21" s="3">
        <f>ROUND(2087.0,2)</f>
        <v/>
      </c>
      <c r="BH21" s="3">
        <f>ROUND(1145.0,2)</f>
        <v/>
      </c>
      <c r="BI21" s="3">
        <f>ROUND(598.0,2)</f>
        <v/>
      </c>
      <c r="BJ21" s="4">
        <f>IFERROR((BD21/BC21),0)</f>
        <v/>
      </c>
      <c r="BK21" s="4">
        <f>IFERROR(((0+BB11+BB12+BB13+BB14+BB15+BB16+BB17+BB19+BB20+BB21)/T2),0)</f>
        <v/>
      </c>
      <c r="BL21" s="5">
        <f>IFERROR(ROUND(BB21/BD21,2),0)</f>
        <v/>
      </c>
      <c r="BM21" s="5">
        <f>IFERROR(ROUND(BB21/BE21,2),0)</f>
        <v/>
      </c>
      <c r="BN21" s="2" t="inlineStr">
        <is>
          <t>2023-09-29</t>
        </is>
      </c>
      <c r="BO21" s="5">
        <f>ROUND(8.71,2)</f>
        <v/>
      </c>
      <c r="BP21" s="3">
        <f>ROUND(26394.0,2)</f>
        <v/>
      </c>
      <c r="BQ21" s="3">
        <f>ROUND(883.0,2)</f>
        <v/>
      </c>
      <c r="BR21" s="3">
        <f>ROUND(5789.0,2)</f>
        <v/>
      </c>
      <c r="BS21" s="3">
        <f>ROUND(4884.0,2)</f>
        <v/>
      </c>
      <c r="BT21" s="3">
        <f>ROUND(2705.0,2)</f>
        <v/>
      </c>
      <c r="BU21" s="3">
        <f>ROUND(2127.0,2)</f>
        <v/>
      </c>
      <c r="BV21" s="3">
        <f>ROUND(1228.0,2)</f>
        <v/>
      </c>
      <c r="BW21" s="4">
        <f>IFERROR((BQ21/BP21),0)</f>
        <v/>
      </c>
      <c r="BX21" s="4">
        <f>IFERROR(((0+BO11+BO12+BO13+BO14+BO15+BO16+BO17+BO19+BO20+BO21)/T2),0)</f>
        <v/>
      </c>
      <c r="BY21" s="5">
        <f>IFERROR(ROUND(BO21/BQ21,2),0)</f>
        <v/>
      </c>
      <c r="BZ21" s="5">
        <f>IFERROR(ROUND(BO21/BR21,2),0)</f>
        <v/>
      </c>
      <c r="CA21" s="2" t="inlineStr">
        <is>
          <t>2023-09-29</t>
        </is>
      </c>
      <c r="CB21" s="5">
        <f>ROUND(1.5,2)</f>
        <v/>
      </c>
      <c r="CC21" s="3">
        <f>ROUND(2509.0,2)</f>
        <v/>
      </c>
      <c r="CD21" s="3">
        <f>ROUND(150.0,2)</f>
        <v/>
      </c>
      <c r="CE21" s="3">
        <f>ROUND(631.0,2)</f>
        <v/>
      </c>
      <c r="CF21" s="3">
        <f>ROUND(463.0,2)</f>
        <v/>
      </c>
      <c r="CG21" s="3">
        <f>ROUND(234.0,2)</f>
        <v/>
      </c>
      <c r="CH21" s="3">
        <f>ROUND(156.0,2)</f>
        <v/>
      </c>
      <c r="CI21" s="3">
        <f>ROUND(70.0,2)</f>
        <v/>
      </c>
      <c r="CJ21" s="4">
        <f>IFERROR((CD21/CC21),0)</f>
        <v/>
      </c>
      <c r="CK21" s="4">
        <f>IFERROR(((0+CB11+CB12+CB13+CB14+CB15+CB16+CB17+CB19+CB20+CB21)/T2),0)</f>
        <v/>
      </c>
      <c r="CL21" s="5">
        <f>IFERROR(ROUND(CB21/CD21,2),0)</f>
        <v/>
      </c>
      <c r="CM21" s="5">
        <f>IFERROR(ROUND(CB21/CE21,2),0)</f>
        <v/>
      </c>
      <c r="CN21" s="2" t="inlineStr">
        <is>
          <t>2023-09-29</t>
        </is>
      </c>
      <c r="CO21" s="5">
        <f>ROUND(4.35,2)</f>
        <v/>
      </c>
      <c r="CP21" s="3">
        <f>ROUND(9087.0,2)</f>
        <v/>
      </c>
      <c r="CQ21" s="3">
        <f>ROUND(423.0,2)</f>
        <v/>
      </c>
      <c r="CR21" s="3">
        <f>ROUND(2758.0,2)</f>
        <v/>
      </c>
      <c r="CS21" s="3">
        <f>ROUND(2491.0,2)</f>
        <v/>
      </c>
      <c r="CT21" s="3">
        <f>ROUND(1035.0,2)</f>
        <v/>
      </c>
      <c r="CU21" s="3">
        <f>ROUND(619.0,2)</f>
        <v/>
      </c>
      <c r="CV21" s="3">
        <f>ROUND(399.0,2)</f>
        <v/>
      </c>
      <c r="CW21" s="4">
        <f>IFERROR((CQ21/CP21),0)</f>
        <v/>
      </c>
      <c r="CX21" s="4">
        <f>IFERROR(((0+CO11+CO12+CO13+CO14+CO15+CO16+CO17+CO19+CO20+CO21)/T2),0)</f>
        <v/>
      </c>
      <c r="CY21" s="5">
        <f>IFERROR(ROUND(CO21/CQ21,2),0)</f>
        <v/>
      </c>
      <c r="CZ21" s="5">
        <f>IFERROR(ROUND(CO21/CR21,2),0)</f>
        <v/>
      </c>
      <c r="DA21" s="2" t="inlineStr">
        <is>
          <t>2023-09-29</t>
        </is>
      </c>
      <c r="DB21" s="5">
        <f>ROUND(4.53,2)</f>
        <v/>
      </c>
      <c r="DC21" s="3">
        <f>ROUND(13645.0,2)</f>
        <v/>
      </c>
      <c r="DD21" s="3">
        <f>ROUND(517.0,2)</f>
        <v/>
      </c>
      <c r="DE21" s="3">
        <f>ROUND(1651.0,2)</f>
        <v/>
      </c>
      <c r="DF21" s="3">
        <f>ROUND(886.0,2)</f>
        <v/>
      </c>
      <c r="DG21" s="3">
        <f>ROUND(338.0,2)</f>
        <v/>
      </c>
      <c r="DH21" s="3">
        <f>ROUND(208.0,2)</f>
        <v/>
      </c>
      <c r="DI21" s="3">
        <f>ROUND(104.0,2)</f>
        <v/>
      </c>
      <c r="DJ21" s="4">
        <f>IFERROR((DD21/DC21),0)</f>
        <v/>
      </c>
      <c r="DK21" s="4">
        <f>IFERROR(((0+DB11+DB12+DB13+DB14+DB15+DB16+DB17+DB19+DB20+DB21)/T2),0)</f>
        <v/>
      </c>
      <c r="DL21" s="5">
        <f>IFERROR(ROUND(DB21/DD21,2),0)</f>
        <v/>
      </c>
      <c r="DM21" s="5">
        <f>IFERROR(ROUND(DB21/DE21,2),0)</f>
        <v/>
      </c>
      <c r="DN21" s="2" t="inlineStr">
        <is>
          <t>2023-09-29</t>
        </is>
      </c>
      <c r="DO21" s="5">
        <f>ROUND(8.21,2)</f>
        <v/>
      </c>
      <c r="DP21" s="3">
        <f>ROUND(21624.0,2)</f>
        <v/>
      </c>
      <c r="DQ21" s="3">
        <f>ROUND(967.0,2)</f>
        <v/>
      </c>
      <c r="DR21" s="3">
        <f>ROUND(3064.0,2)</f>
        <v/>
      </c>
      <c r="DS21" s="3">
        <f>ROUND(2335.0,2)</f>
        <v/>
      </c>
      <c r="DT21" s="3">
        <f>ROUND(1469.0,2)</f>
        <v/>
      </c>
      <c r="DU21" s="3">
        <f>ROUND(922.0,2)</f>
        <v/>
      </c>
      <c r="DV21" s="3">
        <f>ROUND(521.0,2)</f>
        <v/>
      </c>
      <c r="DW21" s="4">
        <f>IFERROR((DQ21/DP21),0)</f>
        <v/>
      </c>
      <c r="DX21" s="4">
        <f>IFERROR(((0+DO11+DO12+DO13+DO14+DO15+DO16+DO17+DO19+DO20+DO21)/T2),0)</f>
        <v/>
      </c>
      <c r="DY21" s="5">
        <f>IFERROR(ROUND(DO21/DQ21,2),0)</f>
        <v/>
      </c>
      <c r="DZ21" s="5">
        <f>IFERROR(ROUND(DO21/DR21,2),0)</f>
        <v/>
      </c>
      <c r="EA21" s="2" t="inlineStr">
        <is>
          <t>2023-09-29</t>
        </is>
      </c>
      <c r="EB21" s="5">
        <f>ROUND(4.45,2)</f>
        <v/>
      </c>
      <c r="EC21" s="3">
        <f>ROUND(11126.0,2)</f>
        <v/>
      </c>
      <c r="ED21" s="3">
        <f>ROUND(502.0,2)</f>
        <v/>
      </c>
      <c r="EE21" s="3">
        <f>ROUND(1946.0,2)</f>
        <v/>
      </c>
      <c r="EF21" s="3">
        <f>ROUND(1044.0,2)</f>
        <v/>
      </c>
      <c r="EG21" s="3">
        <f>ROUND(400.0,2)</f>
        <v/>
      </c>
      <c r="EH21" s="3">
        <f>ROUND(273.0,2)</f>
        <v/>
      </c>
      <c r="EI21" s="3">
        <f>ROUND(116.0,2)</f>
        <v/>
      </c>
      <c r="EJ21" s="4">
        <f>IFERROR((ED21/EC21),0)</f>
        <v/>
      </c>
      <c r="EK21" s="4">
        <f>IFERROR(((0+EB11+EB12+EB13+EB14+EB15+EB16+EB17+EB19+EB20+EB21)/T2),0)</f>
        <v/>
      </c>
      <c r="EL21" s="5">
        <f>IFERROR(ROUND(EB21/ED21,2),0)</f>
        <v/>
      </c>
      <c r="EM21" s="5">
        <f>IFERROR(ROUND(EB21/EE21,2),0)</f>
        <v/>
      </c>
      <c r="EN21" s="2" t="inlineStr">
        <is>
          <t>2023-09-29</t>
        </is>
      </c>
      <c r="EO21" s="5">
        <f>ROUND(1.43,2)</f>
        <v/>
      </c>
      <c r="EP21" s="3">
        <f>ROUND(2346.0,2)</f>
        <v/>
      </c>
      <c r="EQ21" s="3">
        <f>ROUND(138.0,2)</f>
        <v/>
      </c>
      <c r="ER21" s="3">
        <f>ROUND(121.0,2)</f>
        <v/>
      </c>
      <c r="ES21" s="3">
        <f>ROUND(73.0,2)</f>
        <v/>
      </c>
      <c r="ET21" s="3">
        <f>ROUND(36.0,2)</f>
        <v/>
      </c>
      <c r="EU21" s="3">
        <f>ROUND(20.0,2)</f>
        <v/>
      </c>
      <c r="EV21" s="3">
        <f>ROUND(16.0,2)</f>
        <v/>
      </c>
      <c r="EW21" s="4">
        <f>IFERROR((EQ21/EP21),0)</f>
        <v/>
      </c>
      <c r="EX21" s="4">
        <f>IFERROR(((0+EO11+EO12+EO13+EO14+EO15+EO16+EO17+EO19+EO20+EO21)/T2),0)</f>
        <v/>
      </c>
      <c r="EY21" s="5">
        <f>IFERROR(ROUND(EO21/EQ21,2),0)</f>
        <v/>
      </c>
      <c r="EZ21" s="5">
        <f>IFERROR(ROUND(EO21/ER21,2),0)</f>
        <v/>
      </c>
      <c r="FA21" s="2" t="inlineStr">
        <is>
          <t>2023-09-29</t>
        </is>
      </c>
      <c r="FB21" s="5">
        <f>ROUND(3.13,2)</f>
        <v/>
      </c>
      <c r="FC21" s="3">
        <f>ROUND(4700.0,2)</f>
        <v/>
      </c>
      <c r="FD21" s="3">
        <f>ROUND(261.0,2)</f>
        <v/>
      </c>
      <c r="FE21" s="3">
        <f>ROUND(435.0,2)</f>
        <v/>
      </c>
      <c r="FF21" s="3">
        <f>ROUND(345.0,2)</f>
        <v/>
      </c>
      <c r="FG21" s="3">
        <f>ROUND(198.0,2)</f>
        <v/>
      </c>
      <c r="FH21" s="3">
        <f>ROUND(116.0,2)</f>
        <v/>
      </c>
      <c r="FI21" s="3">
        <f>ROUND(77.0,2)</f>
        <v/>
      </c>
      <c r="FJ21" s="4">
        <f>IFERROR((FD21/FC21),0)</f>
        <v/>
      </c>
      <c r="FK21" s="4">
        <f>IFERROR(((0+FB11+FB12+FB13+FB14+FB15+FB16+FB17+FB19+FB20+FB21)/T2),0)</f>
        <v/>
      </c>
      <c r="FL21" s="5">
        <f>IFERROR(ROUND(FB21/FD21,2),0)</f>
        <v/>
      </c>
      <c r="FM21" s="5">
        <f>IFERROR(ROUND(FB21/FE21,2),0)</f>
        <v/>
      </c>
      <c r="FN21" s="2" t="inlineStr">
        <is>
          <t>2023-09-29</t>
        </is>
      </c>
      <c r="FO21" s="5">
        <f>ROUND(0.0,2)</f>
        <v/>
      </c>
      <c r="FP21" s="3">
        <f>ROUND(3.0,2)</f>
        <v/>
      </c>
      <c r="FQ21" s="3">
        <f>ROUND(1.0,2)</f>
        <v/>
      </c>
      <c r="FR21" s="3">
        <f>ROUND(1.0,2)</f>
        <v/>
      </c>
      <c r="FS21" s="3">
        <f>ROUND(1.0,2)</f>
        <v/>
      </c>
      <c r="FT21" s="3">
        <f>ROUND(0.0,2)</f>
        <v/>
      </c>
      <c r="FU21" s="3">
        <f>ROUND(0.0,2)</f>
        <v/>
      </c>
      <c r="FV21" s="3">
        <f>ROUND(0.0,2)</f>
        <v/>
      </c>
      <c r="FW21" s="4">
        <f>IFERROR((FQ21/FP21),0)</f>
        <v/>
      </c>
      <c r="FX21" s="4">
        <f>IFERROR(((0+FO11+FO12+FO13+FO14+FO15+FO16+FO17+FO19+FO20+FO21)/T2),0)</f>
        <v/>
      </c>
      <c r="FY21" s="5">
        <f>IFERROR(ROUND(FO21/FQ21,2),0)</f>
        <v/>
      </c>
      <c r="FZ21" s="5">
        <f>IFERROR(ROUND(FO21/FR21,2),0)</f>
        <v/>
      </c>
      <c r="GA21" s="2" t="inlineStr">
        <is>
          <t>2023-09-29</t>
        </is>
      </c>
      <c r="GB21" s="5">
        <f>ROUND(4.71,2)</f>
        <v/>
      </c>
      <c r="GC21" s="3">
        <f>ROUND(11349.0,2)</f>
        <v/>
      </c>
      <c r="GD21" s="3">
        <f>ROUND(404.0,2)</f>
        <v/>
      </c>
      <c r="GE21" s="3">
        <f>ROUND(1898.0,2)</f>
        <v/>
      </c>
      <c r="GF21" s="3">
        <f>ROUND(1358.0,2)</f>
        <v/>
      </c>
      <c r="GG21" s="3">
        <f>ROUND(536.0,2)</f>
        <v/>
      </c>
      <c r="GH21" s="3">
        <f>ROUND(320.0,2)</f>
        <v/>
      </c>
      <c r="GI21" s="3">
        <f>ROUND(141.0,2)</f>
        <v/>
      </c>
      <c r="GJ21" s="4">
        <f>IFERROR((GD21/GC21),0)</f>
        <v/>
      </c>
      <c r="GK21" s="4">
        <f>IFERROR(((0+GB11+GB12+GB13+GB14+GB15+GB16+GB17+GB19+GB20+GB21)/T2),0)</f>
        <v/>
      </c>
      <c r="GL21" s="5">
        <f>IFERROR(ROUND(GB21/GD21,2),0)</f>
        <v/>
      </c>
      <c r="GM21" s="5">
        <f>IFERROR(ROUND(GB21/GE21,2),0)</f>
        <v/>
      </c>
      <c r="GN21" s="2" t="inlineStr">
        <is>
          <t>2023-09-29</t>
        </is>
      </c>
      <c r="GO21" s="5">
        <f>ROUND(2.9,2)</f>
        <v/>
      </c>
      <c r="GP21" s="3">
        <f>ROUND(5397.0,2)</f>
        <v/>
      </c>
      <c r="GQ21" s="3">
        <f>ROUND(239.0,2)</f>
        <v/>
      </c>
      <c r="GR21" s="3">
        <f>ROUND(810.0,2)</f>
        <v/>
      </c>
      <c r="GS21" s="3">
        <f>ROUND(612.0,2)</f>
        <v/>
      </c>
      <c r="GT21" s="3">
        <f>ROUND(215.0,2)</f>
        <v/>
      </c>
      <c r="GU21" s="3">
        <f>ROUND(131.0,2)</f>
        <v/>
      </c>
      <c r="GV21" s="3">
        <f>ROUND(75.0,2)</f>
        <v/>
      </c>
      <c r="GW21" s="4">
        <f>IFERROR((GQ21/GP21),0)</f>
        <v/>
      </c>
      <c r="GX21" s="4">
        <f>IFERROR(((0+GO11+GO12+GO13+GO14+GO15+GO16+GO17+GO19+GO20+GO21)/T2),0)</f>
        <v/>
      </c>
      <c r="GY21" s="5">
        <f>IFERROR(ROUND(GO21/GQ21,2),0)</f>
        <v/>
      </c>
      <c r="GZ21" s="5">
        <f>IFERROR(ROUND(GO21/GR21,2),0)</f>
        <v/>
      </c>
      <c r="HA21" s="2" t="inlineStr">
        <is>
          <t>2023-09-29</t>
        </is>
      </c>
      <c r="HB21" s="5">
        <f>ROUND(1.11,2)</f>
        <v/>
      </c>
      <c r="HC21" s="3">
        <f>ROUND(1440.0,2)</f>
        <v/>
      </c>
      <c r="HD21" s="3">
        <f>ROUND(75.0,2)</f>
        <v/>
      </c>
      <c r="HE21" s="3">
        <f>ROUND(468.0,2)</f>
        <v/>
      </c>
      <c r="HF21" s="3">
        <f>ROUND(389.0,2)</f>
        <v/>
      </c>
      <c r="HG21" s="3">
        <f>ROUND(186.0,2)</f>
        <v/>
      </c>
      <c r="HH21" s="3">
        <f>ROUND(153.0,2)</f>
        <v/>
      </c>
      <c r="HI21" s="3">
        <f>ROUND(18.0,2)</f>
        <v/>
      </c>
      <c r="HJ21" s="4">
        <f>IFERROR((HD21/HC21),0)</f>
        <v/>
      </c>
      <c r="HK21" s="4">
        <f>IFERROR(((0+HB11+HB12+HB13+HB14+HB15+HB16+HB17+HB19+HB20+HB21)/T2),0)</f>
        <v/>
      </c>
      <c r="HL21" s="5">
        <f>IFERROR(ROUND(HB21/HD21,2),0)</f>
        <v/>
      </c>
      <c r="HM21" s="5">
        <f>IFERROR(ROUND(HB21/HE21,2),0)</f>
        <v/>
      </c>
      <c r="HN21" s="2" t="inlineStr">
        <is>
          <t>2023-09-29</t>
        </is>
      </c>
      <c r="HO21" s="5">
        <f>ROUND(0.01,2)</f>
        <v/>
      </c>
      <c r="HP21" s="3">
        <f>ROUND(38.0,2)</f>
        <v/>
      </c>
      <c r="HQ21" s="3">
        <f>ROUND(1.0,2)</f>
        <v/>
      </c>
      <c r="HR21" s="3">
        <f>ROUND(16.0,2)</f>
        <v/>
      </c>
      <c r="HS21" s="3">
        <f>ROUND(15.0,2)</f>
        <v/>
      </c>
      <c r="HT21" s="3">
        <f>ROUND(5.0,2)</f>
        <v/>
      </c>
      <c r="HU21" s="3">
        <f>ROUND(4.0,2)</f>
        <v/>
      </c>
      <c r="HV21" s="3">
        <f>ROUND(3.0,2)</f>
        <v/>
      </c>
      <c r="HW21" s="4">
        <f>IFERROR((HQ21/HP21),0)</f>
        <v/>
      </c>
      <c r="HX21" s="4">
        <f>IFERROR(((0+HO11+HO12+HO13+HO14+HO15+HO16+HO17+HO19+HO20+HO21)/T2),0)</f>
        <v/>
      </c>
      <c r="HY21" s="5">
        <f>IFERROR(ROUND(HO21/HQ21,2),0)</f>
        <v/>
      </c>
      <c r="HZ21" s="5">
        <f>IFERROR(ROUND(HO21/HR21,2),0)</f>
        <v/>
      </c>
      <c r="IA21" s="2" t="inlineStr">
        <is>
          <t>2023-09-29</t>
        </is>
      </c>
      <c r="IB21" s="5">
        <f>ROUND(0.68,2)</f>
        <v/>
      </c>
      <c r="IC21" s="3">
        <f>ROUND(1171.0,2)</f>
        <v/>
      </c>
      <c r="ID21" s="3">
        <f>ROUND(31.0,2)</f>
        <v/>
      </c>
      <c r="IE21" s="3">
        <f>ROUND(196.0,2)</f>
        <v/>
      </c>
      <c r="IF21" s="3">
        <f>ROUND(147.0,2)</f>
        <v/>
      </c>
      <c r="IG21" s="3">
        <f>ROUND(71.0,2)</f>
        <v/>
      </c>
      <c r="IH21" s="3">
        <f>ROUND(55.0,2)</f>
        <v/>
      </c>
      <c r="II21" s="3">
        <f>ROUND(27.0,2)</f>
        <v/>
      </c>
      <c r="IJ21" s="4">
        <f>IFERROR((ID21/IC21),0)</f>
        <v/>
      </c>
      <c r="IK21" s="4">
        <f>IFERROR(((0+IB11+IB12+IB13+IB14+IB15+IB16+IB17+IB19+IB20+IB21)/T2),0)</f>
        <v/>
      </c>
      <c r="IL21" s="5">
        <f>IFERROR(ROUND(IB21/ID21,2),0)</f>
        <v/>
      </c>
      <c r="IM21" s="5">
        <f>IFERROR(ROUND(IB21/IE21,2),0)</f>
        <v/>
      </c>
      <c r="IN21" s="2" t="inlineStr">
        <is>
          <t>2023-09-29</t>
        </is>
      </c>
      <c r="IO21" s="5">
        <f>ROUND(4.94,2)</f>
        <v/>
      </c>
      <c r="IP21" s="3">
        <f>ROUND(9967.0,2)</f>
        <v/>
      </c>
      <c r="IQ21" s="3">
        <f>ROUND(381.0,2)</f>
        <v/>
      </c>
      <c r="IR21" s="3">
        <f>ROUND(1457.0,2)</f>
        <v/>
      </c>
      <c r="IS21" s="3">
        <f>ROUND(1283.0,2)</f>
        <v/>
      </c>
      <c r="IT21" s="3">
        <f>ROUND(835.0,2)</f>
        <v/>
      </c>
      <c r="IU21" s="3">
        <f>ROUND(707.0,2)</f>
        <v/>
      </c>
      <c r="IV21" s="3">
        <f>ROUND(508.0,2)</f>
        <v/>
      </c>
      <c r="IW21" s="4">
        <f>IFERROR((IQ21/IP21),0)</f>
        <v/>
      </c>
      <c r="IX21" s="4">
        <f>IFERROR(((0+IO11+IO12+IO13+IO14+IO15+IO16+IO17+IO19+IO20+IO21)/T2),0)</f>
        <v/>
      </c>
      <c r="IY21" s="5">
        <f>IFERROR(ROUND(IO21/IQ21,2),0)</f>
        <v/>
      </c>
      <c r="IZ21" s="5">
        <f>IFERROR(ROUND(IO21/IR21,2),0)</f>
        <v/>
      </c>
      <c r="JA21" s="2" t="inlineStr">
        <is>
          <t>2023-09-29</t>
        </is>
      </c>
      <c r="JB21" s="5">
        <f>ROUND(0.47,2)</f>
        <v/>
      </c>
      <c r="JC21" s="3">
        <f>ROUND(628.0,2)</f>
        <v/>
      </c>
      <c r="JD21" s="3">
        <f>ROUND(26.0,2)</f>
        <v/>
      </c>
      <c r="JE21" s="3">
        <f>ROUND(130.0,2)</f>
        <v/>
      </c>
      <c r="JF21" s="3">
        <f>ROUND(111.0,2)</f>
        <v/>
      </c>
      <c r="JG21" s="3">
        <f>ROUND(55.0,2)</f>
        <v/>
      </c>
      <c r="JH21" s="3">
        <f>ROUND(36.0,2)</f>
        <v/>
      </c>
      <c r="JI21" s="3">
        <f>ROUND(10.0,2)</f>
        <v/>
      </c>
      <c r="JJ21" s="4">
        <f>IFERROR((JD21/JC21),0)</f>
        <v/>
      </c>
      <c r="JK21" s="4">
        <f>IFERROR(((0+JB11+JB12+JB13+JB14+JB15+JB16+JB17+JB19+JB20+JB21)/T2),0)</f>
        <v/>
      </c>
      <c r="JL21" s="5">
        <f>IFERROR(ROUND(JB21/JD21,2),0)</f>
        <v/>
      </c>
      <c r="JM21" s="5">
        <f>IFERROR(ROUND(JB21/JE21,2),0)</f>
        <v/>
      </c>
    </row>
    <row r="22">
      <c r="A22" s="2" t="inlineStr">
        <is>
          <t>2023-09-30</t>
        </is>
      </c>
      <c r="B22" s="5">
        <f>ROUND(38.14,2)</f>
        <v/>
      </c>
      <c r="C22" s="3">
        <f>ROUND(103956.0,2)</f>
        <v/>
      </c>
      <c r="D22" s="3">
        <f>ROUND(4080.0,2)</f>
        <v/>
      </c>
      <c r="E22" s="3">
        <f>ROUND(18598.0,2)</f>
        <v/>
      </c>
      <c r="F22" s="3">
        <f>ROUND(14203.0,2)</f>
        <v/>
      </c>
      <c r="G22" s="3">
        <f>ROUND(7134.0,2)</f>
        <v/>
      </c>
      <c r="H22" s="3">
        <f>ROUND(4786.0,2)</f>
        <v/>
      </c>
      <c r="I22" s="3">
        <f>ROUND(2823.0,2)</f>
        <v/>
      </c>
      <c r="J22" s="4">
        <f>IFERROR((D22/C22),0)</f>
        <v/>
      </c>
      <c r="K22" s="4">
        <f>IFERROR(((0+B11+B12+B13+B14+B15+B16+B17+B19+B20+B21+B22)/T2),0)</f>
        <v/>
      </c>
      <c r="L22" s="5">
        <f>IFERROR(ROUND(B22/D22,2),0)</f>
        <v/>
      </c>
      <c r="M22" s="5">
        <f>IFERROR(ROUND(B22/E22,2),0)</f>
        <v/>
      </c>
      <c r="N22" s="2" t="inlineStr">
        <is>
          <t>2023-09-30</t>
        </is>
      </c>
      <c r="O22" s="5">
        <f>ROUND(1.03,2)</f>
        <v/>
      </c>
      <c r="P22" s="3">
        <f>ROUND(3331.0,2)</f>
        <v/>
      </c>
      <c r="Q22" s="3">
        <f>ROUND(128.0,2)</f>
        <v/>
      </c>
      <c r="R22" s="3">
        <f>ROUND(387.0,2)</f>
        <v/>
      </c>
      <c r="S22" s="3">
        <f>ROUND(276.0,2)</f>
        <v/>
      </c>
      <c r="T22" s="3">
        <f>ROUND(106.0,2)</f>
        <v/>
      </c>
      <c r="U22" s="3">
        <f>ROUND(54.0,2)</f>
        <v/>
      </c>
      <c r="V22" s="3">
        <f>ROUND(37.0,2)</f>
        <v/>
      </c>
      <c r="W22" s="4">
        <f>IFERROR((Q22/P22),0)</f>
        <v/>
      </c>
      <c r="X22" s="4">
        <f>IFERROR(((0+O11+O12+O13+O14+O15+O16+O17+O19+O20+O21+O22)/T2),0)</f>
        <v/>
      </c>
      <c r="Y22" s="5">
        <f>IFERROR(ROUND(O22/Q22,2),0)</f>
        <v/>
      </c>
      <c r="Z22" s="5">
        <f>IFERROR(ROUND(O22/R22,2),0)</f>
        <v/>
      </c>
      <c r="AA22" s="2" t="inlineStr">
        <is>
          <t>2023-09-30</t>
        </is>
      </c>
      <c r="AB22" s="5">
        <f>ROUND(0.06,2)</f>
        <v/>
      </c>
      <c r="AC22" s="3">
        <f>ROUND(117.0,2)</f>
        <v/>
      </c>
      <c r="AD22" s="3">
        <f>ROUND(7.0,2)</f>
        <v/>
      </c>
      <c r="AE22" s="3">
        <f>ROUND(14.0,2)</f>
        <v/>
      </c>
      <c r="AF22" s="3">
        <f>ROUND(12.0,2)</f>
        <v/>
      </c>
      <c r="AG22" s="3">
        <f>ROUND(6.0,2)</f>
        <v/>
      </c>
      <c r="AH22" s="3">
        <f>ROUND(4.0,2)</f>
        <v/>
      </c>
      <c r="AI22" s="3">
        <f>ROUND(1.0,2)</f>
        <v/>
      </c>
      <c r="AJ22" s="4">
        <f>IFERROR((AD22/AC22),0)</f>
        <v/>
      </c>
      <c r="AK22" s="4">
        <f>IFERROR(((0+AB11+AB12+AB13+AB14+AB15+AB16+AB17+AB19+AB20+AB21+AB22)/T2),0)</f>
        <v/>
      </c>
      <c r="AL22" s="5">
        <f>IFERROR(ROUND(AB22/AD22,2),0)</f>
        <v/>
      </c>
      <c r="AM22" s="5">
        <f>IFERROR(ROUND(AB22/AE22,2),0)</f>
        <v/>
      </c>
      <c r="AN22" s="2" t="inlineStr">
        <is>
          <t>2023-09-30</t>
        </is>
      </c>
      <c r="AO22" s="5">
        <f>ROUND(0.01,2)</f>
        <v/>
      </c>
      <c r="AP22" s="3">
        <f>ROUND(26.0,2)</f>
        <v/>
      </c>
      <c r="AQ22" s="3">
        <f>ROUND(2.0,2)</f>
        <v/>
      </c>
      <c r="AR22" s="3">
        <f>ROUND(3.0,2)</f>
        <v/>
      </c>
      <c r="AS22" s="3">
        <f>ROUND(2.0,2)</f>
        <v/>
      </c>
      <c r="AT22" s="3">
        <f>ROUND(1.0,2)</f>
        <v/>
      </c>
      <c r="AU22" s="3">
        <f>ROUND(1.0,2)</f>
        <v/>
      </c>
      <c r="AV22" s="3">
        <f>ROUND(1.0,2)</f>
        <v/>
      </c>
      <c r="AW22" s="4">
        <f>IFERROR((AQ22/AP22),0)</f>
        <v/>
      </c>
      <c r="AX22" s="4">
        <f>IFERROR(((0+AO11+AO12+AO13+AO14+AO15+AO16+AO17+AO19+AO20+AO21+AO22)/T2),0)</f>
        <v/>
      </c>
      <c r="AY22" s="5">
        <f>IFERROR(ROUND(AO22/AQ22,2),0)</f>
        <v/>
      </c>
      <c r="AZ22" s="5">
        <f>IFERROR(ROUND(AO22/AR22,2),0)</f>
        <v/>
      </c>
      <c r="BA22" s="2" t="inlineStr">
        <is>
          <t>2023-09-30</t>
        </is>
      </c>
      <c r="BB22" s="5">
        <f>ROUND(5.45,2)</f>
        <v/>
      </c>
      <c r="BC22" s="3">
        <f>ROUND(16615.0,2)</f>
        <v/>
      </c>
      <c r="BD22" s="3">
        <f>ROUND(646.0,2)</f>
        <v/>
      </c>
      <c r="BE22" s="3">
        <f>ROUND(3548.0,2)</f>
        <v/>
      </c>
      <c r="BF22" s="3">
        <f>ROUND(2685.0,2)</f>
        <v/>
      </c>
      <c r="BG22" s="3">
        <f>ROUND(1215.0,2)</f>
        <v/>
      </c>
      <c r="BH22" s="3">
        <f>ROUND(675.0,2)</f>
        <v/>
      </c>
      <c r="BI22" s="3">
        <f>ROUND(370.0,2)</f>
        <v/>
      </c>
      <c r="BJ22" s="4">
        <f>IFERROR((BD22/BC22),0)</f>
        <v/>
      </c>
      <c r="BK22" s="4">
        <f>IFERROR(((0+BB11+BB12+BB13+BB14+BB15+BB16+BB17+BB19+BB20+BB21+BB22)/T2),0)</f>
        <v/>
      </c>
      <c r="BL22" s="5">
        <f>IFERROR(ROUND(BB22/BD22,2),0)</f>
        <v/>
      </c>
      <c r="BM22" s="5">
        <f>IFERROR(ROUND(BB22/BE22,2),0)</f>
        <v/>
      </c>
      <c r="BN22" s="2" t="inlineStr">
        <is>
          <t>2023-09-30</t>
        </is>
      </c>
      <c r="BO22" s="5">
        <f>ROUND(5.6,2)</f>
        <v/>
      </c>
      <c r="BP22" s="3">
        <f>ROUND(18119.0,2)</f>
        <v/>
      </c>
      <c r="BQ22" s="3">
        <f>ROUND(592.0,2)</f>
        <v/>
      </c>
      <c r="BR22" s="3">
        <f>ROUND(4242.0,2)</f>
        <v/>
      </c>
      <c r="BS22" s="3">
        <f>ROUND(3626.0,2)</f>
        <v/>
      </c>
      <c r="BT22" s="3">
        <f>ROUND(1996.0,2)</f>
        <v/>
      </c>
      <c r="BU22" s="3">
        <f>ROUND(1531.0,2)</f>
        <v/>
      </c>
      <c r="BV22" s="3">
        <f>ROUND(938.0,2)</f>
        <v/>
      </c>
      <c r="BW22" s="4">
        <f>IFERROR((BQ22/BP22),0)</f>
        <v/>
      </c>
      <c r="BX22" s="4">
        <f>IFERROR(((0+BO11+BO12+BO13+BO14+BO15+BO16+BO17+BO19+BO20+BO21+BO22)/T2),0)</f>
        <v/>
      </c>
      <c r="BY22" s="5">
        <f>IFERROR(ROUND(BO22/BQ22,2),0)</f>
        <v/>
      </c>
      <c r="BZ22" s="5">
        <f>IFERROR(ROUND(BO22/BR22,2),0)</f>
        <v/>
      </c>
      <c r="CA22" s="2" t="inlineStr">
        <is>
          <t>2023-09-30</t>
        </is>
      </c>
      <c r="CB22" s="5">
        <f>ROUND(0.88,2)</f>
        <v/>
      </c>
      <c r="CC22" s="3">
        <f>ROUND(1816.0,2)</f>
        <v/>
      </c>
      <c r="CD22" s="3">
        <f>ROUND(100.0,2)</f>
        <v/>
      </c>
      <c r="CE22" s="3">
        <f>ROUND(461.0,2)</f>
        <v/>
      </c>
      <c r="CF22" s="3">
        <f>ROUND(327.0,2)</f>
        <v/>
      </c>
      <c r="CG22" s="3">
        <f>ROUND(141.0,2)</f>
        <v/>
      </c>
      <c r="CH22" s="3">
        <f>ROUND(93.0,2)</f>
        <v/>
      </c>
      <c r="CI22" s="3">
        <f>ROUND(37.0,2)</f>
        <v/>
      </c>
      <c r="CJ22" s="4">
        <f>IFERROR((CD22/CC22),0)</f>
        <v/>
      </c>
      <c r="CK22" s="4">
        <f>IFERROR(((0+CB11+CB12+CB13+CB14+CB15+CB16+CB17+CB19+CB20+CB21+CB22)/T2),0)</f>
        <v/>
      </c>
      <c r="CL22" s="5">
        <f>IFERROR(ROUND(CB22/CD22,2),0)</f>
        <v/>
      </c>
      <c r="CM22" s="5">
        <f>IFERROR(ROUND(CB22/CE22,2),0)</f>
        <v/>
      </c>
      <c r="CN22" s="2" t="inlineStr">
        <is>
          <t>2023-09-30</t>
        </is>
      </c>
      <c r="CO22" s="5">
        <f>ROUND(2.37,2)</f>
        <v/>
      </c>
      <c r="CP22" s="3">
        <f>ROUND(6645.0,2)</f>
        <v/>
      </c>
      <c r="CQ22" s="3">
        <f>ROUND(264.0,2)</f>
        <v/>
      </c>
      <c r="CR22" s="3">
        <f>ROUND(1470.0,2)</f>
        <v/>
      </c>
      <c r="CS22" s="3">
        <f>ROUND(1256.0,2)</f>
        <v/>
      </c>
      <c r="CT22" s="3">
        <f>ROUND(492.0,2)</f>
        <v/>
      </c>
      <c r="CU22" s="3">
        <f>ROUND(282.0,2)</f>
        <v/>
      </c>
      <c r="CV22" s="3">
        <f>ROUND(166.0,2)</f>
        <v/>
      </c>
      <c r="CW22" s="4">
        <f>IFERROR((CQ22/CP22),0)</f>
        <v/>
      </c>
      <c r="CX22" s="4">
        <f>IFERROR(((0+CO11+CO12+CO13+CO14+CO15+CO16+CO17+CO19+CO20+CO21+CO22)/T2),0)</f>
        <v/>
      </c>
      <c r="CY22" s="5">
        <f>IFERROR(ROUND(CO22/CQ22,2),0)</f>
        <v/>
      </c>
      <c r="CZ22" s="5">
        <f>IFERROR(ROUND(CO22/CR22,2),0)</f>
        <v/>
      </c>
      <c r="DA22" s="2" t="inlineStr">
        <is>
          <t>2023-09-30</t>
        </is>
      </c>
      <c r="DB22" s="5">
        <f>ROUND(2.36,2)</f>
        <v/>
      </c>
      <c r="DC22" s="3">
        <f>ROUND(7407.0,2)</f>
        <v/>
      </c>
      <c r="DD22" s="3">
        <f>ROUND(320.0,2)</f>
        <v/>
      </c>
      <c r="DE22" s="3">
        <f>ROUND(862.0,2)</f>
        <v/>
      </c>
      <c r="DF22" s="3">
        <f>ROUND(451.0,2)</f>
        <v/>
      </c>
      <c r="DG22" s="3">
        <f>ROUND(202.0,2)</f>
        <v/>
      </c>
      <c r="DH22" s="3">
        <f>ROUND(133.0,2)</f>
        <v/>
      </c>
      <c r="DI22" s="3">
        <f>ROUND(68.0,2)</f>
        <v/>
      </c>
      <c r="DJ22" s="4">
        <f>IFERROR((DD22/DC22),0)</f>
        <v/>
      </c>
      <c r="DK22" s="4">
        <f>IFERROR(((0+DB11+DB12+DB13+DB14+DB15+DB16+DB17+DB19+DB20+DB21+DB22)/T2),0)</f>
        <v/>
      </c>
      <c r="DL22" s="5">
        <f>IFERROR(ROUND(DB22/DD22,2),0)</f>
        <v/>
      </c>
      <c r="DM22" s="5">
        <f>IFERROR(ROUND(DB22/DE22,2),0)</f>
        <v/>
      </c>
      <c r="DN22" s="2" t="inlineStr">
        <is>
          <t>2023-09-30</t>
        </is>
      </c>
      <c r="DO22" s="5">
        <f>ROUND(5.91,2)</f>
        <v/>
      </c>
      <c r="DP22" s="3">
        <f>ROUND(17790.0,2)</f>
        <v/>
      </c>
      <c r="DQ22" s="3">
        <f>ROUND(698.0,2)</f>
        <v/>
      </c>
      <c r="DR22" s="3">
        <f>ROUND(2546.0,2)</f>
        <v/>
      </c>
      <c r="DS22" s="3">
        <f>ROUND(1916.0,2)</f>
        <v/>
      </c>
      <c r="DT22" s="3">
        <f>ROUND(1158.0,2)</f>
        <v/>
      </c>
      <c r="DU22" s="3">
        <f>ROUND(719.0,2)</f>
        <v/>
      </c>
      <c r="DV22" s="3">
        <f>ROUND(399.0,2)</f>
        <v/>
      </c>
      <c r="DW22" s="4">
        <f>IFERROR((DQ22/DP22),0)</f>
        <v/>
      </c>
      <c r="DX22" s="4">
        <f>IFERROR(((0+DO11+DO12+DO13+DO14+DO15+DO16+DO17+DO19+DO20+DO21+DO22)/T2),0)</f>
        <v/>
      </c>
      <c r="DY22" s="5">
        <f>IFERROR(ROUND(DO22/DQ22,2),0)</f>
        <v/>
      </c>
      <c r="DZ22" s="5">
        <f>IFERROR(ROUND(DO22/DR22,2),0)</f>
        <v/>
      </c>
      <c r="EA22" s="2" t="inlineStr">
        <is>
          <t>2023-09-30</t>
        </is>
      </c>
      <c r="EB22" s="5">
        <f>ROUND(2.54,2)</f>
        <v/>
      </c>
      <c r="EC22" s="3">
        <f>ROUND(6892.0,2)</f>
        <v/>
      </c>
      <c r="ED22" s="3">
        <f>ROUND(299.0,2)</f>
        <v/>
      </c>
      <c r="EE22" s="3">
        <f>ROUND(1175.0,2)</f>
        <v/>
      </c>
      <c r="EF22" s="3">
        <f>ROUND(632.0,2)</f>
        <v/>
      </c>
      <c r="EG22" s="3">
        <f>ROUND(234.0,2)</f>
        <v/>
      </c>
      <c r="EH22" s="3">
        <f>ROUND(143.0,2)</f>
        <v/>
      </c>
      <c r="EI22" s="3">
        <f>ROUND(78.0,2)</f>
        <v/>
      </c>
      <c r="EJ22" s="4">
        <f>IFERROR((ED22/EC22),0)</f>
        <v/>
      </c>
      <c r="EK22" s="4">
        <f>IFERROR(((0+EB11+EB12+EB13+EB14+EB15+EB16+EB17+EB19+EB20+EB21+EB22)/T2),0)</f>
        <v/>
      </c>
      <c r="EL22" s="5">
        <f>IFERROR(ROUND(EB22/ED22,2),0)</f>
        <v/>
      </c>
      <c r="EM22" s="5">
        <f>IFERROR(ROUND(EB22/EE22,2),0)</f>
        <v/>
      </c>
      <c r="EN22" s="2" t="inlineStr">
        <is>
          <t>2023-09-30</t>
        </is>
      </c>
      <c r="EO22" s="5">
        <f>ROUND(1.0,2)</f>
        <v/>
      </c>
      <c r="EP22" s="3">
        <f>ROUND(1735.0,2)</f>
        <v/>
      </c>
      <c r="EQ22" s="3">
        <f>ROUND(99.0,2)</f>
        <v/>
      </c>
      <c r="ER22" s="3">
        <f>ROUND(89.0,2)</f>
        <v/>
      </c>
      <c r="ES22" s="3">
        <f>ROUND(48.0,2)</f>
        <v/>
      </c>
      <c r="ET22" s="3">
        <f>ROUND(27.0,2)</f>
        <v/>
      </c>
      <c r="EU22" s="3">
        <f>ROUND(17.0,2)</f>
        <v/>
      </c>
      <c r="EV22" s="3">
        <f>ROUND(13.0,2)</f>
        <v/>
      </c>
      <c r="EW22" s="4">
        <f>IFERROR((EQ22/EP22),0)</f>
        <v/>
      </c>
      <c r="EX22" s="4">
        <f>IFERROR(((0+EO11+EO12+EO13+EO14+EO15+EO16+EO17+EO19+EO20+EO21+EO22)/T2),0)</f>
        <v/>
      </c>
      <c r="EY22" s="5">
        <f>IFERROR(ROUND(EO22/EQ22,2),0)</f>
        <v/>
      </c>
      <c r="EZ22" s="5">
        <f>IFERROR(ROUND(EO22/ER22,2),0)</f>
        <v/>
      </c>
      <c r="FA22" s="2" t="inlineStr">
        <is>
          <t>2023-09-30</t>
        </is>
      </c>
      <c r="FB22" s="5">
        <f>ROUND(1.58,2)</f>
        <v/>
      </c>
      <c r="FC22" s="3">
        <f>ROUND(2572.0,2)</f>
        <v/>
      </c>
      <c r="FD22" s="3">
        <f>ROUND(124.0,2)</f>
        <v/>
      </c>
      <c r="FE22" s="3">
        <f>ROUND(217.0,2)</f>
        <v/>
      </c>
      <c r="FF22" s="3">
        <f>ROUND(175.0,2)</f>
        <v/>
      </c>
      <c r="FG22" s="3">
        <f>ROUND(93.0,2)</f>
        <v/>
      </c>
      <c r="FH22" s="3">
        <f>ROUND(56.0,2)</f>
        <v/>
      </c>
      <c r="FI22" s="3">
        <f>ROUND(38.0,2)</f>
        <v/>
      </c>
      <c r="FJ22" s="4">
        <f>IFERROR((FD22/FC22),0)</f>
        <v/>
      </c>
      <c r="FK22" s="4">
        <f>IFERROR(((0+FB11+FB12+FB13+FB14+FB15+FB16+FB17+FB19+FB20+FB21+FB22)/T2),0)</f>
        <v/>
      </c>
      <c r="FL22" s="5">
        <f>IFERROR(ROUND(FB22/FD22,2),0)</f>
        <v/>
      </c>
      <c r="FM22" s="5">
        <f>IFERROR(ROUND(FB22/FE22,2),0)</f>
        <v/>
      </c>
      <c r="FN22" s="2" t="inlineStr">
        <is>
          <t>2023-09-30</t>
        </is>
      </c>
      <c r="FO22" s="5">
        <f>ROUND(0.03,2)</f>
        <v/>
      </c>
      <c r="FP22" s="3">
        <f>ROUND(17.0,2)</f>
        <v/>
      </c>
      <c r="FQ22" s="3">
        <f>ROUND(2.0,2)</f>
        <v/>
      </c>
      <c r="FR22" s="3">
        <f>ROUND(5.0,2)</f>
        <v/>
      </c>
      <c r="FS22" s="3">
        <f>ROUND(3.0,2)</f>
        <v/>
      </c>
      <c r="FT22" s="3">
        <f>ROUND(2.0,2)</f>
        <v/>
      </c>
      <c r="FU22" s="3">
        <f>ROUND(2.0,2)</f>
        <v/>
      </c>
      <c r="FV22" s="3">
        <f>ROUND(1.0,2)</f>
        <v/>
      </c>
      <c r="FW22" s="4">
        <f>IFERROR((FQ22/FP22),0)</f>
        <v/>
      </c>
      <c r="FX22" s="4">
        <f>IFERROR(((0+FO11+FO12+FO13+FO14+FO15+FO16+FO17+FO19+FO20+FO21+FO22)/T2),0)</f>
        <v/>
      </c>
      <c r="FY22" s="5">
        <f>IFERROR(ROUND(FO22/FQ22,2),0)</f>
        <v/>
      </c>
      <c r="FZ22" s="5">
        <f>IFERROR(ROUND(FO22/FR22,2),0)</f>
        <v/>
      </c>
      <c r="GA22" s="2" t="inlineStr">
        <is>
          <t>2023-09-30</t>
        </is>
      </c>
      <c r="GB22" s="5">
        <f>ROUND(3.02,2)</f>
        <v/>
      </c>
      <c r="GC22" s="3">
        <f>ROUND(7705.0,2)</f>
        <v/>
      </c>
      <c r="GD22" s="3">
        <f>ROUND(260.0,2)</f>
        <v/>
      </c>
      <c r="GE22" s="3">
        <f>ROUND(1291.0,2)</f>
        <v/>
      </c>
      <c r="GF22" s="3">
        <f>ROUND(906.0,2)</f>
        <v/>
      </c>
      <c r="GG22" s="3">
        <f>ROUND(367.0,2)</f>
        <v/>
      </c>
      <c r="GH22" s="3">
        <f>ROUND(213.0,2)</f>
        <v/>
      </c>
      <c r="GI22" s="3">
        <f>ROUND(98.0,2)</f>
        <v/>
      </c>
      <c r="GJ22" s="4">
        <f>IFERROR((GD22/GC22),0)</f>
        <v/>
      </c>
      <c r="GK22" s="4">
        <f>IFERROR(((0+GB11+GB12+GB13+GB14+GB15+GB16+GB17+GB19+GB20+GB21+GB22)/T2),0)</f>
        <v/>
      </c>
      <c r="GL22" s="5">
        <f>IFERROR(ROUND(GB22/GD22,2),0)</f>
        <v/>
      </c>
      <c r="GM22" s="5">
        <f>IFERROR(ROUND(GB22/GE22,2),0)</f>
        <v/>
      </c>
      <c r="GN22" s="2" t="inlineStr">
        <is>
          <t>2023-09-30</t>
        </is>
      </c>
      <c r="GO22" s="5">
        <f>ROUND(1.81,2)</f>
        <v/>
      </c>
      <c r="GP22" s="3">
        <f>ROUND(3251.0,2)</f>
        <v/>
      </c>
      <c r="GQ22" s="3">
        <f>ROUND(151.0,2)</f>
        <v/>
      </c>
      <c r="GR22" s="3">
        <f>ROUND(492.0,2)</f>
        <v/>
      </c>
      <c r="GS22" s="3">
        <f>ROUND(367.0,2)</f>
        <v/>
      </c>
      <c r="GT22" s="3">
        <f>ROUND(124.0,2)</f>
        <v/>
      </c>
      <c r="GU22" s="3">
        <f>ROUND(64.0,2)</f>
        <v/>
      </c>
      <c r="GV22" s="3">
        <f>ROUND(43.0,2)</f>
        <v/>
      </c>
      <c r="GW22" s="4">
        <f>IFERROR((GQ22/GP22),0)</f>
        <v/>
      </c>
      <c r="GX22" s="4">
        <f>IFERROR(((0+GO11+GO12+GO13+GO14+GO15+GO16+GO17+GO19+GO20+GO21+GO22)/T2),0)</f>
        <v/>
      </c>
      <c r="GY22" s="5">
        <f>IFERROR(ROUND(GO22/GQ22,2),0)</f>
        <v/>
      </c>
      <c r="GZ22" s="5">
        <f>IFERROR(ROUND(GO22/GR22,2),0)</f>
        <v/>
      </c>
      <c r="HA22" s="2" t="inlineStr">
        <is>
          <t>2023-09-30</t>
        </is>
      </c>
      <c r="HB22" s="5">
        <f>ROUND(0.63,2)</f>
        <v/>
      </c>
      <c r="HC22" s="3">
        <f>ROUND(1198.0,2)</f>
        <v/>
      </c>
      <c r="HD22" s="3">
        <f>ROUND(59.0,2)</f>
        <v/>
      </c>
      <c r="HE22" s="3">
        <f>ROUND(269.0,2)</f>
        <v/>
      </c>
      <c r="HF22" s="3">
        <f>ROUND(199.0,2)</f>
        <v/>
      </c>
      <c r="HG22" s="3">
        <f>ROUND(99.0,2)</f>
        <v/>
      </c>
      <c r="HH22" s="3">
        <f>ROUND(79.0,2)</f>
        <v/>
      </c>
      <c r="HI22" s="3">
        <f>ROUND(12.0,2)</f>
        <v/>
      </c>
      <c r="HJ22" s="4">
        <f>IFERROR((HD22/HC22),0)</f>
        <v/>
      </c>
      <c r="HK22" s="4">
        <f>IFERROR(((0+HB11+HB12+HB13+HB14+HB15+HB16+HB17+HB19+HB20+HB21+HB22)/T2),0)</f>
        <v/>
      </c>
      <c r="HL22" s="5">
        <f>IFERROR(ROUND(HB22/HD22,2),0)</f>
        <v/>
      </c>
      <c r="HM22" s="5">
        <f>IFERROR(ROUND(HB22/HE22,2),0)</f>
        <v/>
      </c>
      <c r="HN22" s="2" t="inlineStr">
        <is>
          <t>2023-09-30</t>
        </is>
      </c>
      <c r="HO22" s="5">
        <f>ROUND(0.0,2)</f>
        <v/>
      </c>
      <c r="HP22" s="3">
        <f>ROUND(4.0,2)</f>
        <v/>
      </c>
      <c r="HQ22" s="3">
        <f>ROUND(0.0,2)</f>
        <v/>
      </c>
      <c r="HR22" s="3">
        <f>ROUND(1.0,2)</f>
        <v/>
      </c>
      <c r="HS22" s="3">
        <f>ROUND(1.0,2)</f>
        <v/>
      </c>
      <c r="HT22" s="3">
        <f>ROUND(0.0,2)</f>
        <v/>
      </c>
      <c r="HU22" s="3">
        <f>ROUND(0.0,2)</f>
        <v/>
      </c>
      <c r="HV22" s="3">
        <f>ROUND(0.0,2)</f>
        <v/>
      </c>
      <c r="HW22" s="4">
        <f>IFERROR((HQ22/HP22),0)</f>
        <v/>
      </c>
      <c r="HX22" s="4">
        <f>IFERROR(((0+HO11+HO12+HO13+HO14+HO15+HO16+HO17+HO19+HO20+HO21+HO22)/T2),0)</f>
        <v/>
      </c>
      <c r="HY22" s="5">
        <f>IFERROR(ROUND(HO22/HQ22,2),0)</f>
        <v/>
      </c>
      <c r="HZ22" s="5">
        <f>IFERROR(ROUND(HO22/HR22,2),0)</f>
        <v/>
      </c>
      <c r="IA22" s="2" t="inlineStr">
        <is>
          <t>2023-09-30</t>
        </is>
      </c>
      <c r="IB22" s="5">
        <f>ROUND(0.3,2)</f>
        <v/>
      </c>
      <c r="IC22" s="3">
        <f>ROUND(603.0,2)</f>
        <v/>
      </c>
      <c r="ID22" s="3">
        <f>ROUND(19.0,2)</f>
        <v/>
      </c>
      <c r="IE22" s="3">
        <f>ROUND(93.0,2)</f>
        <v/>
      </c>
      <c r="IF22" s="3">
        <f>ROUND(64.0,2)</f>
        <v/>
      </c>
      <c r="IG22" s="3">
        <f>ROUND(34.0,2)</f>
        <v/>
      </c>
      <c r="IH22" s="3">
        <f>ROUND(23.0,2)</f>
        <v/>
      </c>
      <c r="II22" s="3">
        <f>ROUND(17.0,2)</f>
        <v/>
      </c>
      <c r="IJ22" s="4">
        <f>IFERROR((ID22/IC22),0)</f>
        <v/>
      </c>
      <c r="IK22" s="4">
        <f>IFERROR(((0+IB11+IB12+IB13+IB14+IB15+IB16+IB17+IB19+IB20+IB21+IB22)/T2),0)</f>
        <v/>
      </c>
      <c r="IL22" s="5">
        <f>IFERROR(ROUND(IB22/ID22,2),0)</f>
        <v/>
      </c>
      <c r="IM22" s="5">
        <f>IFERROR(ROUND(IB22/IE22,2),0)</f>
        <v/>
      </c>
      <c r="IN22" s="2" t="inlineStr">
        <is>
          <t>2023-09-30</t>
        </is>
      </c>
      <c r="IO22" s="5">
        <f>ROUND(3.33,2)</f>
        <v/>
      </c>
      <c r="IP22" s="3">
        <f>ROUND(7774.0,2)</f>
        <v/>
      </c>
      <c r="IQ22" s="3">
        <f>ROUND(297.0,2)</f>
        <v/>
      </c>
      <c r="IR22" s="3">
        <f>ROUND(1364.0,2)</f>
        <v/>
      </c>
      <c r="IS22" s="3">
        <f>ROUND(1197.0,2)</f>
        <v/>
      </c>
      <c r="IT22" s="3">
        <f>ROUND(803.0,2)</f>
        <v/>
      </c>
      <c r="IU22" s="3">
        <f>ROUND(671.0,2)</f>
        <v/>
      </c>
      <c r="IV22" s="3">
        <f>ROUND(488.0,2)</f>
        <v/>
      </c>
      <c r="IW22" s="4">
        <f>IFERROR((IQ22/IP22),0)</f>
        <v/>
      </c>
      <c r="IX22" s="4">
        <f>IFERROR(((0+IO11+IO12+IO13+IO14+IO15+IO16+IO17+IO19+IO20+IO21+IO22)/T2),0)</f>
        <v/>
      </c>
      <c r="IY22" s="5">
        <f>IFERROR(ROUND(IO22/IQ22,2),0)</f>
        <v/>
      </c>
      <c r="IZ22" s="5">
        <f>IFERROR(ROUND(IO22/IR22,2),0)</f>
        <v/>
      </c>
      <c r="JA22" s="2" t="inlineStr">
        <is>
          <t>2023-09-30</t>
        </is>
      </c>
      <c r="JB22" s="5">
        <f>ROUND(0.23,2)</f>
        <v/>
      </c>
      <c r="JC22" s="3">
        <f>ROUND(339.0,2)</f>
        <v/>
      </c>
      <c r="JD22" s="3">
        <f>ROUND(13.0,2)</f>
        <v/>
      </c>
      <c r="JE22" s="3">
        <f>ROUND(69.0,2)</f>
        <v/>
      </c>
      <c r="JF22" s="3">
        <f>ROUND(60.0,2)</f>
        <v/>
      </c>
      <c r="JG22" s="3">
        <f>ROUND(34.0,2)</f>
        <v/>
      </c>
      <c r="JH22" s="3">
        <f>ROUND(26.0,2)</f>
        <v/>
      </c>
      <c r="JI22" s="3">
        <f>ROUND(18.0,2)</f>
        <v/>
      </c>
      <c r="JJ22" s="4">
        <f>IFERROR((JD22/JC22),0)</f>
        <v/>
      </c>
      <c r="JK22" s="4">
        <f>IFERROR(((0+JB11+JB12+JB13+JB14+JB15+JB16+JB17+JB19+JB20+JB21+JB22)/T2),0)</f>
        <v/>
      </c>
      <c r="JL22" s="5">
        <f>IFERROR(ROUND(JB22/JD22,2),0)</f>
        <v/>
      </c>
      <c r="JM22" s="5">
        <f>IFERROR(ROUND(JB22/JE22,2),0)</f>
        <v/>
      </c>
    </row>
    <row r="23">
      <c r="A23" s="2" t="inlineStr">
        <is>
          <t>2023-10-01</t>
        </is>
      </c>
      <c r="B23" s="5">
        <f>ROUND(0.0,2)</f>
        <v/>
      </c>
      <c r="C23" s="3">
        <f>ROUND(0.0,2)</f>
        <v/>
      </c>
      <c r="D23" s="3">
        <f>ROUND(0.0,2)</f>
        <v/>
      </c>
      <c r="E23" s="3">
        <f>ROUND(0.0,2)</f>
        <v/>
      </c>
      <c r="F23" s="3">
        <f>ROUND(0.0,2)</f>
        <v/>
      </c>
      <c r="G23" s="3">
        <f>ROUND(0.0,2)</f>
        <v/>
      </c>
      <c r="H23" s="3">
        <f>ROUND(0.0,2)</f>
        <v/>
      </c>
      <c r="I23" s="3">
        <f>ROUND(0.0,2)</f>
        <v/>
      </c>
      <c r="J23" s="4">
        <f>IFERROR((D23/C23),0)</f>
        <v/>
      </c>
      <c r="K23" s="4">
        <f>IFERROR(((0+B11+B12+B13+B14+B15+B16+B17+B19+B20+B21+B22+B23)/T2),0)</f>
        <v/>
      </c>
      <c r="L23" s="5">
        <f>IFERROR(ROUND(B23/D23,2),0)</f>
        <v/>
      </c>
      <c r="M23" s="5">
        <f>IFERROR(ROUND(B23/E23,2),0)</f>
        <v/>
      </c>
      <c r="N23" s="2" t="inlineStr">
        <is>
          <t>2023-10-01</t>
        </is>
      </c>
      <c r="O23" s="5">
        <f>ROUND(0.0,2)</f>
        <v/>
      </c>
      <c r="P23" s="3">
        <f>ROUND(0.0,2)</f>
        <v/>
      </c>
      <c r="Q23" s="3">
        <f>ROUND(0.0,2)</f>
        <v/>
      </c>
      <c r="R23" s="3">
        <f>ROUND(0.0,2)</f>
        <v/>
      </c>
      <c r="S23" s="3">
        <f>ROUND(0.0,2)</f>
        <v/>
      </c>
      <c r="T23" s="3">
        <f>ROUND(0.0,2)</f>
        <v/>
      </c>
      <c r="U23" s="3">
        <f>ROUND(0.0,2)</f>
        <v/>
      </c>
      <c r="V23" s="3">
        <f>ROUND(0.0,2)</f>
        <v/>
      </c>
      <c r="W23" s="4">
        <f>IFERROR((Q23/P23),0)</f>
        <v/>
      </c>
      <c r="X23" s="4">
        <f>IFERROR(((0+O11+O12+O13+O14+O15+O16+O17+O19+O20+O21+O22+O23)/T2),0)</f>
        <v/>
      </c>
      <c r="Y23" s="5">
        <f>IFERROR(ROUND(O23/Q23,2),0)</f>
        <v/>
      </c>
      <c r="Z23" s="5">
        <f>IFERROR(ROUND(O23/R23,2),0)</f>
        <v/>
      </c>
      <c r="AA23" s="2" t="inlineStr">
        <is>
          <t>2023-10-01</t>
        </is>
      </c>
      <c r="AB23" s="5">
        <f>ROUND(0.0,2)</f>
        <v/>
      </c>
      <c r="AC23" s="3">
        <f>ROUND(0.0,2)</f>
        <v/>
      </c>
      <c r="AD23" s="3">
        <f>ROUND(0.0,2)</f>
        <v/>
      </c>
      <c r="AE23" s="3">
        <f>ROUND(0.0,2)</f>
        <v/>
      </c>
      <c r="AF23" s="3">
        <f>ROUND(0.0,2)</f>
        <v/>
      </c>
      <c r="AG23" s="3">
        <f>ROUND(0.0,2)</f>
        <v/>
      </c>
      <c r="AH23" s="3">
        <f>ROUND(0.0,2)</f>
        <v/>
      </c>
      <c r="AI23" s="3">
        <f>ROUND(0.0,2)</f>
        <v/>
      </c>
      <c r="AJ23" s="4">
        <f>IFERROR((AD23/AC23),0)</f>
        <v/>
      </c>
      <c r="AK23" s="4">
        <f>IFERROR(((0+AB11+AB12+AB13+AB14+AB15+AB16+AB17+AB19+AB20+AB21+AB22+AB23)/T2),0)</f>
        <v/>
      </c>
      <c r="AL23" s="5">
        <f>IFERROR(ROUND(AB23/AD23,2),0)</f>
        <v/>
      </c>
      <c r="AM23" s="5">
        <f>IFERROR(ROUND(AB23/AE23,2),0)</f>
        <v/>
      </c>
      <c r="AN23" s="2" t="inlineStr">
        <is>
          <t>2023-10-01</t>
        </is>
      </c>
      <c r="AO23" s="5">
        <f>ROUND(0.0,2)</f>
        <v/>
      </c>
      <c r="AP23" s="3">
        <f>ROUND(0.0,2)</f>
        <v/>
      </c>
      <c r="AQ23" s="3">
        <f>ROUND(0.0,2)</f>
        <v/>
      </c>
      <c r="AR23" s="3">
        <f>ROUND(0.0,2)</f>
        <v/>
      </c>
      <c r="AS23" s="3">
        <f>ROUND(0.0,2)</f>
        <v/>
      </c>
      <c r="AT23" s="3">
        <f>ROUND(0.0,2)</f>
        <v/>
      </c>
      <c r="AU23" s="3">
        <f>ROUND(0.0,2)</f>
        <v/>
      </c>
      <c r="AV23" s="3">
        <f>ROUND(0.0,2)</f>
        <v/>
      </c>
      <c r="AW23" s="4">
        <f>IFERROR((AQ23/AP23),0)</f>
        <v/>
      </c>
      <c r="AX23" s="4">
        <f>IFERROR(((0+AO11+AO12+AO13+AO14+AO15+AO16+AO17+AO19+AO20+AO21+AO22+AO23)/T2),0)</f>
        <v/>
      </c>
      <c r="AY23" s="5">
        <f>IFERROR(ROUND(AO23/AQ23,2),0)</f>
        <v/>
      </c>
      <c r="AZ23" s="5">
        <f>IFERROR(ROUND(AO23/AR23,2),0)</f>
        <v/>
      </c>
      <c r="BA23" s="2" t="inlineStr">
        <is>
          <t>2023-10-01</t>
        </is>
      </c>
      <c r="BB23" s="5">
        <f>ROUND(0.0,2)</f>
        <v/>
      </c>
      <c r="BC23" s="3">
        <f>ROUND(0.0,2)</f>
        <v/>
      </c>
      <c r="BD23" s="3">
        <f>ROUND(0.0,2)</f>
        <v/>
      </c>
      <c r="BE23" s="3">
        <f>ROUND(0.0,2)</f>
        <v/>
      </c>
      <c r="BF23" s="3">
        <f>ROUND(0.0,2)</f>
        <v/>
      </c>
      <c r="BG23" s="3">
        <f>ROUND(0.0,2)</f>
        <v/>
      </c>
      <c r="BH23" s="3">
        <f>ROUND(0.0,2)</f>
        <v/>
      </c>
      <c r="BI23" s="3">
        <f>ROUND(0.0,2)</f>
        <v/>
      </c>
      <c r="BJ23" s="4">
        <f>IFERROR((BD23/BC23),0)</f>
        <v/>
      </c>
      <c r="BK23" s="4">
        <f>IFERROR(((0+BB11+BB12+BB13+BB14+BB15+BB16+BB17+BB19+BB20+BB21+BB22+BB23)/T2),0)</f>
        <v/>
      </c>
      <c r="BL23" s="5">
        <f>IFERROR(ROUND(BB23/BD23,2),0)</f>
        <v/>
      </c>
      <c r="BM23" s="5">
        <f>IFERROR(ROUND(BB23/BE23,2),0)</f>
        <v/>
      </c>
      <c r="BN23" s="2" t="inlineStr">
        <is>
          <t>2023-10-01</t>
        </is>
      </c>
      <c r="BO23" s="5">
        <f>ROUND(0.0,2)</f>
        <v/>
      </c>
      <c r="BP23" s="3">
        <f>ROUND(0.0,2)</f>
        <v/>
      </c>
      <c r="BQ23" s="3">
        <f>ROUND(0.0,2)</f>
        <v/>
      </c>
      <c r="BR23" s="3">
        <f>ROUND(0.0,2)</f>
        <v/>
      </c>
      <c r="BS23" s="3">
        <f>ROUND(0.0,2)</f>
        <v/>
      </c>
      <c r="BT23" s="3">
        <f>ROUND(0.0,2)</f>
        <v/>
      </c>
      <c r="BU23" s="3">
        <f>ROUND(0.0,2)</f>
        <v/>
      </c>
      <c r="BV23" s="3">
        <f>ROUND(0.0,2)</f>
        <v/>
      </c>
      <c r="BW23" s="4">
        <f>IFERROR((BQ23/BP23),0)</f>
        <v/>
      </c>
      <c r="BX23" s="4">
        <f>IFERROR(((0+BO11+BO12+BO13+BO14+BO15+BO16+BO17+BO19+BO20+BO21+BO22+BO23)/T2),0)</f>
        <v/>
      </c>
      <c r="BY23" s="5">
        <f>IFERROR(ROUND(BO23/BQ23,2),0)</f>
        <v/>
      </c>
      <c r="BZ23" s="5">
        <f>IFERROR(ROUND(BO23/BR23,2),0)</f>
        <v/>
      </c>
      <c r="CA23" s="2" t="inlineStr">
        <is>
          <t>2023-10-01</t>
        </is>
      </c>
      <c r="CB23" s="5">
        <f>ROUND(0.0,2)</f>
        <v/>
      </c>
      <c r="CC23" s="3">
        <f>ROUND(0.0,2)</f>
        <v/>
      </c>
      <c r="CD23" s="3">
        <f>ROUND(0.0,2)</f>
        <v/>
      </c>
      <c r="CE23" s="3">
        <f>ROUND(0.0,2)</f>
        <v/>
      </c>
      <c r="CF23" s="3">
        <f>ROUND(0.0,2)</f>
        <v/>
      </c>
      <c r="CG23" s="3">
        <f>ROUND(0.0,2)</f>
        <v/>
      </c>
      <c r="CH23" s="3">
        <f>ROUND(0.0,2)</f>
        <v/>
      </c>
      <c r="CI23" s="3">
        <f>ROUND(0.0,2)</f>
        <v/>
      </c>
      <c r="CJ23" s="4">
        <f>IFERROR((CD23/CC23),0)</f>
        <v/>
      </c>
      <c r="CK23" s="4">
        <f>IFERROR(((0+CB11+CB12+CB13+CB14+CB15+CB16+CB17+CB19+CB20+CB21+CB22+CB23)/T2),0)</f>
        <v/>
      </c>
      <c r="CL23" s="5">
        <f>IFERROR(ROUND(CB23/CD23,2),0)</f>
        <v/>
      </c>
      <c r="CM23" s="5">
        <f>IFERROR(ROUND(CB23/CE23,2),0)</f>
        <v/>
      </c>
      <c r="CN23" s="2" t="inlineStr">
        <is>
          <t>2023-10-01</t>
        </is>
      </c>
      <c r="CO23" s="5">
        <f>ROUND(0.0,2)</f>
        <v/>
      </c>
      <c r="CP23" s="3">
        <f>ROUND(0.0,2)</f>
        <v/>
      </c>
      <c r="CQ23" s="3">
        <f>ROUND(0.0,2)</f>
        <v/>
      </c>
      <c r="CR23" s="3">
        <f>ROUND(0.0,2)</f>
        <v/>
      </c>
      <c r="CS23" s="3">
        <f>ROUND(0.0,2)</f>
        <v/>
      </c>
      <c r="CT23" s="3">
        <f>ROUND(0.0,2)</f>
        <v/>
      </c>
      <c r="CU23" s="3">
        <f>ROUND(0.0,2)</f>
        <v/>
      </c>
      <c r="CV23" s="3">
        <f>ROUND(0.0,2)</f>
        <v/>
      </c>
      <c r="CW23" s="4">
        <f>IFERROR((CQ23/CP23),0)</f>
        <v/>
      </c>
      <c r="CX23" s="4">
        <f>IFERROR(((0+CO11+CO12+CO13+CO14+CO15+CO16+CO17+CO19+CO20+CO21+CO22+CO23)/T2),0)</f>
        <v/>
      </c>
      <c r="CY23" s="5">
        <f>IFERROR(ROUND(CO23/CQ23,2),0)</f>
        <v/>
      </c>
      <c r="CZ23" s="5">
        <f>IFERROR(ROUND(CO23/CR23,2),0)</f>
        <v/>
      </c>
      <c r="DA23" s="2" t="inlineStr">
        <is>
          <t>2023-10-01</t>
        </is>
      </c>
      <c r="DB23" s="5">
        <f>ROUND(0.0,2)</f>
        <v/>
      </c>
      <c r="DC23" s="3">
        <f>ROUND(0.0,2)</f>
        <v/>
      </c>
      <c r="DD23" s="3">
        <f>ROUND(0.0,2)</f>
        <v/>
      </c>
      <c r="DE23" s="3">
        <f>ROUND(0.0,2)</f>
        <v/>
      </c>
      <c r="DF23" s="3">
        <f>ROUND(0.0,2)</f>
        <v/>
      </c>
      <c r="DG23" s="3">
        <f>ROUND(0.0,2)</f>
        <v/>
      </c>
      <c r="DH23" s="3">
        <f>ROUND(0.0,2)</f>
        <v/>
      </c>
      <c r="DI23" s="3">
        <f>ROUND(0.0,2)</f>
        <v/>
      </c>
      <c r="DJ23" s="4">
        <f>IFERROR((DD23/DC23),0)</f>
        <v/>
      </c>
      <c r="DK23" s="4">
        <f>IFERROR(((0+DB11+DB12+DB13+DB14+DB15+DB16+DB17+DB19+DB20+DB21+DB22+DB23)/T2),0)</f>
        <v/>
      </c>
      <c r="DL23" s="5">
        <f>IFERROR(ROUND(DB23/DD23,2),0)</f>
        <v/>
      </c>
      <c r="DM23" s="5">
        <f>IFERROR(ROUND(DB23/DE23,2),0)</f>
        <v/>
      </c>
      <c r="DN23" s="2" t="inlineStr">
        <is>
          <t>2023-10-01</t>
        </is>
      </c>
      <c r="DO23" s="5">
        <f>ROUND(0.0,2)</f>
        <v/>
      </c>
      <c r="DP23" s="3">
        <f>ROUND(0.0,2)</f>
        <v/>
      </c>
      <c r="DQ23" s="3">
        <f>ROUND(0.0,2)</f>
        <v/>
      </c>
      <c r="DR23" s="3">
        <f>ROUND(0.0,2)</f>
        <v/>
      </c>
      <c r="DS23" s="3">
        <f>ROUND(0.0,2)</f>
        <v/>
      </c>
      <c r="DT23" s="3">
        <f>ROUND(0.0,2)</f>
        <v/>
      </c>
      <c r="DU23" s="3">
        <f>ROUND(0.0,2)</f>
        <v/>
      </c>
      <c r="DV23" s="3">
        <f>ROUND(0.0,2)</f>
        <v/>
      </c>
      <c r="DW23" s="4">
        <f>IFERROR((DQ23/DP23),0)</f>
        <v/>
      </c>
      <c r="DX23" s="4">
        <f>IFERROR(((0+DO11+DO12+DO13+DO14+DO15+DO16+DO17+DO19+DO20+DO21+DO22+DO23)/T2),0)</f>
        <v/>
      </c>
      <c r="DY23" s="5">
        <f>IFERROR(ROUND(DO23/DQ23,2),0)</f>
        <v/>
      </c>
      <c r="DZ23" s="5">
        <f>IFERROR(ROUND(DO23/DR23,2),0)</f>
        <v/>
      </c>
      <c r="EA23" s="2" t="inlineStr">
        <is>
          <t>2023-10-01</t>
        </is>
      </c>
      <c r="EB23" s="5">
        <f>ROUND(0.0,2)</f>
        <v/>
      </c>
      <c r="EC23" s="3">
        <f>ROUND(0.0,2)</f>
        <v/>
      </c>
      <c r="ED23" s="3">
        <f>ROUND(0.0,2)</f>
        <v/>
      </c>
      <c r="EE23" s="3">
        <f>ROUND(0.0,2)</f>
        <v/>
      </c>
      <c r="EF23" s="3">
        <f>ROUND(0.0,2)</f>
        <v/>
      </c>
      <c r="EG23" s="3">
        <f>ROUND(0.0,2)</f>
        <v/>
      </c>
      <c r="EH23" s="3">
        <f>ROUND(0.0,2)</f>
        <v/>
      </c>
      <c r="EI23" s="3">
        <f>ROUND(0.0,2)</f>
        <v/>
      </c>
      <c r="EJ23" s="4">
        <f>IFERROR((ED23/EC23),0)</f>
        <v/>
      </c>
      <c r="EK23" s="4">
        <f>IFERROR(((0+EB11+EB12+EB13+EB14+EB15+EB16+EB17+EB19+EB20+EB21+EB22+EB23)/T2),0)</f>
        <v/>
      </c>
      <c r="EL23" s="5">
        <f>IFERROR(ROUND(EB23/ED23,2),0)</f>
        <v/>
      </c>
      <c r="EM23" s="5">
        <f>IFERROR(ROUND(EB23/EE23,2),0)</f>
        <v/>
      </c>
      <c r="EN23" s="2" t="inlineStr">
        <is>
          <t>2023-10-01</t>
        </is>
      </c>
      <c r="EO23" s="5">
        <f>ROUND(0.0,2)</f>
        <v/>
      </c>
      <c r="EP23" s="3">
        <f>ROUND(0.0,2)</f>
        <v/>
      </c>
      <c r="EQ23" s="3">
        <f>ROUND(0.0,2)</f>
        <v/>
      </c>
      <c r="ER23" s="3">
        <f>ROUND(0.0,2)</f>
        <v/>
      </c>
      <c r="ES23" s="3">
        <f>ROUND(0.0,2)</f>
        <v/>
      </c>
      <c r="ET23" s="3">
        <f>ROUND(0.0,2)</f>
        <v/>
      </c>
      <c r="EU23" s="3">
        <f>ROUND(0.0,2)</f>
        <v/>
      </c>
      <c r="EV23" s="3">
        <f>ROUND(0.0,2)</f>
        <v/>
      </c>
      <c r="EW23" s="4">
        <f>IFERROR((EQ23/EP23),0)</f>
        <v/>
      </c>
      <c r="EX23" s="4">
        <f>IFERROR(((0+EO11+EO12+EO13+EO14+EO15+EO16+EO17+EO19+EO20+EO21+EO22+EO23)/T2),0)</f>
        <v/>
      </c>
      <c r="EY23" s="5">
        <f>IFERROR(ROUND(EO23/EQ23,2),0)</f>
        <v/>
      </c>
      <c r="EZ23" s="5">
        <f>IFERROR(ROUND(EO23/ER23,2),0)</f>
        <v/>
      </c>
      <c r="FA23" s="2" t="inlineStr">
        <is>
          <t>2023-10-01</t>
        </is>
      </c>
      <c r="FB23" s="5">
        <f>ROUND(0.0,2)</f>
        <v/>
      </c>
      <c r="FC23" s="3">
        <f>ROUND(0.0,2)</f>
        <v/>
      </c>
      <c r="FD23" s="3">
        <f>ROUND(0.0,2)</f>
        <v/>
      </c>
      <c r="FE23" s="3">
        <f>ROUND(0.0,2)</f>
        <v/>
      </c>
      <c r="FF23" s="3">
        <f>ROUND(0.0,2)</f>
        <v/>
      </c>
      <c r="FG23" s="3">
        <f>ROUND(0.0,2)</f>
        <v/>
      </c>
      <c r="FH23" s="3">
        <f>ROUND(0.0,2)</f>
        <v/>
      </c>
      <c r="FI23" s="3">
        <f>ROUND(0.0,2)</f>
        <v/>
      </c>
      <c r="FJ23" s="4">
        <f>IFERROR((FD23/FC23),0)</f>
        <v/>
      </c>
      <c r="FK23" s="4">
        <f>IFERROR(((0+FB11+FB12+FB13+FB14+FB15+FB16+FB17+FB19+FB20+FB21+FB22+FB23)/T2),0)</f>
        <v/>
      </c>
      <c r="FL23" s="5">
        <f>IFERROR(ROUND(FB23/FD23,2),0)</f>
        <v/>
      </c>
      <c r="FM23" s="5">
        <f>IFERROR(ROUND(FB23/FE23,2),0)</f>
        <v/>
      </c>
      <c r="FN23" s="2" t="inlineStr">
        <is>
          <t>2023-10-01</t>
        </is>
      </c>
      <c r="FO23" s="5">
        <f>ROUND(0.0,2)</f>
        <v/>
      </c>
      <c r="FP23" s="3">
        <f>ROUND(0.0,2)</f>
        <v/>
      </c>
      <c r="FQ23" s="3">
        <f>ROUND(0.0,2)</f>
        <v/>
      </c>
      <c r="FR23" s="3">
        <f>ROUND(0.0,2)</f>
        <v/>
      </c>
      <c r="FS23" s="3">
        <f>ROUND(0.0,2)</f>
        <v/>
      </c>
      <c r="FT23" s="3">
        <f>ROUND(0.0,2)</f>
        <v/>
      </c>
      <c r="FU23" s="3">
        <f>ROUND(0.0,2)</f>
        <v/>
      </c>
      <c r="FV23" s="3">
        <f>ROUND(0.0,2)</f>
        <v/>
      </c>
      <c r="FW23" s="4">
        <f>IFERROR((FQ23/FP23),0)</f>
        <v/>
      </c>
      <c r="FX23" s="4">
        <f>IFERROR(((0+FO11+FO12+FO13+FO14+FO15+FO16+FO17+FO19+FO20+FO21+FO22+FO23)/T2),0)</f>
        <v/>
      </c>
      <c r="FY23" s="5">
        <f>IFERROR(ROUND(FO23/FQ23,2),0)</f>
        <v/>
      </c>
      <c r="FZ23" s="5">
        <f>IFERROR(ROUND(FO23/FR23,2),0)</f>
        <v/>
      </c>
      <c r="GA23" s="2" t="inlineStr">
        <is>
          <t>2023-10-01</t>
        </is>
      </c>
      <c r="GB23" s="5">
        <f>ROUND(0.0,2)</f>
        <v/>
      </c>
      <c r="GC23" s="3">
        <f>ROUND(0.0,2)</f>
        <v/>
      </c>
      <c r="GD23" s="3">
        <f>ROUND(0.0,2)</f>
        <v/>
      </c>
      <c r="GE23" s="3">
        <f>ROUND(0.0,2)</f>
        <v/>
      </c>
      <c r="GF23" s="3">
        <f>ROUND(0.0,2)</f>
        <v/>
      </c>
      <c r="GG23" s="3">
        <f>ROUND(0.0,2)</f>
        <v/>
      </c>
      <c r="GH23" s="3">
        <f>ROUND(0.0,2)</f>
        <v/>
      </c>
      <c r="GI23" s="3">
        <f>ROUND(0.0,2)</f>
        <v/>
      </c>
      <c r="GJ23" s="4">
        <f>IFERROR((GD23/GC23),0)</f>
        <v/>
      </c>
      <c r="GK23" s="4">
        <f>IFERROR(((0+GB11+GB12+GB13+GB14+GB15+GB16+GB17+GB19+GB20+GB21+GB22+GB23)/T2),0)</f>
        <v/>
      </c>
      <c r="GL23" s="5">
        <f>IFERROR(ROUND(GB23/GD23,2),0)</f>
        <v/>
      </c>
      <c r="GM23" s="5">
        <f>IFERROR(ROUND(GB23/GE23,2),0)</f>
        <v/>
      </c>
      <c r="GN23" s="2" t="inlineStr">
        <is>
          <t>2023-10-01</t>
        </is>
      </c>
      <c r="GO23" s="5">
        <f>ROUND(0.0,2)</f>
        <v/>
      </c>
      <c r="GP23" s="3">
        <f>ROUND(0.0,2)</f>
        <v/>
      </c>
      <c r="GQ23" s="3">
        <f>ROUND(0.0,2)</f>
        <v/>
      </c>
      <c r="GR23" s="3">
        <f>ROUND(0.0,2)</f>
        <v/>
      </c>
      <c r="GS23" s="3">
        <f>ROUND(0.0,2)</f>
        <v/>
      </c>
      <c r="GT23" s="3">
        <f>ROUND(0.0,2)</f>
        <v/>
      </c>
      <c r="GU23" s="3">
        <f>ROUND(0.0,2)</f>
        <v/>
      </c>
      <c r="GV23" s="3">
        <f>ROUND(0.0,2)</f>
        <v/>
      </c>
      <c r="GW23" s="4">
        <f>IFERROR((GQ23/GP23),0)</f>
        <v/>
      </c>
      <c r="GX23" s="4">
        <f>IFERROR(((0+GO11+GO12+GO13+GO14+GO15+GO16+GO17+GO19+GO20+GO21+GO22+GO23)/T2),0)</f>
        <v/>
      </c>
      <c r="GY23" s="5">
        <f>IFERROR(ROUND(GO23/GQ23,2),0)</f>
        <v/>
      </c>
      <c r="GZ23" s="5">
        <f>IFERROR(ROUND(GO23/GR23,2),0)</f>
        <v/>
      </c>
      <c r="HA23" s="2" t="inlineStr">
        <is>
          <t>2023-10-01</t>
        </is>
      </c>
      <c r="HB23" s="5">
        <f>ROUND(0.0,2)</f>
        <v/>
      </c>
      <c r="HC23" s="3">
        <f>ROUND(0.0,2)</f>
        <v/>
      </c>
      <c r="HD23" s="3">
        <f>ROUND(0.0,2)</f>
        <v/>
      </c>
      <c r="HE23" s="3">
        <f>ROUND(0.0,2)</f>
        <v/>
      </c>
      <c r="HF23" s="3">
        <f>ROUND(0.0,2)</f>
        <v/>
      </c>
      <c r="HG23" s="3">
        <f>ROUND(0.0,2)</f>
        <v/>
      </c>
      <c r="HH23" s="3">
        <f>ROUND(0.0,2)</f>
        <v/>
      </c>
      <c r="HI23" s="3">
        <f>ROUND(0.0,2)</f>
        <v/>
      </c>
      <c r="HJ23" s="4">
        <f>IFERROR((HD23/HC23),0)</f>
        <v/>
      </c>
      <c r="HK23" s="4">
        <f>IFERROR(((0+HB11+HB12+HB13+HB14+HB15+HB16+HB17+HB19+HB20+HB21+HB22+HB23)/T2),0)</f>
        <v/>
      </c>
      <c r="HL23" s="5">
        <f>IFERROR(ROUND(HB23/HD23,2),0)</f>
        <v/>
      </c>
      <c r="HM23" s="5">
        <f>IFERROR(ROUND(HB23/HE23,2),0)</f>
        <v/>
      </c>
      <c r="HN23" s="2" t="inlineStr">
        <is>
          <t>2023-10-01</t>
        </is>
      </c>
      <c r="HO23" s="5">
        <f>ROUND(0.0,2)</f>
        <v/>
      </c>
      <c r="HP23" s="3">
        <f>ROUND(0.0,2)</f>
        <v/>
      </c>
      <c r="HQ23" s="3">
        <f>ROUND(0.0,2)</f>
        <v/>
      </c>
      <c r="HR23" s="3">
        <f>ROUND(0.0,2)</f>
        <v/>
      </c>
      <c r="HS23" s="3">
        <f>ROUND(0.0,2)</f>
        <v/>
      </c>
      <c r="HT23" s="3">
        <f>ROUND(0.0,2)</f>
        <v/>
      </c>
      <c r="HU23" s="3">
        <f>ROUND(0.0,2)</f>
        <v/>
      </c>
      <c r="HV23" s="3">
        <f>ROUND(0.0,2)</f>
        <v/>
      </c>
      <c r="HW23" s="4">
        <f>IFERROR((HQ23/HP23),0)</f>
        <v/>
      </c>
      <c r="HX23" s="4">
        <f>IFERROR(((0+HO11+HO12+HO13+HO14+HO15+HO16+HO17+HO19+HO20+HO21+HO22+HO23)/T2),0)</f>
        <v/>
      </c>
      <c r="HY23" s="5">
        <f>IFERROR(ROUND(HO23/HQ23,2),0)</f>
        <v/>
      </c>
      <c r="HZ23" s="5">
        <f>IFERROR(ROUND(HO23/HR23,2),0)</f>
        <v/>
      </c>
      <c r="IA23" s="2" t="inlineStr">
        <is>
          <t>2023-10-01</t>
        </is>
      </c>
      <c r="IB23" s="5">
        <f>ROUND(0.0,2)</f>
        <v/>
      </c>
      <c r="IC23" s="3">
        <f>ROUND(0.0,2)</f>
        <v/>
      </c>
      <c r="ID23" s="3">
        <f>ROUND(0.0,2)</f>
        <v/>
      </c>
      <c r="IE23" s="3">
        <f>ROUND(0.0,2)</f>
        <v/>
      </c>
      <c r="IF23" s="3">
        <f>ROUND(0.0,2)</f>
        <v/>
      </c>
      <c r="IG23" s="3">
        <f>ROUND(0.0,2)</f>
        <v/>
      </c>
      <c r="IH23" s="3">
        <f>ROUND(0.0,2)</f>
        <v/>
      </c>
      <c r="II23" s="3">
        <f>ROUND(0.0,2)</f>
        <v/>
      </c>
      <c r="IJ23" s="4">
        <f>IFERROR((ID23/IC23),0)</f>
        <v/>
      </c>
      <c r="IK23" s="4">
        <f>IFERROR(((0+IB11+IB12+IB13+IB14+IB15+IB16+IB17+IB19+IB20+IB21+IB22+IB23)/T2),0)</f>
        <v/>
      </c>
      <c r="IL23" s="5">
        <f>IFERROR(ROUND(IB23/ID23,2),0)</f>
        <v/>
      </c>
      <c r="IM23" s="5">
        <f>IFERROR(ROUND(IB23/IE23,2),0)</f>
        <v/>
      </c>
      <c r="IN23" s="2" t="inlineStr">
        <is>
          <t>2023-10-01</t>
        </is>
      </c>
      <c r="IO23" s="5">
        <f>ROUND(0.0,2)</f>
        <v/>
      </c>
      <c r="IP23" s="3">
        <f>ROUND(0.0,2)</f>
        <v/>
      </c>
      <c r="IQ23" s="3">
        <f>ROUND(0.0,2)</f>
        <v/>
      </c>
      <c r="IR23" s="3">
        <f>ROUND(0.0,2)</f>
        <v/>
      </c>
      <c r="IS23" s="3">
        <f>ROUND(0.0,2)</f>
        <v/>
      </c>
      <c r="IT23" s="3">
        <f>ROUND(0.0,2)</f>
        <v/>
      </c>
      <c r="IU23" s="3">
        <f>ROUND(0.0,2)</f>
        <v/>
      </c>
      <c r="IV23" s="3">
        <f>ROUND(0.0,2)</f>
        <v/>
      </c>
      <c r="IW23" s="4">
        <f>IFERROR((IQ23/IP23),0)</f>
        <v/>
      </c>
      <c r="IX23" s="4">
        <f>IFERROR(((0+IO11+IO12+IO13+IO14+IO15+IO16+IO17+IO19+IO20+IO21+IO22+IO23)/T2),0)</f>
        <v/>
      </c>
      <c r="IY23" s="5">
        <f>IFERROR(ROUND(IO23/IQ23,2),0)</f>
        <v/>
      </c>
      <c r="IZ23" s="5">
        <f>IFERROR(ROUND(IO23/IR23,2),0)</f>
        <v/>
      </c>
      <c r="JA23" s="2" t="inlineStr">
        <is>
          <t>2023-10-01</t>
        </is>
      </c>
      <c r="JB23" s="5">
        <f>ROUND(0.0,2)</f>
        <v/>
      </c>
      <c r="JC23" s="3">
        <f>ROUND(0.0,2)</f>
        <v/>
      </c>
      <c r="JD23" s="3">
        <f>ROUND(0.0,2)</f>
        <v/>
      </c>
      <c r="JE23" s="3">
        <f>ROUND(0.0,2)</f>
        <v/>
      </c>
      <c r="JF23" s="3">
        <f>ROUND(0.0,2)</f>
        <v/>
      </c>
      <c r="JG23" s="3">
        <f>ROUND(0.0,2)</f>
        <v/>
      </c>
      <c r="JH23" s="3">
        <f>ROUND(0.0,2)</f>
        <v/>
      </c>
      <c r="JI23" s="3">
        <f>ROUND(0.0,2)</f>
        <v/>
      </c>
      <c r="JJ23" s="4">
        <f>IFERROR((JD23/JC23),0)</f>
        <v/>
      </c>
      <c r="JK23" s="4">
        <f>IFERROR(((0+JB11+JB12+JB13+JB14+JB15+JB16+JB17+JB19+JB20+JB21+JB22+JB23)/T2),0)</f>
        <v/>
      </c>
      <c r="JL23" s="5">
        <f>IFERROR(ROUND(JB23/JD23,2),0)</f>
        <v/>
      </c>
      <c r="JM23" s="5">
        <f>IFERROR(ROUND(JB23/JE23,2),0)</f>
        <v/>
      </c>
    </row>
    <row r="24">
      <c r="A24" s="2" t="inlineStr">
        <is>
          <t>2023-10-02</t>
        </is>
      </c>
      <c r="B24" s="5">
        <f>ROUND(0.0,2)</f>
        <v/>
      </c>
      <c r="C24" s="3">
        <f>ROUND(0.0,2)</f>
        <v/>
      </c>
      <c r="D24" s="3">
        <f>ROUND(0.0,2)</f>
        <v/>
      </c>
      <c r="E24" s="3">
        <f>ROUND(0.0,2)</f>
        <v/>
      </c>
      <c r="F24" s="3">
        <f>ROUND(0.0,2)</f>
        <v/>
      </c>
      <c r="G24" s="3">
        <f>ROUND(0.0,2)</f>
        <v/>
      </c>
      <c r="H24" s="3">
        <f>ROUND(0.0,2)</f>
        <v/>
      </c>
      <c r="I24" s="3">
        <f>ROUND(0.0,2)</f>
        <v/>
      </c>
      <c r="J24" s="4">
        <f>IFERROR((D24/C24),0)</f>
        <v/>
      </c>
      <c r="K24" s="4">
        <f>IFERROR(((0+B11+B12+B13+B14+B15+B16+B17+B19+B20+B21+B22+B23+B24)/T2),0)</f>
        <v/>
      </c>
      <c r="L24" s="5">
        <f>IFERROR(ROUND(B24/D24,2),0)</f>
        <v/>
      </c>
      <c r="M24" s="5">
        <f>IFERROR(ROUND(B24/E24,2),0)</f>
        <v/>
      </c>
      <c r="N24" s="2" t="inlineStr">
        <is>
          <t>2023-10-02</t>
        </is>
      </c>
      <c r="O24" s="5">
        <f>ROUND(0.0,2)</f>
        <v/>
      </c>
      <c r="P24" s="3">
        <f>ROUND(0.0,2)</f>
        <v/>
      </c>
      <c r="Q24" s="3">
        <f>ROUND(0.0,2)</f>
        <v/>
      </c>
      <c r="R24" s="3">
        <f>ROUND(0.0,2)</f>
        <v/>
      </c>
      <c r="S24" s="3">
        <f>ROUND(0.0,2)</f>
        <v/>
      </c>
      <c r="T24" s="3">
        <f>ROUND(0.0,2)</f>
        <v/>
      </c>
      <c r="U24" s="3">
        <f>ROUND(0.0,2)</f>
        <v/>
      </c>
      <c r="V24" s="3">
        <f>ROUND(0.0,2)</f>
        <v/>
      </c>
      <c r="W24" s="4">
        <f>IFERROR((Q24/P24),0)</f>
        <v/>
      </c>
      <c r="X24" s="4">
        <f>IFERROR(((0+O11+O12+O13+O14+O15+O16+O17+O19+O20+O21+O22+O23+O24)/T2),0)</f>
        <v/>
      </c>
      <c r="Y24" s="5">
        <f>IFERROR(ROUND(O24/Q24,2),0)</f>
        <v/>
      </c>
      <c r="Z24" s="5">
        <f>IFERROR(ROUND(O24/R24,2),0)</f>
        <v/>
      </c>
      <c r="AA24" s="2" t="inlineStr">
        <is>
          <t>2023-10-02</t>
        </is>
      </c>
      <c r="AB24" s="5">
        <f>ROUND(0.0,2)</f>
        <v/>
      </c>
      <c r="AC24" s="3">
        <f>ROUND(0.0,2)</f>
        <v/>
      </c>
      <c r="AD24" s="3">
        <f>ROUND(0.0,2)</f>
        <v/>
      </c>
      <c r="AE24" s="3">
        <f>ROUND(0.0,2)</f>
        <v/>
      </c>
      <c r="AF24" s="3">
        <f>ROUND(0.0,2)</f>
        <v/>
      </c>
      <c r="AG24" s="3">
        <f>ROUND(0.0,2)</f>
        <v/>
      </c>
      <c r="AH24" s="3">
        <f>ROUND(0.0,2)</f>
        <v/>
      </c>
      <c r="AI24" s="3">
        <f>ROUND(0.0,2)</f>
        <v/>
      </c>
      <c r="AJ24" s="4">
        <f>IFERROR((AD24/AC24),0)</f>
        <v/>
      </c>
      <c r="AK24" s="4">
        <f>IFERROR(((0+AB11+AB12+AB13+AB14+AB15+AB16+AB17+AB19+AB20+AB21+AB22+AB23+AB24)/T2),0)</f>
        <v/>
      </c>
      <c r="AL24" s="5">
        <f>IFERROR(ROUND(AB24/AD24,2),0)</f>
        <v/>
      </c>
      <c r="AM24" s="5">
        <f>IFERROR(ROUND(AB24/AE24,2),0)</f>
        <v/>
      </c>
      <c r="AN24" s="2" t="inlineStr">
        <is>
          <t>2023-10-02</t>
        </is>
      </c>
      <c r="AO24" s="5">
        <f>ROUND(0.0,2)</f>
        <v/>
      </c>
      <c r="AP24" s="3">
        <f>ROUND(0.0,2)</f>
        <v/>
      </c>
      <c r="AQ24" s="3">
        <f>ROUND(0.0,2)</f>
        <v/>
      </c>
      <c r="AR24" s="3">
        <f>ROUND(0.0,2)</f>
        <v/>
      </c>
      <c r="AS24" s="3">
        <f>ROUND(0.0,2)</f>
        <v/>
      </c>
      <c r="AT24" s="3">
        <f>ROUND(0.0,2)</f>
        <v/>
      </c>
      <c r="AU24" s="3">
        <f>ROUND(0.0,2)</f>
        <v/>
      </c>
      <c r="AV24" s="3">
        <f>ROUND(0.0,2)</f>
        <v/>
      </c>
      <c r="AW24" s="4">
        <f>IFERROR((AQ24/AP24),0)</f>
        <v/>
      </c>
      <c r="AX24" s="4">
        <f>IFERROR(((0+AO11+AO12+AO13+AO14+AO15+AO16+AO17+AO19+AO20+AO21+AO22+AO23+AO24)/T2),0)</f>
        <v/>
      </c>
      <c r="AY24" s="5">
        <f>IFERROR(ROUND(AO24/AQ24,2),0)</f>
        <v/>
      </c>
      <c r="AZ24" s="5">
        <f>IFERROR(ROUND(AO24/AR24,2),0)</f>
        <v/>
      </c>
      <c r="BA24" s="2" t="inlineStr">
        <is>
          <t>2023-10-02</t>
        </is>
      </c>
      <c r="BB24" s="5">
        <f>ROUND(0.0,2)</f>
        <v/>
      </c>
      <c r="BC24" s="3">
        <f>ROUND(0.0,2)</f>
        <v/>
      </c>
      <c r="BD24" s="3">
        <f>ROUND(0.0,2)</f>
        <v/>
      </c>
      <c r="BE24" s="3">
        <f>ROUND(0.0,2)</f>
        <v/>
      </c>
      <c r="BF24" s="3">
        <f>ROUND(0.0,2)</f>
        <v/>
      </c>
      <c r="BG24" s="3">
        <f>ROUND(0.0,2)</f>
        <v/>
      </c>
      <c r="BH24" s="3">
        <f>ROUND(0.0,2)</f>
        <v/>
      </c>
      <c r="BI24" s="3">
        <f>ROUND(0.0,2)</f>
        <v/>
      </c>
      <c r="BJ24" s="4">
        <f>IFERROR((BD24/BC24),0)</f>
        <v/>
      </c>
      <c r="BK24" s="4">
        <f>IFERROR(((0+BB11+BB12+BB13+BB14+BB15+BB16+BB17+BB19+BB20+BB21+BB22+BB23+BB24)/T2),0)</f>
        <v/>
      </c>
      <c r="BL24" s="5">
        <f>IFERROR(ROUND(BB24/BD24,2),0)</f>
        <v/>
      </c>
      <c r="BM24" s="5">
        <f>IFERROR(ROUND(BB24/BE24,2),0)</f>
        <v/>
      </c>
      <c r="BN24" s="2" t="inlineStr">
        <is>
          <t>2023-10-02</t>
        </is>
      </c>
      <c r="BO24" s="5">
        <f>ROUND(0.0,2)</f>
        <v/>
      </c>
      <c r="BP24" s="3">
        <f>ROUND(0.0,2)</f>
        <v/>
      </c>
      <c r="BQ24" s="3">
        <f>ROUND(0.0,2)</f>
        <v/>
      </c>
      <c r="BR24" s="3">
        <f>ROUND(0.0,2)</f>
        <v/>
      </c>
      <c r="BS24" s="3">
        <f>ROUND(0.0,2)</f>
        <v/>
      </c>
      <c r="BT24" s="3">
        <f>ROUND(0.0,2)</f>
        <v/>
      </c>
      <c r="BU24" s="3">
        <f>ROUND(0.0,2)</f>
        <v/>
      </c>
      <c r="BV24" s="3">
        <f>ROUND(0.0,2)</f>
        <v/>
      </c>
      <c r="BW24" s="4">
        <f>IFERROR((BQ24/BP24),0)</f>
        <v/>
      </c>
      <c r="BX24" s="4">
        <f>IFERROR(((0+BO11+BO12+BO13+BO14+BO15+BO16+BO17+BO19+BO20+BO21+BO22+BO23+BO24)/T2),0)</f>
        <v/>
      </c>
      <c r="BY24" s="5">
        <f>IFERROR(ROUND(BO24/BQ24,2),0)</f>
        <v/>
      </c>
      <c r="BZ24" s="5">
        <f>IFERROR(ROUND(BO24/BR24,2),0)</f>
        <v/>
      </c>
      <c r="CA24" s="2" t="inlineStr">
        <is>
          <t>2023-10-02</t>
        </is>
      </c>
      <c r="CB24" s="5">
        <f>ROUND(0.0,2)</f>
        <v/>
      </c>
      <c r="CC24" s="3">
        <f>ROUND(0.0,2)</f>
        <v/>
      </c>
      <c r="CD24" s="3">
        <f>ROUND(0.0,2)</f>
        <v/>
      </c>
      <c r="CE24" s="3">
        <f>ROUND(0.0,2)</f>
        <v/>
      </c>
      <c r="CF24" s="3">
        <f>ROUND(0.0,2)</f>
        <v/>
      </c>
      <c r="CG24" s="3">
        <f>ROUND(0.0,2)</f>
        <v/>
      </c>
      <c r="CH24" s="3">
        <f>ROUND(0.0,2)</f>
        <v/>
      </c>
      <c r="CI24" s="3">
        <f>ROUND(0.0,2)</f>
        <v/>
      </c>
      <c r="CJ24" s="4">
        <f>IFERROR((CD24/CC24),0)</f>
        <v/>
      </c>
      <c r="CK24" s="4">
        <f>IFERROR(((0+CB11+CB12+CB13+CB14+CB15+CB16+CB17+CB19+CB20+CB21+CB22+CB23+CB24)/T2),0)</f>
        <v/>
      </c>
      <c r="CL24" s="5">
        <f>IFERROR(ROUND(CB24/CD24,2),0)</f>
        <v/>
      </c>
      <c r="CM24" s="5">
        <f>IFERROR(ROUND(CB24/CE24,2),0)</f>
        <v/>
      </c>
      <c r="CN24" s="2" t="inlineStr">
        <is>
          <t>2023-10-02</t>
        </is>
      </c>
      <c r="CO24" s="5">
        <f>ROUND(0.0,2)</f>
        <v/>
      </c>
      <c r="CP24" s="3">
        <f>ROUND(0.0,2)</f>
        <v/>
      </c>
      <c r="CQ24" s="3">
        <f>ROUND(0.0,2)</f>
        <v/>
      </c>
      <c r="CR24" s="3">
        <f>ROUND(0.0,2)</f>
        <v/>
      </c>
      <c r="CS24" s="3">
        <f>ROUND(0.0,2)</f>
        <v/>
      </c>
      <c r="CT24" s="3">
        <f>ROUND(0.0,2)</f>
        <v/>
      </c>
      <c r="CU24" s="3">
        <f>ROUND(0.0,2)</f>
        <v/>
      </c>
      <c r="CV24" s="3">
        <f>ROUND(0.0,2)</f>
        <v/>
      </c>
      <c r="CW24" s="4">
        <f>IFERROR((CQ24/CP24),0)</f>
        <v/>
      </c>
      <c r="CX24" s="4">
        <f>IFERROR(((0+CO11+CO12+CO13+CO14+CO15+CO16+CO17+CO19+CO20+CO21+CO22+CO23+CO24)/T2),0)</f>
        <v/>
      </c>
      <c r="CY24" s="5">
        <f>IFERROR(ROUND(CO24/CQ24,2),0)</f>
        <v/>
      </c>
      <c r="CZ24" s="5">
        <f>IFERROR(ROUND(CO24/CR24,2),0)</f>
        <v/>
      </c>
      <c r="DA24" s="2" t="inlineStr">
        <is>
          <t>2023-10-02</t>
        </is>
      </c>
      <c r="DB24" s="5">
        <f>ROUND(0.0,2)</f>
        <v/>
      </c>
      <c r="DC24" s="3">
        <f>ROUND(0.0,2)</f>
        <v/>
      </c>
      <c r="DD24" s="3">
        <f>ROUND(0.0,2)</f>
        <v/>
      </c>
      <c r="DE24" s="3">
        <f>ROUND(0.0,2)</f>
        <v/>
      </c>
      <c r="DF24" s="3">
        <f>ROUND(0.0,2)</f>
        <v/>
      </c>
      <c r="DG24" s="3">
        <f>ROUND(0.0,2)</f>
        <v/>
      </c>
      <c r="DH24" s="3">
        <f>ROUND(0.0,2)</f>
        <v/>
      </c>
      <c r="DI24" s="3">
        <f>ROUND(0.0,2)</f>
        <v/>
      </c>
      <c r="DJ24" s="4">
        <f>IFERROR((DD24/DC24),0)</f>
        <v/>
      </c>
      <c r="DK24" s="4">
        <f>IFERROR(((0+DB11+DB12+DB13+DB14+DB15+DB16+DB17+DB19+DB20+DB21+DB22+DB23+DB24)/T2),0)</f>
        <v/>
      </c>
      <c r="DL24" s="5">
        <f>IFERROR(ROUND(DB24/DD24,2),0)</f>
        <v/>
      </c>
      <c r="DM24" s="5">
        <f>IFERROR(ROUND(DB24/DE24,2),0)</f>
        <v/>
      </c>
      <c r="DN24" s="2" t="inlineStr">
        <is>
          <t>2023-10-02</t>
        </is>
      </c>
      <c r="DO24" s="5">
        <f>ROUND(0.0,2)</f>
        <v/>
      </c>
      <c r="DP24" s="3">
        <f>ROUND(0.0,2)</f>
        <v/>
      </c>
      <c r="DQ24" s="3">
        <f>ROUND(0.0,2)</f>
        <v/>
      </c>
      <c r="DR24" s="3">
        <f>ROUND(0.0,2)</f>
        <v/>
      </c>
      <c r="DS24" s="3">
        <f>ROUND(0.0,2)</f>
        <v/>
      </c>
      <c r="DT24" s="3">
        <f>ROUND(0.0,2)</f>
        <v/>
      </c>
      <c r="DU24" s="3">
        <f>ROUND(0.0,2)</f>
        <v/>
      </c>
      <c r="DV24" s="3">
        <f>ROUND(0.0,2)</f>
        <v/>
      </c>
      <c r="DW24" s="4">
        <f>IFERROR((DQ24/DP24),0)</f>
        <v/>
      </c>
      <c r="DX24" s="4">
        <f>IFERROR(((0+DO11+DO12+DO13+DO14+DO15+DO16+DO17+DO19+DO20+DO21+DO22+DO23+DO24)/T2),0)</f>
        <v/>
      </c>
      <c r="DY24" s="5">
        <f>IFERROR(ROUND(DO24/DQ24,2),0)</f>
        <v/>
      </c>
      <c r="DZ24" s="5">
        <f>IFERROR(ROUND(DO24/DR24,2),0)</f>
        <v/>
      </c>
      <c r="EA24" s="2" t="inlineStr">
        <is>
          <t>2023-10-02</t>
        </is>
      </c>
      <c r="EB24" s="5">
        <f>ROUND(0.0,2)</f>
        <v/>
      </c>
      <c r="EC24" s="3">
        <f>ROUND(0.0,2)</f>
        <v/>
      </c>
      <c r="ED24" s="3">
        <f>ROUND(0.0,2)</f>
        <v/>
      </c>
      <c r="EE24" s="3">
        <f>ROUND(0.0,2)</f>
        <v/>
      </c>
      <c r="EF24" s="3">
        <f>ROUND(0.0,2)</f>
        <v/>
      </c>
      <c r="EG24" s="3">
        <f>ROUND(0.0,2)</f>
        <v/>
      </c>
      <c r="EH24" s="3">
        <f>ROUND(0.0,2)</f>
        <v/>
      </c>
      <c r="EI24" s="3">
        <f>ROUND(0.0,2)</f>
        <v/>
      </c>
      <c r="EJ24" s="4">
        <f>IFERROR((ED24/EC24),0)</f>
        <v/>
      </c>
      <c r="EK24" s="4">
        <f>IFERROR(((0+EB11+EB12+EB13+EB14+EB15+EB16+EB17+EB19+EB20+EB21+EB22+EB23+EB24)/T2),0)</f>
        <v/>
      </c>
      <c r="EL24" s="5">
        <f>IFERROR(ROUND(EB24/ED24,2),0)</f>
        <v/>
      </c>
      <c r="EM24" s="5">
        <f>IFERROR(ROUND(EB24/EE24,2),0)</f>
        <v/>
      </c>
      <c r="EN24" s="2" t="inlineStr">
        <is>
          <t>2023-10-02</t>
        </is>
      </c>
      <c r="EO24" s="5">
        <f>ROUND(0.0,2)</f>
        <v/>
      </c>
      <c r="EP24" s="3">
        <f>ROUND(0.0,2)</f>
        <v/>
      </c>
      <c r="EQ24" s="3">
        <f>ROUND(0.0,2)</f>
        <v/>
      </c>
      <c r="ER24" s="3">
        <f>ROUND(0.0,2)</f>
        <v/>
      </c>
      <c r="ES24" s="3">
        <f>ROUND(0.0,2)</f>
        <v/>
      </c>
      <c r="ET24" s="3">
        <f>ROUND(0.0,2)</f>
        <v/>
      </c>
      <c r="EU24" s="3">
        <f>ROUND(0.0,2)</f>
        <v/>
      </c>
      <c r="EV24" s="3">
        <f>ROUND(0.0,2)</f>
        <v/>
      </c>
      <c r="EW24" s="4">
        <f>IFERROR((EQ24/EP24),0)</f>
        <v/>
      </c>
      <c r="EX24" s="4">
        <f>IFERROR(((0+EO11+EO12+EO13+EO14+EO15+EO16+EO17+EO19+EO20+EO21+EO22+EO23+EO24)/T2),0)</f>
        <v/>
      </c>
      <c r="EY24" s="5">
        <f>IFERROR(ROUND(EO24/EQ24,2),0)</f>
        <v/>
      </c>
      <c r="EZ24" s="5">
        <f>IFERROR(ROUND(EO24/ER24,2),0)</f>
        <v/>
      </c>
      <c r="FA24" s="2" t="inlineStr">
        <is>
          <t>2023-10-02</t>
        </is>
      </c>
      <c r="FB24" s="5">
        <f>ROUND(0.0,2)</f>
        <v/>
      </c>
      <c r="FC24" s="3">
        <f>ROUND(0.0,2)</f>
        <v/>
      </c>
      <c r="FD24" s="3">
        <f>ROUND(0.0,2)</f>
        <v/>
      </c>
      <c r="FE24" s="3">
        <f>ROUND(0.0,2)</f>
        <v/>
      </c>
      <c r="FF24" s="3">
        <f>ROUND(0.0,2)</f>
        <v/>
      </c>
      <c r="FG24" s="3">
        <f>ROUND(0.0,2)</f>
        <v/>
      </c>
      <c r="FH24" s="3">
        <f>ROUND(0.0,2)</f>
        <v/>
      </c>
      <c r="FI24" s="3">
        <f>ROUND(0.0,2)</f>
        <v/>
      </c>
      <c r="FJ24" s="4">
        <f>IFERROR((FD24/FC24),0)</f>
        <v/>
      </c>
      <c r="FK24" s="4">
        <f>IFERROR(((0+FB11+FB12+FB13+FB14+FB15+FB16+FB17+FB19+FB20+FB21+FB22+FB23+FB24)/T2),0)</f>
        <v/>
      </c>
      <c r="FL24" s="5">
        <f>IFERROR(ROUND(FB24/FD24,2),0)</f>
        <v/>
      </c>
      <c r="FM24" s="5">
        <f>IFERROR(ROUND(FB24/FE24,2),0)</f>
        <v/>
      </c>
      <c r="FN24" s="2" t="inlineStr">
        <is>
          <t>2023-10-02</t>
        </is>
      </c>
      <c r="FO24" s="5">
        <f>ROUND(0.0,2)</f>
        <v/>
      </c>
      <c r="FP24" s="3">
        <f>ROUND(0.0,2)</f>
        <v/>
      </c>
      <c r="FQ24" s="3">
        <f>ROUND(0.0,2)</f>
        <v/>
      </c>
      <c r="FR24" s="3">
        <f>ROUND(0.0,2)</f>
        <v/>
      </c>
      <c r="FS24" s="3">
        <f>ROUND(0.0,2)</f>
        <v/>
      </c>
      <c r="FT24" s="3">
        <f>ROUND(0.0,2)</f>
        <v/>
      </c>
      <c r="FU24" s="3">
        <f>ROUND(0.0,2)</f>
        <v/>
      </c>
      <c r="FV24" s="3">
        <f>ROUND(0.0,2)</f>
        <v/>
      </c>
      <c r="FW24" s="4">
        <f>IFERROR((FQ24/FP24),0)</f>
        <v/>
      </c>
      <c r="FX24" s="4">
        <f>IFERROR(((0+FO11+FO12+FO13+FO14+FO15+FO16+FO17+FO19+FO20+FO21+FO22+FO23+FO24)/T2),0)</f>
        <v/>
      </c>
      <c r="FY24" s="5">
        <f>IFERROR(ROUND(FO24/FQ24,2),0)</f>
        <v/>
      </c>
      <c r="FZ24" s="5">
        <f>IFERROR(ROUND(FO24/FR24,2),0)</f>
        <v/>
      </c>
      <c r="GA24" s="2" t="inlineStr">
        <is>
          <t>2023-10-02</t>
        </is>
      </c>
      <c r="GB24" s="5">
        <f>ROUND(0.0,2)</f>
        <v/>
      </c>
      <c r="GC24" s="3">
        <f>ROUND(0.0,2)</f>
        <v/>
      </c>
      <c r="GD24" s="3">
        <f>ROUND(0.0,2)</f>
        <v/>
      </c>
      <c r="GE24" s="3">
        <f>ROUND(0.0,2)</f>
        <v/>
      </c>
      <c r="GF24" s="3">
        <f>ROUND(0.0,2)</f>
        <v/>
      </c>
      <c r="GG24" s="3">
        <f>ROUND(0.0,2)</f>
        <v/>
      </c>
      <c r="GH24" s="3">
        <f>ROUND(0.0,2)</f>
        <v/>
      </c>
      <c r="GI24" s="3">
        <f>ROUND(0.0,2)</f>
        <v/>
      </c>
      <c r="GJ24" s="4">
        <f>IFERROR((GD24/GC24),0)</f>
        <v/>
      </c>
      <c r="GK24" s="4">
        <f>IFERROR(((0+GB11+GB12+GB13+GB14+GB15+GB16+GB17+GB19+GB20+GB21+GB22+GB23+GB24)/T2),0)</f>
        <v/>
      </c>
      <c r="GL24" s="5">
        <f>IFERROR(ROUND(GB24/GD24,2),0)</f>
        <v/>
      </c>
      <c r="GM24" s="5">
        <f>IFERROR(ROUND(GB24/GE24,2),0)</f>
        <v/>
      </c>
      <c r="GN24" s="2" t="inlineStr">
        <is>
          <t>2023-10-02</t>
        </is>
      </c>
      <c r="GO24" s="5">
        <f>ROUND(0.0,2)</f>
        <v/>
      </c>
      <c r="GP24" s="3">
        <f>ROUND(0.0,2)</f>
        <v/>
      </c>
      <c r="GQ24" s="3">
        <f>ROUND(0.0,2)</f>
        <v/>
      </c>
      <c r="GR24" s="3">
        <f>ROUND(0.0,2)</f>
        <v/>
      </c>
      <c r="GS24" s="3">
        <f>ROUND(0.0,2)</f>
        <v/>
      </c>
      <c r="GT24" s="3">
        <f>ROUND(0.0,2)</f>
        <v/>
      </c>
      <c r="GU24" s="3">
        <f>ROUND(0.0,2)</f>
        <v/>
      </c>
      <c r="GV24" s="3">
        <f>ROUND(0.0,2)</f>
        <v/>
      </c>
      <c r="GW24" s="4">
        <f>IFERROR((GQ24/GP24),0)</f>
        <v/>
      </c>
      <c r="GX24" s="4">
        <f>IFERROR(((0+GO11+GO12+GO13+GO14+GO15+GO16+GO17+GO19+GO20+GO21+GO22+GO23+GO24)/T2),0)</f>
        <v/>
      </c>
      <c r="GY24" s="5">
        <f>IFERROR(ROUND(GO24/GQ24,2),0)</f>
        <v/>
      </c>
      <c r="GZ24" s="5">
        <f>IFERROR(ROUND(GO24/GR24,2),0)</f>
        <v/>
      </c>
      <c r="HA24" s="2" t="inlineStr">
        <is>
          <t>2023-10-02</t>
        </is>
      </c>
      <c r="HB24" s="5">
        <f>ROUND(0.0,2)</f>
        <v/>
      </c>
      <c r="HC24" s="3">
        <f>ROUND(0.0,2)</f>
        <v/>
      </c>
      <c r="HD24" s="3">
        <f>ROUND(0.0,2)</f>
        <v/>
      </c>
      <c r="HE24" s="3">
        <f>ROUND(0.0,2)</f>
        <v/>
      </c>
      <c r="HF24" s="3">
        <f>ROUND(0.0,2)</f>
        <v/>
      </c>
      <c r="HG24" s="3">
        <f>ROUND(0.0,2)</f>
        <v/>
      </c>
      <c r="HH24" s="3">
        <f>ROUND(0.0,2)</f>
        <v/>
      </c>
      <c r="HI24" s="3">
        <f>ROUND(0.0,2)</f>
        <v/>
      </c>
      <c r="HJ24" s="4">
        <f>IFERROR((HD24/HC24),0)</f>
        <v/>
      </c>
      <c r="HK24" s="4">
        <f>IFERROR(((0+HB11+HB12+HB13+HB14+HB15+HB16+HB17+HB19+HB20+HB21+HB22+HB23+HB24)/T2),0)</f>
        <v/>
      </c>
      <c r="HL24" s="5">
        <f>IFERROR(ROUND(HB24/HD24,2),0)</f>
        <v/>
      </c>
      <c r="HM24" s="5">
        <f>IFERROR(ROUND(HB24/HE24,2),0)</f>
        <v/>
      </c>
      <c r="HN24" s="2" t="inlineStr">
        <is>
          <t>2023-10-02</t>
        </is>
      </c>
      <c r="HO24" s="5">
        <f>ROUND(0.0,2)</f>
        <v/>
      </c>
      <c r="HP24" s="3">
        <f>ROUND(0.0,2)</f>
        <v/>
      </c>
      <c r="HQ24" s="3">
        <f>ROUND(0.0,2)</f>
        <v/>
      </c>
      <c r="HR24" s="3">
        <f>ROUND(0.0,2)</f>
        <v/>
      </c>
      <c r="HS24" s="3">
        <f>ROUND(0.0,2)</f>
        <v/>
      </c>
      <c r="HT24" s="3">
        <f>ROUND(0.0,2)</f>
        <v/>
      </c>
      <c r="HU24" s="3">
        <f>ROUND(0.0,2)</f>
        <v/>
      </c>
      <c r="HV24" s="3">
        <f>ROUND(0.0,2)</f>
        <v/>
      </c>
      <c r="HW24" s="4">
        <f>IFERROR((HQ24/HP24),0)</f>
        <v/>
      </c>
      <c r="HX24" s="4">
        <f>IFERROR(((0+HO11+HO12+HO13+HO14+HO15+HO16+HO17+HO19+HO20+HO21+HO22+HO23+HO24)/T2),0)</f>
        <v/>
      </c>
      <c r="HY24" s="5">
        <f>IFERROR(ROUND(HO24/HQ24,2),0)</f>
        <v/>
      </c>
      <c r="HZ24" s="5">
        <f>IFERROR(ROUND(HO24/HR24,2),0)</f>
        <v/>
      </c>
      <c r="IA24" s="2" t="inlineStr">
        <is>
          <t>2023-10-02</t>
        </is>
      </c>
      <c r="IB24" s="5">
        <f>ROUND(0.0,2)</f>
        <v/>
      </c>
      <c r="IC24" s="3">
        <f>ROUND(0.0,2)</f>
        <v/>
      </c>
      <c r="ID24" s="3">
        <f>ROUND(0.0,2)</f>
        <v/>
      </c>
      <c r="IE24" s="3">
        <f>ROUND(0.0,2)</f>
        <v/>
      </c>
      <c r="IF24" s="3">
        <f>ROUND(0.0,2)</f>
        <v/>
      </c>
      <c r="IG24" s="3">
        <f>ROUND(0.0,2)</f>
        <v/>
      </c>
      <c r="IH24" s="3">
        <f>ROUND(0.0,2)</f>
        <v/>
      </c>
      <c r="II24" s="3">
        <f>ROUND(0.0,2)</f>
        <v/>
      </c>
      <c r="IJ24" s="4">
        <f>IFERROR((ID24/IC24),0)</f>
        <v/>
      </c>
      <c r="IK24" s="4">
        <f>IFERROR(((0+IB11+IB12+IB13+IB14+IB15+IB16+IB17+IB19+IB20+IB21+IB22+IB23+IB24)/T2),0)</f>
        <v/>
      </c>
      <c r="IL24" s="5">
        <f>IFERROR(ROUND(IB24/ID24,2),0)</f>
        <v/>
      </c>
      <c r="IM24" s="5">
        <f>IFERROR(ROUND(IB24/IE24,2),0)</f>
        <v/>
      </c>
      <c r="IN24" s="2" t="inlineStr">
        <is>
          <t>2023-10-02</t>
        </is>
      </c>
      <c r="IO24" s="5">
        <f>ROUND(0.0,2)</f>
        <v/>
      </c>
      <c r="IP24" s="3">
        <f>ROUND(0.0,2)</f>
        <v/>
      </c>
      <c r="IQ24" s="3">
        <f>ROUND(0.0,2)</f>
        <v/>
      </c>
      <c r="IR24" s="3">
        <f>ROUND(0.0,2)</f>
        <v/>
      </c>
      <c r="IS24" s="3">
        <f>ROUND(0.0,2)</f>
        <v/>
      </c>
      <c r="IT24" s="3">
        <f>ROUND(0.0,2)</f>
        <v/>
      </c>
      <c r="IU24" s="3">
        <f>ROUND(0.0,2)</f>
        <v/>
      </c>
      <c r="IV24" s="3">
        <f>ROUND(0.0,2)</f>
        <v/>
      </c>
      <c r="IW24" s="4">
        <f>IFERROR((IQ24/IP24),0)</f>
        <v/>
      </c>
      <c r="IX24" s="4">
        <f>IFERROR(((0+IO11+IO12+IO13+IO14+IO15+IO16+IO17+IO19+IO20+IO21+IO22+IO23+IO24)/T2),0)</f>
        <v/>
      </c>
      <c r="IY24" s="5">
        <f>IFERROR(ROUND(IO24/IQ24,2),0)</f>
        <v/>
      </c>
      <c r="IZ24" s="5">
        <f>IFERROR(ROUND(IO24/IR24,2),0)</f>
        <v/>
      </c>
      <c r="JA24" s="2" t="inlineStr">
        <is>
          <t>2023-10-02</t>
        </is>
      </c>
      <c r="JB24" s="5">
        <f>ROUND(0.0,2)</f>
        <v/>
      </c>
      <c r="JC24" s="3">
        <f>ROUND(0.0,2)</f>
        <v/>
      </c>
      <c r="JD24" s="3">
        <f>ROUND(0.0,2)</f>
        <v/>
      </c>
      <c r="JE24" s="3">
        <f>ROUND(0.0,2)</f>
        <v/>
      </c>
      <c r="JF24" s="3">
        <f>ROUND(0.0,2)</f>
        <v/>
      </c>
      <c r="JG24" s="3">
        <f>ROUND(0.0,2)</f>
        <v/>
      </c>
      <c r="JH24" s="3">
        <f>ROUND(0.0,2)</f>
        <v/>
      </c>
      <c r="JI24" s="3">
        <f>ROUND(0.0,2)</f>
        <v/>
      </c>
      <c r="JJ24" s="4">
        <f>IFERROR((JD24/JC24),0)</f>
        <v/>
      </c>
      <c r="JK24" s="4">
        <f>IFERROR(((0+JB11+JB12+JB13+JB14+JB15+JB16+JB17+JB19+JB20+JB21+JB22+JB23+JB24)/T2),0)</f>
        <v/>
      </c>
      <c r="JL24" s="5">
        <f>IFERROR(ROUND(JB24/JD24,2),0)</f>
        <v/>
      </c>
      <c r="JM24" s="5">
        <f>IFERROR(ROUND(JB24/JE24,2),0)</f>
        <v/>
      </c>
    </row>
    <row r="25">
      <c r="A25" s="2" t="inlineStr">
        <is>
          <t>2023-10-03</t>
        </is>
      </c>
      <c r="B25" s="5">
        <f>ROUND(47.379999999999995,2)</f>
        <v/>
      </c>
      <c r="C25" s="3">
        <f>ROUND(90072.0,2)</f>
        <v/>
      </c>
      <c r="D25" s="3">
        <f>ROUND(5748.0,2)</f>
        <v/>
      </c>
      <c r="E25" s="3">
        <f>ROUND(39010.0,2)</f>
        <v/>
      </c>
      <c r="F25" s="3">
        <f>ROUND(35982.0,2)</f>
        <v/>
      </c>
      <c r="G25" s="3">
        <f>ROUND(16387.0,2)</f>
        <v/>
      </c>
      <c r="H25" s="3">
        <f>ROUND(11209.0,2)</f>
        <v/>
      </c>
      <c r="I25" s="3">
        <f>ROUND(4840.0,2)</f>
        <v/>
      </c>
      <c r="J25" s="4">
        <f>IFERROR((D25/C25),0)</f>
        <v/>
      </c>
      <c r="K25" s="4">
        <f>IFERROR(((0+B11+B12+B13+B14+B15+B16+B17+B19+B20+B21+B22+B23+B24+B25)/T2),0)</f>
        <v/>
      </c>
      <c r="L25" s="5">
        <f>IFERROR(ROUND(B25/D25,2),0)</f>
        <v/>
      </c>
      <c r="M25" s="5">
        <f>IFERROR(ROUND(B25/E25,2),0)</f>
        <v/>
      </c>
      <c r="N25" s="2" t="inlineStr">
        <is>
          <t>2023-10-03</t>
        </is>
      </c>
      <c r="O25" s="5">
        <f>ROUND(1.12,2)</f>
        <v/>
      </c>
      <c r="P25" s="3">
        <f>ROUND(3079.0,2)</f>
        <v/>
      </c>
      <c r="Q25" s="3">
        <f>ROUND(147.0,2)</f>
        <v/>
      </c>
      <c r="R25" s="3">
        <f>ROUND(806.0,2)</f>
        <v/>
      </c>
      <c r="S25" s="3">
        <f>ROUND(706.0,2)</f>
        <v/>
      </c>
      <c r="T25" s="3">
        <f>ROUND(303.0,2)</f>
        <v/>
      </c>
      <c r="U25" s="3">
        <f>ROUND(207.0,2)</f>
        <v/>
      </c>
      <c r="V25" s="3">
        <f>ROUND(30.0,2)</f>
        <v/>
      </c>
      <c r="W25" s="4">
        <f>IFERROR((Q25/P25),0)</f>
        <v/>
      </c>
      <c r="X25" s="4">
        <f>IFERROR(((0+O11+O12+O13+O14+O15+O16+O17+O19+O20+O21+O22+O23+O24+O25)/T2),0)</f>
        <v/>
      </c>
      <c r="Y25" s="5">
        <f>IFERROR(ROUND(O25/Q25,2),0)</f>
        <v/>
      </c>
      <c r="Z25" s="5">
        <f>IFERROR(ROUND(O25/R25,2),0)</f>
        <v/>
      </c>
      <c r="AA25" s="2" t="inlineStr">
        <is>
          <t>2023-10-03</t>
        </is>
      </c>
      <c r="AB25" s="5">
        <f>ROUND(7.26,2)</f>
        <v/>
      </c>
      <c r="AC25" s="3">
        <f>ROUND(9502.0,2)</f>
        <v/>
      </c>
      <c r="AD25" s="3">
        <f>ROUND(906.0,2)</f>
        <v/>
      </c>
      <c r="AE25" s="3">
        <f>ROUND(6219.0,2)</f>
        <v/>
      </c>
      <c r="AF25" s="3">
        <f>ROUND(5848.0,2)</f>
        <v/>
      </c>
      <c r="AG25" s="3">
        <f>ROUND(2676.0,2)</f>
        <v/>
      </c>
      <c r="AH25" s="3">
        <f>ROUND(1986.0,2)</f>
        <v/>
      </c>
      <c r="AI25" s="3">
        <f>ROUND(150.0,2)</f>
        <v/>
      </c>
      <c r="AJ25" s="4">
        <f>IFERROR((AD25/AC25),0)</f>
        <v/>
      </c>
      <c r="AK25" s="4">
        <f>IFERROR(((0+AB11+AB12+AB13+AB14+AB15+AB16+AB17+AB19+AB20+AB21+AB22+AB23+AB24+AB25)/T2),0)</f>
        <v/>
      </c>
      <c r="AL25" s="5">
        <f>IFERROR(ROUND(AB25/AD25,2),0)</f>
        <v/>
      </c>
      <c r="AM25" s="5">
        <f>IFERROR(ROUND(AB25/AE25,2),0)</f>
        <v/>
      </c>
      <c r="AN25" s="2" t="inlineStr">
        <is>
          <t>2023-10-03</t>
        </is>
      </c>
      <c r="AO25" s="5">
        <f>ROUND(0.53,2)</f>
        <v/>
      </c>
      <c r="AP25" s="3">
        <f>ROUND(834.0,2)</f>
        <v/>
      </c>
      <c r="AQ25" s="3">
        <f>ROUND(67.0,2)</f>
        <v/>
      </c>
      <c r="AR25" s="3">
        <f>ROUND(502.0,2)</f>
        <v/>
      </c>
      <c r="AS25" s="3">
        <f>ROUND(476.0,2)</f>
        <v/>
      </c>
      <c r="AT25" s="3">
        <f>ROUND(225.0,2)</f>
        <v/>
      </c>
      <c r="AU25" s="3">
        <f>ROUND(177.0,2)</f>
        <v/>
      </c>
      <c r="AV25" s="3">
        <f>ROUND(150.0,2)</f>
        <v/>
      </c>
      <c r="AW25" s="4">
        <f>IFERROR((AQ25/AP25),0)</f>
        <v/>
      </c>
      <c r="AX25" s="4">
        <f>IFERROR(((0+AO11+AO12+AO13+AO14+AO15+AO16+AO17+AO19+AO20+AO21+AO22+AO23+AO24+AO25)/T2),0)</f>
        <v/>
      </c>
      <c r="AY25" s="5">
        <f>IFERROR(ROUND(AO25/AQ25,2),0)</f>
        <v/>
      </c>
      <c r="AZ25" s="5">
        <f>IFERROR(ROUND(AO25/AR25,2),0)</f>
        <v/>
      </c>
      <c r="BA25" s="2" t="inlineStr">
        <is>
          <t>2023-10-03</t>
        </is>
      </c>
      <c r="BB25" s="5">
        <f>ROUND(4.77,2)</f>
        <v/>
      </c>
      <c r="BC25" s="3">
        <f>ROUND(14107.0,2)</f>
        <v/>
      </c>
      <c r="BD25" s="3">
        <f>ROUND(703.0,2)</f>
        <v/>
      </c>
      <c r="BE25" s="3">
        <f>ROUND(3993.0,2)</f>
        <v/>
      </c>
      <c r="BF25" s="3">
        <f>ROUND(3361.0,2)</f>
        <v/>
      </c>
      <c r="BG25" s="3">
        <f>ROUND(1545.0,2)</f>
        <v/>
      </c>
      <c r="BH25" s="3">
        <f>ROUND(969.0,2)</f>
        <v/>
      </c>
      <c r="BI25" s="3">
        <f>ROUND(291.0,2)</f>
        <v/>
      </c>
      <c r="BJ25" s="4">
        <f>IFERROR((BD25/BC25),0)</f>
        <v/>
      </c>
      <c r="BK25" s="4">
        <f>IFERROR(((0+BB11+BB12+BB13+BB14+BB15+BB16+BB17+BB19+BB20+BB21+BB22+BB23+BB24+BB25)/T2),0)</f>
        <v/>
      </c>
      <c r="BL25" s="5">
        <f>IFERROR(ROUND(BB25/BD25,2),0)</f>
        <v/>
      </c>
      <c r="BM25" s="5">
        <f>IFERROR(ROUND(BB25/BE25,2),0)</f>
        <v/>
      </c>
      <c r="BN25" s="2" t="inlineStr">
        <is>
          <t>2023-10-03</t>
        </is>
      </c>
      <c r="BO25" s="5">
        <f>ROUND(2.06,2)</f>
        <v/>
      </c>
      <c r="BP25" s="3">
        <f>ROUND(6229.0,2)</f>
        <v/>
      </c>
      <c r="BQ25" s="3">
        <f>ROUND(321.0,2)</f>
        <v/>
      </c>
      <c r="BR25" s="3">
        <f>ROUND(1784.0,2)</f>
        <v/>
      </c>
      <c r="BS25" s="3">
        <f>ROUND(1593.0,2)</f>
        <v/>
      </c>
      <c r="BT25" s="3">
        <f>ROUND(890.0,2)</f>
        <v/>
      </c>
      <c r="BU25" s="3">
        <f>ROUND(687.0,2)</f>
        <v/>
      </c>
      <c r="BV25" s="3">
        <f>ROUND(438.0,2)</f>
        <v/>
      </c>
      <c r="BW25" s="4">
        <f>IFERROR((BQ25/BP25),0)</f>
        <v/>
      </c>
      <c r="BX25" s="4">
        <f>IFERROR(((0+BO11+BO12+BO13+BO14+BO15+BO16+BO17+BO19+BO20+BO21+BO22+BO23+BO24+BO25)/T2),0)</f>
        <v/>
      </c>
      <c r="BY25" s="5">
        <f>IFERROR(ROUND(BO25/BQ25,2),0)</f>
        <v/>
      </c>
      <c r="BZ25" s="5">
        <f>IFERROR(ROUND(BO25/BR25,2),0)</f>
        <v/>
      </c>
      <c r="CA25" s="2" t="inlineStr">
        <is>
          <t>2023-10-03</t>
        </is>
      </c>
      <c r="CB25" s="5">
        <f>ROUND(2.84,2)</f>
        <v/>
      </c>
      <c r="CC25" s="3">
        <f>ROUND(4637.0,2)</f>
        <v/>
      </c>
      <c r="CD25" s="3">
        <f>ROUND(346.0,2)</f>
        <v/>
      </c>
      <c r="CE25" s="3">
        <f>ROUND(2671.0,2)</f>
        <v/>
      </c>
      <c r="CF25" s="3">
        <f>ROUND(2511.0,2)</f>
        <v/>
      </c>
      <c r="CG25" s="3">
        <f>ROUND(1034.0,2)</f>
        <v/>
      </c>
      <c r="CH25" s="3">
        <f>ROUND(718.0,2)</f>
        <v/>
      </c>
      <c r="CI25" s="3">
        <f>ROUND(53.0,2)</f>
        <v/>
      </c>
      <c r="CJ25" s="4">
        <f>IFERROR((CD25/CC25),0)</f>
        <v/>
      </c>
      <c r="CK25" s="4">
        <f>IFERROR(((0+CB11+CB12+CB13+CB14+CB15+CB16+CB17+CB19+CB20+CB21+CB22+CB23+CB24+CB25)/T2),0)</f>
        <v/>
      </c>
      <c r="CL25" s="5">
        <f>IFERROR(ROUND(CB25/CD25,2),0)</f>
        <v/>
      </c>
      <c r="CM25" s="5">
        <f>IFERROR(ROUND(CB25/CE25,2),0)</f>
        <v/>
      </c>
      <c r="CN25" s="2" t="inlineStr">
        <is>
          <t>2023-10-03</t>
        </is>
      </c>
      <c r="CO25" s="5">
        <f>ROUND(10.98,2)</f>
        <v/>
      </c>
      <c r="CP25" s="3">
        <f>ROUND(18431.0,2)</f>
        <v/>
      </c>
      <c r="CQ25" s="3">
        <f>ROUND(1490.0,2)</f>
        <v/>
      </c>
      <c r="CR25" s="3">
        <f>ROUND(13865.0,2)</f>
        <v/>
      </c>
      <c r="CS25" s="3">
        <f>ROUND(13490.0,2)</f>
        <v/>
      </c>
      <c r="CT25" s="3">
        <f>ROUND(5502.0,2)</f>
        <v/>
      </c>
      <c r="CU25" s="3">
        <f>ROUND(3238.0,2)</f>
        <v/>
      </c>
      <c r="CV25" s="3">
        <f>ROUND(2241.0,2)</f>
        <v/>
      </c>
      <c r="CW25" s="4">
        <f>IFERROR((CQ25/CP25),0)</f>
        <v/>
      </c>
      <c r="CX25" s="4">
        <f>IFERROR(((0+CO11+CO12+CO13+CO14+CO15+CO16+CO17+CO19+CO20+CO21+CO22+CO23+CO24+CO25)/T2),0)</f>
        <v/>
      </c>
      <c r="CY25" s="5">
        <f>IFERROR(ROUND(CO25/CQ25,2),0)</f>
        <v/>
      </c>
      <c r="CZ25" s="5">
        <f>IFERROR(ROUND(CO25/CR25,2),0)</f>
        <v/>
      </c>
      <c r="DA25" s="2" t="inlineStr">
        <is>
          <t>2023-10-03</t>
        </is>
      </c>
      <c r="DB25" s="5">
        <f>ROUND(1.1,2)</f>
        <v/>
      </c>
      <c r="DC25" s="3">
        <f>ROUND(2232.0,2)</f>
        <v/>
      </c>
      <c r="DD25" s="3">
        <f>ROUND(160.0,2)</f>
        <v/>
      </c>
      <c r="DE25" s="3">
        <f>ROUND(561.0,2)</f>
        <v/>
      </c>
      <c r="DF25" s="3">
        <f>ROUND(451.0,2)</f>
        <v/>
      </c>
      <c r="DG25" s="3">
        <f>ROUND(157.0,2)</f>
        <v/>
      </c>
      <c r="DH25" s="3">
        <f>ROUND(54.0,2)</f>
        <v/>
      </c>
      <c r="DI25" s="3">
        <f>ROUND(19.0,2)</f>
        <v/>
      </c>
      <c r="DJ25" s="4">
        <f>IFERROR((DD25/DC25),0)</f>
        <v/>
      </c>
      <c r="DK25" s="4">
        <f>IFERROR(((0+DB11+DB12+DB13+DB14+DB15+DB16+DB17+DB19+DB20+DB21+DB22+DB23+DB24+DB25)/T2),0)</f>
        <v/>
      </c>
      <c r="DL25" s="5">
        <f>IFERROR(ROUND(DB25/DD25,2),0)</f>
        <v/>
      </c>
      <c r="DM25" s="5">
        <f>IFERROR(ROUND(DB25/DE25,2),0)</f>
        <v/>
      </c>
      <c r="DN25" s="2" t="inlineStr">
        <is>
          <t>2023-10-03</t>
        </is>
      </c>
      <c r="DO25" s="5">
        <f>ROUND(1.69,2)</f>
        <v/>
      </c>
      <c r="DP25" s="3">
        <f>ROUND(4084.0,2)</f>
        <v/>
      </c>
      <c r="DQ25" s="3">
        <f>ROUND(263.0,2)</f>
        <v/>
      </c>
      <c r="DR25" s="3">
        <f>ROUND(893.0,2)</f>
        <v/>
      </c>
      <c r="DS25" s="3">
        <f>ROUND(785.0,2)</f>
        <v/>
      </c>
      <c r="DT25" s="3">
        <f>ROUND(344.0,2)</f>
        <v/>
      </c>
      <c r="DU25" s="3">
        <f>ROUND(236.0,2)</f>
        <v/>
      </c>
      <c r="DV25" s="3">
        <f>ROUND(67.0,2)</f>
        <v/>
      </c>
      <c r="DW25" s="4">
        <f>IFERROR((DQ25/DP25),0)</f>
        <v/>
      </c>
      <c r="DX25" s="4">
        <f>IFERROR(((0+DO11+DO12+DO13+DO14+DO15+DO16+DO17+DO19+DO20+DO21+DO22+DO23+DO24+DO25)/T2),0)</f>
        <v/>
      </c>
      <c r="DY25" s="5">
        <f>IFERROR(ROUND(DO25/DQ25,2),0)</f>
        <v/>
      </c>
      <c r="DZ25" s="5">
        <f>IFERROR(ROUND(DO25/DR25,2),0)</f>
        <v/>
      </c>
      <c r="EA25" s="2" t="inlineStr">
        <is>
          <t>2023-10-03</t>
        </is>
      </c>
      <c r="EB25" s="5">
        <f>ROUND(0.58,2)</f>
        <v/>
      </c>
      <c r="EC25" s="3">
        <f>ROUND(1244.0,2)</f>
        <v/>
      </c>
      <c r="ED25" s="3">
        <f>ROUND(84.0,2)</f>
        <v/>
      </c>
      <c r="EE25" s="3">
        <f>ROUND(440.0,2)</f>
        <v/>
      </c>
      <c r="EF25" s="3">
        <f>ROUND(361.0,2)</f>
        <v/>
      </c>
      <c r="EG25" s="3">
        <f>ROUND(178.0,2)</f>
        <v/>
      </c>
      <c r="EH25" s="3">
        <f>ROUND(156.0,2)</f>
        <v/>
      </c>
      <c r="EI25" s="3">
        <f>ROUND(16.0,2)</f>
        <v/>
      </c>
      <c r="EJ25" s="4">
        <f>IFERROR((ED25/EC25),0)</f>
        <v/>
      </c>
      <c r="EK25" s="4">
        <f>IFERROR(((0+EB11+EB12+EB13+EB14+EB15+EB16+EB17+EB19+EB20+EB21+EB22+EB23+EB24+EB25)/T2),0)</f>
        <v/>
      </c>
      <c r="EL25" s="5">
        <f>IFERROR(ROUND(EB25/ED25,2),0)</f>
        <v/>
      </c>
      <c r="EM25" s="5">
        <f>IFERROR(ROUND(EB25/EE25,2),0)</f>
        <v/>
      </c>
      <c r="EN25" s="2" t="inlineStr">
        <is>
          <t>2023-10-03</t>
        </is>
      </c>
      <c r="EO25" s="5">
        <f>ROUND(0.66,2)</f>
        <v/>
      </c>
      <c r="EP25" s="3">
        <f>ROUND(1293.0,2)</f>
        <v/>
      </c>
      <c r="EQ25" s="3">
        <f>ROUND(78.0,2)</f>
        <v/>
      </c>
      <c r="ER25" s="3">
        <f>ROUND(228.0,2)</f>
        <v/>
      </c>
      <c r="ES25" s="3">
        <f>ROUND(169.0,2)</f>
        <v/>
      </c>
      <c r="ET25" s="3">
        <f>ROUND(65.0,2)</f>
        <v/>
      </c>
      <c r="EU25" s="3">
        <f>ROUND(20.0,2)</f>
        <v/>
      </c>
      <c r="EV25" s="3">
        <f>ROUND(7.0,2)</f>
        <v/>
      </c>
      <c r="EW25" s="4">
        <f>IFERROR((EQ25/EP25),0)</f>
        <v/>
      </c>
      <c r="EX25" s="4">
        <f>IFERROR(((0+EO11+EO12+EO13+EO14+EO15+EO16+EO17+EO19+EO20+EO21+EO22+EO23+EO24+EO25)/T2),0)</f>
        <v/>
      </c>
      <c r="EY25" s="5">
        <f>IFERROR(ROUND(EO25/EQ25,2),0)</f>
        <v/>
      </c>
      <c r="EZ25" s="5">
        <f>IFERROR(ROUND(EO25/ER25,2),0)</f>
        <v/>
      </c>
      <c r="FA25" s="2" t="inlineStr">
        <is>
          <t>2023-10-03</t>
        </is>
      </c>
      <c r="FB25" s="5">
        <f>ROUND(2.34,2)</f>
        <v/>
      </c>
      <c r="FC25" s="3">
        <f>ROUND(3507.0,2)</f>
        <v/>
      </c>
      <c r="FD25" s="3">
        <f>ROUND(192.0,2)</f>
        <v/>
      </c>
      <c r="FE25" s="3">
        <f>ROUND(926.0,2)</f>
        <v/>
      </c>
      <c r="FF25" s="3">
        <f>ROUND(863.0,2)</f>
        <v/>
      </c>
      <c r="FG25" s="3">
        <f>ROUND(430.0,2)</f>
        <v/>
      </c>
      <c r="FH25" s="3">
        <f>ROUND(330.0,2)</f>
        <v/>
      </c>
      <c r="FI25" s="3">
        <f>ROUND(76.0,2)</f>
        <v/>
      </c>
      <c r="FJ25" s="4">
        <f>IFERROR((FD25/FC25),0)</f>
        <v/>
      </c>
      <c r="FK25" s="4">
        <f>IFERROR(((0+FB11+FB12+FB13+FB14+FB15+FB16+FB17+FB19+FB20+FB21+FB22+FB23+FB24+FB25)/T2),0)</f>
        <v/>
      </c>
      <c r="FL25" s="5">
        <f>IFERROR(ROUND(FB25/FD25,2),0)</f>
        <v/>
      </c>
      <c r="FM25" s="5">
        <f>IFERROR(ROUND(FB25/FE25,2),0)</f>
        <v/>
      </c>
      <c r="FN25" s="2" t="inlineStr">
        <is>
          <t>2023-10-03</t>
        </is>
      </c>
      <c r="FO25" s="5">
        <f>ROUND(0.2,2)</f>
        <v/>
      </c>
      <c r="FP25" s="3">
        <f>ROUND(378.0,2)</f>
        <v/>
      </c>
      <c r="FQ25" s="3">
        <f>ROUND(26.0,2)</f>
        <v/>
      </c>
      <c r="FR25" s="3">
        <f>ROUND(117.0,2)</f>
        <v/>
      </c>
      <c r="FS25" s="3">
        <f>ROUND(101.0,2)</f>
        <v/>
      </c>
      <c r="FT25" s="3">
        <f>ROUND(48.0,2)</f>
        <v/>
      </c>
      <c r="FU25" s="3">
        <f>ROUND(34.0,2)</f>
        <v/>
      </c>
      <c r="FV25" s="3">
        <f>ROUND(3.0,2)</f>
        <v/>
      </c>
      <c r="FW25" s="4">
        <f>IFERROR((FQ25/FP25),0)</f>
        <v/>
      </c>
      <c r="FX25" s="4">
        <f>IFERROR(((0+FO11+FO12+FO13+FO14+FO15+FO16+FO17+FO19+FO20+FO21+FO22+FO23+FO24+FO25)/T2),0)</f>
        <v/>
      </c>
      <c r="FY25" s="5">
        <f>IFERROR(ROUND(FO25/FQ25,2),0)</f>
        <v/>
      </c>
      <c r="FZ25" s="5">
        <f>IFERROR(ROUND(FO25/FR25,2),0)</f>
        <v/>
      </c>
      <c r="GA25" s="2" t="inlineStr">
        <is>
          <t>2023-10-03</t>
        </is>
      </c>
      <c r="GB25" s="5">
        <f>ROUND(0.73,2)</f>
        <v/>
      </c>
      <c r="GC25" s="3">
        <f>ROUND(1914.0,2)</f>
        <v/>
      </c>
      <c r="GD25" s="3">
        <f>ROUND(71.0,2)</f>
        <v/>
      </c>
      <c r="GE25" s="3">
        <f>ROUND(348.0,2)</f>
        <v/>
      </c>
      <c r="GF25" s="3">
        <f>ROUND(286.0,2)</f>
        <v/>
      </c>
      <c r="GG25" s="3">
        <f>ROUND(140.0,2)</f>
        <v/>
      </c>
      <c r="GH25" s="3">
        <f>ROUND(86.0,2)</f>
        <v/>
      </c>
      <c r="GI25" s="3">
        <f>ROUND(24.0,2)</f>
        <v/>
      </c>
      <c r="GJ25" s="4">
        <f>IFERROR((GD25/GC25),0)</f>
        <v/>
      </c>
      <c r="GK25" s="4">
        <f>IFERROR(((0+GB11+GB12+GB13+GB14+GB15+GB16+GB17+GB19+GB20+GB21+GB22+GB23+GB24+GB25)/T2),0)</f>
        <v/>
      </c>
      <c r="GL25" s="5">
        <f>IFERROR(ROUND(GB25/GD25,2),0)</f>
        <v/>
      </c>
      <c r="GM25" s="5">
        <f>IFERROR(ROUND(GB25/GE25,2),0)</f>
        <v/>
      </c>
      <c r="GN25" s="2" t="inlineStr">
        <is>
          <t>2023-10-03</t>
        </is>
      </c>
      <c r="GO25" s="5">
        <f>ROUND(3.21,2)</f>
        <v/>
      </c>
      <c r="GP25" s="3">
        <f>ROUND(6011.0,2)</f>
        <v/>
      </c>
      <c r="GQ25" s="3">
        <f>ROUND(300.0,2)</f>
        <v/>
      </c>
      <c r="GR25" s="3">
        <f>ROUND(1751.0,2)</f>
        <v/>
      </c>
      <c r="GS25" s="3">
        <f>ROUND(1540.0,2)</f>
        <v/>
      </c>
      <c r="GT25" s="3">
        <f>ROUND(727.0,2)</f>
        <v/>
      </c>
      <c r="GU25" s="3">
        <f>ROUND(525.0,2)</f>
        <v/>
      </c>
      <c r="GV25" s="3">
        <f>ROUND(434.0,2)</f>
        <v/>
      </c>
      <c r="GW25" s="4">
        <f>IFERROR((GQ25/GP25),0)</f>
        <v/>
      </c>
      <c r="GX25" s="4">
        <f>IFERROR(((0+GO11+GO12+GO13+GO14+GO15+GO16+GO17+GO19+GO20+GO21+GO22+GO23+GO24+GO25)/T2),0)</f>
        <v/>
      </c>
      <c r="GY25" s="5">
        <f>IFERROR(ROUND(GO25/GQ25,2),0)</f>
        <v/>
      </c>
      <c r="GZ25" s="5">
        <f>IFERROR(ROUND(GO25/GR25,2),0)</f>
        <v/>
      </c>
      <c r="HA25" s="2" t="inlineStr">
        <is>
          <t>2023-10-03</t>
        </is>
      </c>
      <c r="HB25" s="5">
        <f>ROUND(2.4,2)</f>
        <v/>
      </c>
      <c r="HC25" s="3">
        <f>ROUND(3264.0,2)</f>
        <v/>
      </c>
      <c r="HD25" s="3">
        <f>ROUND(217.0,2)</f>
        <v/>
      </c>
      <c r="HE25" s="3">
        <f>ROUND(1446.0,2)</f>
        <v/>
      </c>
      <c r="HF25" s="3">
        <f>ROUND(1226.0,2)</f>
        <v/>
      </c>
      <c r="HG25" s="3">
        <f>ROUND(731.0,2)</f>
        <v/>
      </c>
      <c r="HH25" s="3">
        <f>ROUND(647.0,2)</f>
        <v/>
      </c>
      <c r="HI25" s="3">
        <f>ROUND(40.0,2)</f>
        <v/>
      </c>
      <c r="HJ25" s="4">
        <f>IFERROR((HD25/HC25),0)</f>
        <v/>
      </c>
      <c r="HK25" s="4">
        <f>IFERROR(((0+HB11+HB12+HB13+HB14+HB15+HB16+HB17+HB19+HB20+HB21+HB22+HB23+HB24+HB25)/T2),0)</f>
        <v/>
      </c>
      <c r="HL25" s="5">
        <f>IFERROR(ROUND(HB25/HD25,2),0)</f>
        <v/>
      </c>
      <c r="HM25" s="5">
        <f>IFERROR(ROUND(HB25/HE25,2),0)</f>
        <v/>
      </c>
      <c r="HN25" s="2" t="inlineStr">
        <is>
          <t>2023-10-03</t>
        </is>
      </c>
      <c r="HO25" s="5">
        <f>ROUND(1.08,2)</f>
        <v/>
      </c>
      <c r="HP25" s="3">
        <f>ROUND(1249.0,2)</f>
        <v/>
      </c>
      <c r="HQ25" s="3">
        <f>ROUND(79.0,2)</f>
        <v/>
      </c>
      <c r="HR25" s="3">
        <f>ROUND(581.0,2)</f>
        <v/>
      </c>
      <c r="HS25" s="3">
        <f>ROUND(541.0,2)</f>
        <v/>
      </c>
      <c r="HT25" s="3">
        <f>ROUND(347.0,2)</f>
        <v/>
      </c>
      <c r="HU25" s="3">
        <f>ROUND(290.0,2)</f>
        <v/>
      </c>
      <c r="HV25" s="3">
        <f>ROUND(275.0,2)</f>
        <v/>
      </c>
      <c r="HW25" s="4">
        <f>IFERROR((HQ25/HP25),0)</f>
        <v/>
      </c>
      <c r="HX25" s="4">
        <f>IFERROR(((0+HO11+HO12+HO13+HO14+HO15+HO16+HO17+HO19+HO20+HO21+HO22+HO23+HO24+HO25)/T2),0)</f>
        <v/>
      </c>
      <c r="HY25" s="5">
        <f>IFERROR(ROUND(HO25/HQ25,2),0)</f>
        <v/>
      </c>
      <c r="HZ25" s="5">
        <f>IFERROR(ROUND(HO25/HR25,2),0)</f>
        <v/>
      </c>
      <c r="IA25" s="2" t="inlineStr">
        <is>
          <t>2023-10-03</t>
        </is>
      </c>
      <c r="IB25" s="5">
        <f>ROUND(0.39,2)</f>
        <v/>
      </c>
      <c r="IC25" s="3">
        <f>ROUND(694.0,2)</f>
        <v/>
      </c>
      <c r="ID25" s="3">
        <f>ROUND(33.0,2)</f>
        <v/>
      </c>
      <c r="IE25" s="3">
        <f>ROUND(214.0,2)</f>
        <v/>
      </c>
      <c r="IF25" s="3">
        <f>ROUND(195.0,2)</f>
        <v/>
      </c>
      <c r="IG25" s="3">
        <f>ROUND(120.0,2)</f>
        <v/>
      </c>
      <c r="IH25" s="3">
        <f>ROUND(94.0,2)</f>
        <v/>
      </c>
      <c r="II25" s="3">
        <f>ROUND(10.0,2)</f>
        <v/>
      </c>
      <c r="IJ25" s="4">
        <f>IFERROR((ID25/IC25),0)</f>
        <v/>
      </c>
      <c r="IK25" s="4">
        <f>IFERROR(((0+IB11+IB12+IB13+IB14+IB15+IB16+IB17+IB19+IB20+IB21+IB22+IB23+IB24+IB25)/T2),0)</f>
        <v/>
      </c>
      <c r="IL25" s="5">
        <f>IFERROR(ROUND(IB25/ID25,2),0)</f>
        <v/>
      </c>
      <c r="IM25" s="5">
        <f>IFERROR(ROUND(IB25/IE25,2),0)</f>
        <v/>
      </c>
      <c r="IN25" s="2" t="inlineStr">
        <is>
          <t>2023-10-03</t>
        </is>
      </c>
      <c r="IO25" s="5">
        <f>ROUND(3.07,2)</f>
        <v/>
      </c>
      <c r="IP25" s="3">
        <f>ROUND(6735.0,2)</f>
        <v/>
      </c>
      <c r="IQ25" s="3">
        <f>ROUND(232.0,2)</f>
        <v/>
      </c>
      <c r="IR25" s="3">
        <f>ROUND(1435.0,2)</f>
        <v/>
      </c>
      <c r="IS25" s="3">
        <f>ROUND(1276.0,2)</f>
        <v/>
      </c>
      <c r="IT25" s="3">
        <f>ROUND(815.0,2)</f>
        <v/>
      </c>
      <c r="IU25" s="3">
        <f>ROUND(667.0,2)</f>
        <v/>
      </c>
      <c r="IV25" s="3">
        <f>ROUND(505.0,2)</f>
        <v/>
      </c>
      <c r="IW25" s="4">
        <f>IFERROR((IQ25/IP25),0)</f>
        <v/>
      </c>
      <c r="IX25" s="4">
        <f>IFERROR(((0+IO11+IO12+IO13+IO14+IO15+IO16+IO17+IO19+IO20+IO21+IO22+IO23+IO24+IO25)/T2),0)</f>
        <v/>
      </c>
      <c r="IY25" s="5">
        <f>IFERROR(ROUND(IO25/IQ25,2),0)</f>
        <v/>
      </c>
      <c r="IZ25" s="5">
        <f>IFERROR(ROUND(IO25/IR25,2),0)</f>
        <v/>
      </c>
      <c r="JA25" s="2" t="inlineStr">
        <is>
          <t>2023-10-03</t>
        </is>
      </c>
      <c r="JB25" s="5">
        <f>ROUND(0.37,2)</f>
        <v/>
      </c>
      <c r="JC25" s="3">
        <f>ROUND(648.0,2)</f>
        <v/>
      </c>
      <c r="JD25" s="3">
        <f>ROUND(33.0,2)</f>
        <v/>
      </c>
      <c r="JE25" s="3">
        <f>ROUND(230.0,2)</f>
        <v/>
      </c>
      <c r="JF25" s="3">
        <f>ROUND(203.0,2)</f>
        <v/>
      </c>
      <c r="JG25" s="3">
        <f>ROUND(110.0,2)</f>
        <v/>
      </c>
      <c r="JH25" s="3">
        <f>ROUND(88.0,2)</f>
        <v/>
      </c>
      <c r="JI25" s="3">
        <f>ROUND(11.0,2)</f>
        <v/>
      </c>
      <c r="JJ25" s="4">
        <f>IFERROR((JD25/JC25),0)</f>
        <v/>
      </c>
      <c r="JK25" s="4">
        <f>IFERROR(((0+JB11+JB12+JB13+JB14+JB15+JB16+JB17+JB19+JB20+JB21+JB22+JB23+JB24+JB25)/T2),0)</f>
        <v/>
      </c>
      <c r="JL25" s="5">
        <f>IFERROR(ROUND(JB25/JD25,2),0)</f>
        <v/>
      </c>
      <c r="JM25" s="5">
        <f>IFERROR(ROUND(JB25/JE25,2),0)</f>
        <v/>
      </c>
    </row>
    <row r="26">
      <c r="A26" s="2" t="inlineStr">
        <is>
          <t>2 Weekly Total</t>
        </is>
      </c>
      <c r="B26" s="5">
        <f>ROUND(271.51,2)</f>
        <v/>
      </c>
      <c r="C26" s="3">
        <f>ROUND(653007.0,2)</f>
        <v/>
      </c>
      <c r="D26" s="3">
        <f>ROUND(28643.0,2)</f>
        <v/>
      </c>
      <c r="E26" s="3">
        <f>ROUND(139220.0,2)</f>
        <v/>
      </c>
      <c r="F26" s="3">
        <f>ROUND(112662.0,2)</f>
        <v/>
      </c>
      <c r="G26" s="3">
        <f>ROUND(53641.0,2)</f>
        <v/>
      </c>
      <c r="H26" s="3">
        <f>ROUND(36325.0,2)</f>
        <v/>
      </c>
      <c r="I26" s="3">
        <f>ROUND(19258.0,2)</f>
        <v/>
      </c>
      <c r="J26" s="4">
        <f>IFERROR((D26/C26),0)</f>
        <v/>
      </c>
      <c r="K26" s="4">
        <f>IFERROR(((0+B11+B12+B13+B14+B15+B16+B17+B19+B20+B21+B22+B23+B24+B25)/T2),0)</f>
        <v/>
      </c>
      <c r="L26" s="5">
        <f>IFERROR(ROUND(B26/D26,2),0)</f>
        <v/>
      </c>
      <c r="M26" s="5">
        <f>IFERROR(ROUND(B26/E26,2),0)</f>
        <v/>
      </c>
      <c r="N26" s="2" t="inlineStr">
        <is>
          <t>2 Weekly Total</t>
        </is>
      </c>
      <c r="O26" s="5">
        <f>ROUND(8.19,2)</f>
        <v/>
      </c>
      <c r="P26" s="3">
        <f>ROUND(24165.0,2)</f>
        <v/>
      </c>
      <c r="Q26" s="3">
        <f>ROUND(966.0,2)</f>
        <v/>
      </c>
      <c r="R26" s="3">
        <f>ROUND(3276.0,2)</f>
        <v/>
      </c>
      <c r="S26" s="3">
        <f>ROUND(2383.0,2)</f>
        <v/>
      </c>
      <c r="T26" s="3">
        <f>ROUND(931.0,2)</f>
        <v/>
      </c>
      <c r="U26" s="3">
        <f>ROUND(540.0,2)</f>
        <v/>
      </c>
      <c r="V26" s="3">
        <f>ROUND(234.0,2)</f>
        <v/>
      </c>
      <c r="W26" s="4">
        <f>IFERROR((Q26/P26),0)</f>
        <v/>
      </c>
      <c r="X26" s="4">
        <f>IFERROR(((0+O11+O12+O13+O14+O15+O16+O17+O19+O20+O21+O22+O23+O24+O25)/T2),0)</f>
        <v/>
      </c>
      <c r="Y26" s="5">
        <f>IFERROR(ROUND(O26/Q26,2),0)</f>
        <v/>
      </c>
      <c r="Z26" s="5">
        <f>IFERROR(ROUND(O26/R26,2),0)</f>
        <v/>
      </c>
      <c r="AA26" s="2" t="inlineStr">
        <is>
          <t>2 Weekly Total</t>
        </is>
      </c>
      <c r="AB26" s="5">
        <f>ROUND(7.67,2)</f>
        <v/>
      </c>
      <c r="AC26" s="3">
        <f>ROUND(10406.0,2)</f>
        <v/>
      </c>
      <c r="AD26" s="3">
        <f>ROUND(935.0,2)</f>
        <v/>
      </c>
      <c r="AE26" s="3">
        <f>ROUND(6364.0,2)</f>
        <v/>
      </c>
      <c r="AF26" s="3">
        <f>ROUND(5960.0,2)</f>
        <v/>
      </c>
      <c r="AG26" s="3">
        <f>ROUND(2731.0,2)</f>
        <v/>
      </c>
      <c r="AH26" s="3">
        <f>ROUND(2026.0,2)</f>
        <v/>
      </c>
      <c r="AI26" s="3">
        <f>ROUND(161.0,2)</f>
        <v/>
      </c>
      <c r="AJ26" s="4">
        <f>IFERROR((AD26/AC26),0)</f>
        <v/>
      </c>
      <c r="AK26" s="4">
        <f>IFERROR(((0+AB11+AB12+AB13+AB14+AB15+AB16+AB17+AB19+AB20+AB21+AB22+AB23+AB24+AB25)/T2),0)</f>
        <v/>
      </c>
      <c r="AL26" s="5">
        <f>IFERROR(ROUND(AB26/AD26,2),0)</f>
        <v/>
      </c>
      <c r="AM26" s="5">
        <f>IFERROR(ROUND(AB26/AE26,2),0)</f>
        <v/>
      </c>
      <c r="AN26" s="2" t="inlineStr">
        <is>
          <t>2 Weekly Total</t>
        </is>
      </c>
      <c r="AO26" s="5">
        <f>ROUND(0.54,2)</f>
        <v/>
      </c>
      <c r="AP26" s="3">
        <f>ROUND(871.0,2)</f>
        <v/>
      </c>
      <c r="AQ26" s="3">
        <f>ROUND(70.0,2)</f>
        <v/>
      </c>
      <c r="AR26" s="3">
        <f>ROUND(507.0,2)</f>
        <v/>
      </c>
      <c r="AS26" s="3">
        <f>ROUND(480.0,2)</f>
        <v/>
      </c>
      <c r="AT26" s="3">
        <f>ROUND(226.0,2)</f>
        <v/>
      </c>
      <c r="AU26" s="3">
        <f>ROUND(178.0,2)</f>
        <v/>
      </c>
      <c r="AV26" s="3">
        <f>ROUND(151.0,2)</f>
        <v/>
      </c>
      <c r="AW26" s="4">
        <f>IFERROR((AQ26/AP26),0)</f>
        <v/>
      </c>
      <c r="AX26" s="4">
        <f>IFERROR(((0+AO11+AO12+AO13+AO14+AO15+AO16+AO17+AO19+AO20+AO21+AO22+AO23+AO24+AO25)/T2),0)</f>
        <v/>
      </c>
      <c r="AY26" s="5">
        <f>IFERROR(ROUND(AO26/AQ26,2),0)</f>
        <v/>
      </c>
      <c r="AZ26" s="5">
        <f>IFERROR(ROUND(AO26/AR26,2),0)</f>
        <v/>
      </c>
      <c r="BA26" s="2" t="inlineStr">
        <is>
          <t>2 Weekly Total</t>
        </is>
      </c>
      <c r="BB26" s="5">
        <f>ROUND(44.52,2)</f>
        <v/>
      </c>
      <c r="BC26" s="3">
        <f>ROUND(134309.0,2)</f>
        <v/>
      </c>
      <c r="BD26" s="3">
        <f>ROUND(5168.0,2)</f>
        <v/>
      </c>
      <c r="BE26" s="3">
        <f>ROUND(28929.0,2)</f>
        <v/>
      </c>
      <c r="BF26" s="3">
        <f>ROUND(22049.0,2)</f>
        <v/>
      </c>
      <c r="BG26" s="3">
        <f>ROUND(9573.0,2)</f>
        <v/>
      </c>
      <c r="BH26" s="3">
        <f>ROUND(5463.0,2)</f>
        <v/>
      </c>
      <c r="BI26" s="3">
        <f>ROUND(2706.0,2)</f>
        <v/>
      </c>
      <c r="BJ26" s="4">
        <f>IFERROR((BD26/BC26),0)</f>
        <v/>
      </c>
      <c r="BK26" s="4">
        <f>IFERROR(((0+BB11+BB12+BB13+BB14+BB15+BB16+BB17+BB19+BB20+BB21+BB22+BB23+BB24+BB25)/T2),0)</f>
        <v/>
      </c>
      <c r="BL26" s="5">
        <f>IFERROR(ROUND(BB26/BD26,2),0)</f>
        <v/>
      </c>
      <c r="BM26" s="5">
        <f>IFERROR(ROUND(BB26/BE26,2),0)</f>
        <v/>
      </c>
      <c r="BN26" s="2" t="inlineStr">
        <is>
          <t>2 Weekly Total</t>
        </is>
      </c>
      <c r="BO26" s="5">
        <f>ROUND(32.08,2)</f>
        <v/>
      </c>
      <c r="BP26" s="3">
        <f>ROUND(97534.0,2)</f>
        <v/>
      </c>
      <c r="BQ26" s="3">
        <f>ROUND(3422.0,2)</f>
        <v/>
      </c>
      <c r="BR26" s="3">
        <f>ROUND(21627.0,2)</f>
        <v/>
      </c>
      <c r="BS26" s="3">
        <f>ROUND(18429.0,2)</f>
        <v/>
      </c>
      <c r="BT26" s="3">
        <f>ROUND(10184.0,2)</f>
        <v/>
      </c>
      <c r="BU26" s="3">
        <f>ROUND(7930.0,2)</f>
        <v/>
      </c>
      <c r="BV26" s="3">
        <f>ROUND(4809.0,2)</f>
        <v/>
      </c>
      <c r="BW26" s="4">
        <f>IFERROR((BQ26/BP26),0)</f>
        <v/>
      </c>
      <c r="BX26" s="4">
        <f>IFERROR(((0+BO11+BO12+BO13+BO14+BO15+BO16+BO17+BO19+BO20+BO21+BO22+BO23+BO24+BO25)/T2),0)</f>
        <v/>
      </c>
      <c r="BY26" s="5">
        <f>IFERROR(ROUND(BO26/BQ26,2),0)</f>
        <v/>
      </c>
      <c r="BZ26" s="5">
        <f>IFERROR(ROUND(BO26/BR26,2),0)</f>
        <v/>
      </c>
      <c r="CA26" s="2" t="inlineStr">
        <is>
          <t>2 Weekly Total</t>
        </is>
      </c>
      <c r="CB26" s="5">
        <f>ROUND(7.58,2)</f>
        <v/>
      </c>
      <c r="CC26" s="3">
        <f>ROUND(14149.0,2)</f>
        <v/>
      </c>
      <c r="CD26" s="3">
        <f>ROUND(829.0,2)</f>
        <v/>
      </c>
      <c r="CE26" s="3">
        <f>ROUND(4974.0,2)</f>
        <v/>
      </c>
      <c r="CF26" s="3">
        <f>ROUND(4189.0,2)</f>
        <v/>
      </c>
      <c r="CG26" s="3">
        <f>ROUND(1825.0,2)</f>
        <v/>
      </c>
      <c r="CH26" s="3">
        <f>ROUND(1235.0,2)</f>
        <v/>
      </c>
      <c r="CI26" s="3">
        <f>ROUND(284.0,2)</f>
        <v/>
      </c>
      <c r="CJ26" s="4">
        <f>IFERROR((CD26/CC26),0)</f>
        <v/>
      </c>
      <c r="CK26" s="4">
        <f>IFERROR(((0+CB11+CB12+CB13+CB14+CB15+CB16+CB17+CB19+CB20+CB21+CB22+CB23+CB24+CB25)/T2),0)</f>
        <v/>
      </c>
      <c r="CL26" s="5">
        <f>IFERROR(ROUND(CB26/CD26,2),0)</f>
        <v/>
      </c>
      <c r="CM26" s="5">
        <f>IFERROR(ROUND(CB26/CE26,2),0)</f>
        <v/>
      </c>
      <c r="CN26" s="2" t="inlineStr">
        <is>
          <t>2 Weekly Total</t>
        </is>
      </c>
      <c r="CO26" s="5">
        <f>ROUND(24.44,2)</f>
        <v/>
      </c>
      <c r="CP26" s="3">
        <f>ROUND(46473.0,2)</f>
        <v/>
      </c>
      <c r="CQ26" s="3">
        <f>ROUND(2840.0,2)</f>
        <v/>
      </c>
      <c r="CR26" s="3">
        <f>ROUND(22511.0,2)</f>
        <v/>
      </c>
      <c r="CS26" s="3">
        <f>ROUND(21284.0,2)</f>
        <v/>
      </c>
      <c r="CT26" s="3">
        <f>ROUND(8719.0,2)</f>
        <v/>
      </c>
      <c r="CU26" s="3">
        <f>ROUND(5173.0,2)</f>
        <v/>
      </c>
      <c r="CV26" s="3">
        <f>ROUND(3494.0,2)</f>
        <v/>
      </c>
      <c r="CW26" s="4">
        <f>IFERROR((CQ26/CP26),0)</f>
        <v/>
      </c>
      <c r="CX26" s="4">
        <f>IFERROR(((0+CO11+CO12+CO13+CO14+CO15+CO16+CO17+CO19+CO20+CO21+CO22+CO23+CO24+CO25)/T2),0)</f>
        <v/>
      </c>
      <c r="CY26" s="5">
        <f>IFERROR(ROUND(CO26/CQ26,2),0)</f>
        <v/>
      </c>
      <c r="CZ26" s="5">
        <f>IFERROR(ROUND(CO26/CR26,2),0)</f>
        <v/>
      </c>
      <c r="DA26" s="2" t="inlineStr">
        <is>
          <t>2 Weekly Total</t>
        </is>
      </c>
      <c r="DB26" s="5">
        <f>ROUND(14.83,2)</f>
        <v/>
      </c>
      <c r="DC26" s="3">
        <f>ROUND(41614.0,2)</f>
        <v/>
      </c>
      <c r="DD26" s="3">
        <f>ROUND(1788.0,2)</f>
        <v/>
      </c>
      <c r="DE26" s="3">
        <f>ROUND(5167.0,2)</f>
        <v/>
      </c>
      <c r="DF26" s="3">
        <f>ROUND(2922.0,2)</f>
        <v/>
      </c>
      <c r="DG26" s="3">
        <f>ROUND(1156.0,2)</f>
        <v/>
      </c>
      <c r="DH26" s="3">
        <f>ROUND(660.0,2)</f>
        <v/>
      </c>
      <c r="DI26" s="3">
        <f>ROUND(310.0,2)</f>
        <v/>
      </c>
      <c r="DJ26" s="4">
        <f>IFERROR((DD26/DC26),0)</f>
        <v/>
      </c>
      <c r="DK26" s="4">
        <f>IFERROR(((0+DB11+DB12+DB13+DB14+DB15+DB16+DB17+DB19+DB20+DB21+DB22+DB23+DB24+DB25)/T2),0)</f>
        <v/>
      </c>
      <c r="DL26" s="5">
        <f>IFERROR(ROUND(DB26/DD26,2),0)</f>
        <v/>
      </c>
      <c r="DM26" s="5">
        <f>IFERROR(ROUND(DB26/DE26,2),0)</f>
        <v/>
      </c>
      <c r="DN26" s="2" t="inlineStr">
        <is>
          <t>2 Weekly Total</t>
        </is>
      </c>
      <c r="DO26" s="5">
        <f>ROUND(34.66,2)</f>
        <v/>
      </c>
      <c r="DP26" s="3">
        <f>ROUND(88878.0,2)</f>
        <v/>
      </c>
      <c r="DQ26" s="3">
        <f>ROUND(4012.0,2)</f>
        <v/>
      </c>
      <c r="DR26" s="3">
        <f>ROUND(12460.0,2)</f>
        <v/>
      </c>
      <c r="DS26" s="3">
        <f>ROUND(9571.0,2)</f>
        <v/>
      </c>
      <c r="DT26" s="3">
        <f>ROUND(5649.0,2)</f>
        <v/>
      </c>
      <c r="DU26" s="3">
        <f>ROUND(3661.0,2)</f>
        <v/>
      </c>
      <c r="DV26" s="3">
        <f>ROUND(2027.0,2)</f>
        <v/>
      </c>
      <c r="DW26" s="4">
        <f>IFERROR((DQ26/DP26),0)</f>
        <v/>
      </c>
      <c r="DX26" s="4">
        <f>IFERROR(((0+DO11+DO12+DO13+DO14+DO15+DO16+DO17+DO19+DO20+DO21+DO22+DO23+DO24+DO25)/T2),0)</f>
        <v/>
      </c>
      <c r="DY26" s="5">
        <f>IFERROR(ROUND(DO26/DQ26,2),0)</f>
        <v/>
      </c>
      <c r="DZ26" s="5">
        <f>IFERROR(ROUND(DO26/DR26,2),0)</f>
        <v/>
      </c>
      <c r="EA26" s="2" t="inlineStr">
        <is>
          <t>2 Weekly Total</t>
        </is>
      </c>
      <c r="EB26" s="5">
        <f>ROUND(14.87,2)</f>
        <v/>
      </c>
      <c r="EC26" s="3">
        <f>ROUND(36696.0,2)</f>
        <v/>
      </c>
      <c r="ED26" s="3">
        <f>ROUND(1713.0,2)</f>
        <v/>
      </c>
      <c r="EE26" s="3">
        <f>ROUND(6473.0,2)</f>
        <v/>
      </c>
      <c r="EF26" s="3">
        <f>ROUND(3603.0,2)</f>
        <v/>
      </c>
      <c r="EG26" s="3">
        <f>ROUND(1384.0,2)</f>
        <v/>
      </c>
      <c r="EH26" s="3">
        <f>ROUND(966.0,2)</f>
        <v/>
      </c>
      <c r="EI26" s="3">
        <f>ROUND(407.0,2)</f>
        <v/>
      </c>
      <c r="EJ26" s="4">
        <f>IFERROR((ED26/EC26),0)</f>
        <v/>
      </c>
      <c r="EK26" s="4">
        <f>IFERROR(((0+EB11+EB12+EB13+EB14+EB15+EB16+EB17+EB19+EB20+EB21+EB22+EB23+EB24+EB25)/T2),0)</f>
        <v/>
      </c>
      <c r="EL26" s="5">
        <f>IFERROR(ROUND(EB26/ED26,2),0)</f>
        <v/>
      </c>
      <c r="EM26" s="5">
        <f>IFERROR(ROUND(EB26/EE26,2),0)</f>
        <v/>
      </c>
      <c r="EN26" s="2" t="inlineStr">
        <is>
          <t>2 Weekly Total</t>
        </is>
      </c>
      <c r="EO26" s="5">
        <f>ROUND(6.05,2)</f>
        <v/>
      </c>
      <c r="EP26" s="3">
        <f>ROUND(10322.0,2)</f>
        <v/>
      </c>
      <c r="EQ26" s="3">
        <f>ROUND(582.0,2)</f>
        <v/>
      </c>
      <c r="ER26" s="3">
        <f>ROUND(755.0,2)</f>
        <v/>
      </c>
      <c r="ES26" s="3">
        <f>ROUND(472.0,2)</f>
        <v/>
      </c>
      <c r="ET26" s="3">
        <f>ROUND(194.0,2)</f>
        <v/>
      </c>
      <c r="EU26" s="3">
        <f>ROUND(85.0,2)</f>
        <v/>
      </c>
      <c r="EV26" s="3">
        <f>ROUND(53.0,2)</f>
        <v/>
      </c>
      <c r="EW26" s="4">
        <f>IFERROR((EQ26/EP26),0)</f>
        <v/>
      </c>
      <c r="EX26" s="4">
        <f>IFERROR(((0+EO11+EO12+EO13+EO14+EO15+EO16+EO17+EO19+EO20+EO21+EO22+EO23+EO24+EO25)/T2),0)</f>
        <v/>
      </c>
      <c r="EY26" s="5">
        <f>IFERROR(ROUND(EO26/EQ26,2),0)</f>
        <v/>
      </c>
      <c r="EZ26" s="5">
        <f>IFERROR(ROUND(EO26/ER26,2),0)</f>
        <v/>
      </c>
      <c r="FA26" s="2" t="inlineStr">
        <is>
          <t>2 Weekly Total</t>
        </is>
      </c>
      <c r="FB26" s="5">
        <f>ROUND(12.35,2)</f>
        <v/>
      </c>
      <c r="FC26" s="3">
        <f>ROUND(19707.0,2)</f>
        <v/>
      </c>
      <c r="FD26" s="3">
        <f>ROUND(1013.0,2)</f>
        <v/>
      </c>
      <c r="FE26" s="3">
        <f>ROUND(2396.0,2)</f>
        <v/>
      </c>
      <c r="FF26" s="3">
        <f>ROUND(2030.0,2)</f>
        <v/>
      </c>
      <c r="FG26" s="3">
        <f>ROUND(1068.0,2)</f>
        <v/>
      </c>
      <c r="FH26" s="3">
        <f>ROUND(738.0,2)</f>
        <v/>
      </c>
      <c r="FI26" s="3">
        <f>ROUND(348.0,2)</f>
        <v/>
      </c>
      <c r="FJ26" s="4">
        <f>IFERROR((FD26/FC26),0)</f>
        <v/>
      </c>
      <c r="FK26" s="4">
        <f>IFERROR(((0+FB11+FB12+FB13+FB14+FB15+FB16+FB17+FB19+FB20+FB21+FB22+FB23+FB24+FB25)/T2),0)</f>
        <v/>
      </c>
      <c r="FL26" s="5">
        <f>IFERROR(ROUND(FB26/FD26,2),0)</f>
        <v/>
      </c>
      <c r="FM26" s="5">
        <f>IFERROR(ROUND(FB26/FE26,2),0)</f>
        <v/>
      </c>
      <c r="FN26" s="2" t="inlineStr">
        <is>
          <t>2 Weekly Total</t>
        </is>
      </c>
      <c r="FO26" s="5">
        <f>ROUND(0.25,2)</f>
        <v/>
      </c>
      <c r="FP26" s="3">
        <f>ROUND(428.0,2)</f>
        <v/>
      </c>
      <c r="FQ26" s="3">
        <f>ROUND(31.0,2)</f>
        <v/>
      </c>
      <c r="FR26" s="3">
        <f>ROUND(131.0,2)</f>
        <v/>
      </c>
      <c r="FS26" s="3">
        <f>ROUND(111.0,2)</f>
        <v/>
      </c>
      <c r="FT26" s="3">
        <f>ROUND(54.0,2)</f>
        <v/>
      </c>
      <c r="FU26" s="3">
        <f>ROUND(38.0,2)</f>
        <v/>
      </c>
      <c r="FV26" s="3">
        <f>ROUND(4.0,2)</f>
        <v/>
      </c>
      <c r="FW26" s="4">
        <f>IFERROR((FQ26/FP26),0)</f>
        <v/>
      </c>
      <c r="FX26" s="4">
        <f>IFERROR(((0+FO11+FO12+FO13+FO14+FO15+FO16+FO17+FO19+FO20+FO21+FO22+FO23+FO24+FO25)/T2),0)</f>
        <v/>
      </c>
      <c r="FY26" s="5">
        <f>IFERROR(ROUND(FO26/FQ26,2),0)</f>
        <v/>
      </c>
      <c r="FZ26" s="5">
        <f>IFERROR(ROUND(FO26/FR26,2),0)</f>
        <v/>
      </c>
      <c r="GA26" s="2" t="inlineStr">
        <is>
          <t>2 Weekly Total</t>
        </is>
      </c>
      <c r="GB26" s="5">
        <f>ROUND(18.26,2)</f>
        <v/>
      </c>
      <c r="GC26" s="3">
        <f>ROUND(41579.0,2)</f>
        <v/>
      </c>
      <c r="GD26" s="3">
        <f>ROUND(1579.0,2)</f>
        <v/>
      </c>
      <c r="GE26" s="3">
        <f>ROUND(6441.0,2)</f>
        <v/>
      </c>
      <c r="GF26" s="3">
        <f>ROUND(4680.0,2)</f>
        <v/>
      </c>
      <c r="GG26" s="3">
        <f>ROUND(1868.0,2)</f>
        <v/>
      </c>
      <c r="GH26" s="3">
        <f>ROUND(1114.0,2)</f>
        <v/>
      </c>
      <c r="GI26" s="3">
        <f>ROUND(505.0,2)</f>
        <v/>
      </c>
      <c r="GJ26" s="4">
        <f>IFERROR((GD26/GC26),0)</f>
        <v/>
      </c>
      <c r="GK26" s="4">
        <f>IFERROR(((0+GB11+GB12+GB13+GB14+GB15+GB16+GB17+GB19+GB20+GB21+GB22+GB23+GB24+GB25)/T2),0)</f>
        <v/>
      </c>
      <c r="GL26" s="5">
        <f>IFERROR(ROUND(GB26/GD26,2),0)</f>
        <v/>
      </c>
      <c r="GM26" s="5">
        <f>IFERROR(ROUND(GB26/GE26,2),0)</f>
        <v/>
      </c>
      <c r="GN26" s="2" t="inlineStr">
        <is>
          <t>2 Weekly Total</t>
        </is>
      </c>
      <c r="GO26" s="5">
        <f>ROUND(11.96,2)</f>
        <v/>
      </c>
      <c r="GP26" s="3">
        <f>ROUND(22419.0,2)</f>
        <v/>
      </c>
      <c r="GQ26" s="3">
        <f>ROUND(1083.0,2)</f>
        <v/>
      </c>
      <c r="GR26" s="3">
        <f>ROUND(4297.0,2)</f>
        <v/>
      </c>
      <c r="GS26" s="3">
        <f>ROUND(3440.0,2)</f>
        <v/>
      </c>
      <c r="GT26" s="3">
        <f>ROUND(1412.0,2)</f>
        <v/>
      </c>
      <c r="GU26" s="3">
        <f>ROUND(950.0,2)</f>
        <v/>
      </c>
      <c r="GV26" s="3">
        <f>ROUND(705.0,2)</f>
        <v/>
      </c>
      <c r="GW26" s="4">
        <f>IFERROR((GQ26/GP26),0)</f>
        <v/>
      </c>
      <c r="GX26" s="4">
        <f>IFERROR(((0+GO11+GO12+GO13+GO14+GO15+GO16+GO17+GO19+GO20+GO21+GO22+GO23+GO24+GO25)/T2),0)</f>
        <v/>
      </c>
      <c r="GY26" s="5">
        <f>IFERROR(ROUND(GO26/GQ26,2),0)</f>
        <v/>
      </c>
      <c r="GZ26" s="5">
        <f>IFERROR(ROUND(GO26/GR26,2),0)</f>
        <v/>
      </c>
      <c r="HA26" s="2" t="inlineStr">
        <is>
          <t>2 Weekly Total</t>
        </is>
      </c>
      <c r="HB26" s="5">
        <f>ROUND(6.18,2)</f>
        <v/>
      </c>
      <c r="HC26" s="3">
        <f>ROUND(8720.0,2)</f>
        <v/>
      </c>
      <c r="HD26" s="3">
        <f>ROUND(513.0,2)</f>
        <v/>
      </c>
      <c r="HE26" s="3">
        <f>ROUND(3148.0,2)</f>
        <v/>
      </c>
      <c r="HF26" s="3">
        <f>ROUND(2621.0,2)</f>
        <v/>
      </c>
      <c r="HG26" s="3">
        <f>ROUND(1407.0,2)</f>
        <v/>
      </c>
      <c r="HH26" s="3">
        <f>ROUND(1226.0,2)</f>
        <v/>
      </c>
      <c r="HI26" s="3">
        <f>ROUND(111.0,2)</f>
        <v/>
      </c>
      <c r="HJ26" s="4">
        <f>IFERROR((HD26/HC26),0)</f>
        <v/>
      </c>
      <c r="HK26" s="4">
        <f>IFERROR(((0+HB11+HB12+HB13+HB14+HB15+HB16+HB17+HB19+HB20+HB21+HB22+HB23+HB24+HB25)/T2),0)</f>
        <v/>
      </c>
      <c r="HL26" s="5">
        <f>IFERROR(ROUND(HB26/HD26,2),0)</f>
        <v/>
      </c>
      <c r="HM26" s="5">
        <f>IFERROR(ROUND(HB26/HE26,2),0)</f>
        <v/>
      </c>
      <c r="HN26" s="2" t="inlineStr">
        <is>
          <t>2 Weekly Total</t>
        </is>
      </c>
      <c r="HO26" s="5">
        <f>ROUND(1.09,2)</f>
        <v/>
      </c>
      <c r="HP26" s="3">
        <f>ROUND(1313.0,2)</f>
        <v/>
      </c>
      <c r="HQ26" s="3">
        <f>ROUND(80.0,2)</f>
        <v/>
      </c>
      <c r="HR26" s="3">
        <f>ROUND(603.0,2)</f>
        <v/>
      </c>
      <c r="HS26" s="3">
        <f>ROUND(561.0,2)</f>
        <v/>
      </c>
      <c r="HT26" s="3">
        <f>ROUND(354.0,2)</f>
        <v/>
      </c>
      <c r="HU26" s="3">
        <f>ROUND(296.0,2)</f>
        <v/>
      </c>
      <c r="HV26" s="3">
        <f>ROUND(279.0,2)</f>
        <v/>
      </c>
      <c r="HW26" s="4">
        <f>IFERROR((HQ26/HP26),0)</f>
        <v/>
      </c>
      <c r="HX26" s="4">
        <f>IFERROR(((0+HO11+HO12+HO13+HO14+HO15+HO16+HO17+HO19+HO20+HO21+HO22+HO23+HO24+HO25)/T2),0)</f>
        <v/>
      </c>
      <c r="HY26" s="5">
        <f>IFERROR(ROUND(HO26/HQ26,2),0)</f>
        <v/>
      </c>
      <c r="HZ26" s="5">
        <f>IFERROR(ROUND(HO26/HR26,2),0)</f>
        <v/>
      </c>
      <c r="IA26" s="2" t="inlineStr">
        <is>
          <t>2 Weekly Total</t>
        </is>
      </c>
      <c r="IB26" s="5">
        <f>ROUND(3.08,2)</f>
        <v/>
      </c>
      <c r="IC26" s="3">
        <f>ROUND(5465.0,2)</f>
        <v/>
      </c>
      <c r="ID26" s="3">
        <f>ROUND(205.0,2)</f>
        <v/>
      </c>
      <c r="IE26" s="3">
        <f>ROUND(966.0,2)</f>
        <v/>
      </c>
      <c r="IF26" s="3">
        <f>ROUND(730.0,2)</f>
        <v/>
      </c>
      <c r="IG26" s="3">
        <f>ROUND(372.0,2)</f>
        <v/>
      </c>
      <c r="IH26" s="3">
        <f>ROUND(269.0,2)</f>
        <v/>
      </c>
      <c r="II26" s="3">
        <f>ROUND(109.0,2)</f>
        <v/>
      </c>
      <c r="IJ26" s="4">
        <f>IFERROR((ID26/IC26),0)</f>
        <v/>
      </c>
      <c r="IK26" s="4">
        <f>IFERROR(((0+IB11+IB12+IB13+IB14+IB15+IB16+IB17+IB19+IB20+IB21+IB22+IB23+IB24+IB25)/T2),0)</f>
        <v/>
      </c>
      <c r="IL26" s="5">
        <f>IFERROR(ROUND(IB26/ID26,2),0)</f>
        <v/>
      </c>
      <c r="IM26" s="5">
        <f>IFERROR(ROUND(IB26/IE26,2),0)</f>
        <v/>
      </c>
      <c r="IN26" s="2" t="inlineStr">
        <is>
          <t>2 Weekly Total</t>
        </is>
      </c>
      <c r="IO26" s="5">
        <f>ROUND(20.47,2)</f>
        <v/>
      </c>
      <c r="IP26" s="3">
        <f>ROUND(44318.0,2)</f>
        <v/>
      </c>
      <c r="IQ26" s="3">
        <f>ROUND(1646.0,2)</f>
        <v/>
      </c>
      <c r="IR26" s="3">
        <f>ROUND(7311.0,2)</f>
        <v/>
      </c>
      <c r="IS26" s="3">
        <f>ROUND(6406.0,2)</f>
        <v/>
      </c>
      <c r="IT26" s="3">
        <f>ROUND(4152.0,2)</f>
        <v/>
      </c>
      <c r="IU26" s="3">
        <f>ROUND(3485.0,2)</f>
        <v/>
      </c>
      <c r="IV26" s="3">
        <f>ROUND(2466.0,2)</f>
        <v/>
      </c>
      <c r="IW26" s="4">
        <f>IFERROR((IQ26/IP26),0)</f>
        <v/>
      </c>
      <c r="IX26" s="4">
        <f>IFERROR(((0+IO11+IO12+IO13+IO14+IO15+IO16+IO17+IO19+IO20+IO21+IO22+IO23+IO24+IO25)/T2),0)</f>
        <v/>
      </c>
      <c r="IY26" s="5">
        <f>IFERROR(ROUND(IO26/IQ26,2),0)</f>
        <v/>
      </c>
      <c r="IZ26" s="5">
        <f>IFERROR(ROUND(IO26/IR26,2),0)</f>
        <v/>
      </c>
      <c r="JA26" s="2" t="inlineStr">
        <is>
          <t>2 Weekly Total</t>
        </is>
      </c>
      <c r="JB26" s="5">
        <f>ROUND(2.44,2)</f>
        <v/>
      </c>
      <c r="JC26" s="3">
        <f>ROUND(3641.0,2)</f>
        <v/>
      </c>
      <c r="JD26" s="3">
        <f>ROUND(168.0,2)</f>
        <v/>
      </c>
      <c r="JE26" s="3">
        <f>ROUND(884.0,2)</f>
        <v/>
      </c>
      <c r="JF26" s="3">
        <f>ROUND(741.0,2)</f>
        <v/>
      </c>
      <c r="JG26" s="3">
        <f>ROUND(382.0,2)</f>
        <v/>
      </c>
      <c r="JH26" s="3">
        <f>ROUND(292.0,2)</f>
        <v/>
      </c>
      <c r="JI26" s="3">
        <f>ROUND(95.0,2)</f>
        <v/>
      </c>
      <c r="JJ26" s="4">
        <f>IFERROR((JD26/JC26),0)</f>
        <v/>
      </c>
      <c r="JK26" s="4">
        <f>IFERROR(((0+JB11+JB12+JB13+JB14+JB15+JB16+JB17+JB19+JB20+JB21+JB22+JB23+JB24+JB25)/T2),0)</f>
        <v/>
      </c>
      <c r="JL26" s="5">
        <f>IFERROR(ROUND(JB26/JD26,2),0)</f>
        <v/>
      </c>
      <c r="JM26" s="5">
        <f>IFERROR(ROUND(JB26/JE26,2),0)</f>
        <v/>
      </c>
    </row>
    <row r="27">
      <c r="A27" s="2" t="inlineStr">
        <is>
          <t>2023-10-04</t>
        </is>
      </c>
      <c r="B27" s="5">
        <f>ROUND(165.98999999999998,2)</f>
        <v/>
      </c>
      <c r="C27" s="3">
        <f>ROUND(335327.0,2)</f>
        <v/>
      </c>
      <c r="D27" s="3">
        <f>ROUND(14341.0,2)</f>
        <v/>
      </c>
      <c r="E27" s="3">
        <f>ROUND(90823.0,2)</f>
        <v/>
      </c>
      <c r="F27" s="3">
        <f>ROUND(76935.0,2)</f>
        <v/>
      </c>
      <c r="G27" s="3">
        <f>ROUND(38726.0,2)</f>
        <v/>
      </c>
      <c r="H27" s="3">
        <f>ROUND(27492.0,2)</f>
        <v/>
      </c>
      <c r="I27" s="3">
        <f>ROUND(15109.0,2)</f>
        <v/>
      </c>
      <c r="J27" s="4">
        <f>IFERROR((D27/C27),0)</f>
        <v/>
      </c>
      <c r="K27" s="4">
        <f>IFERROR(((0+B11+B12+B13+B14+B15+B16+B17+B19+B20+B21+B22+B23+B24+B25+B27)/T2),0)</f>
        <v/>
      </c>
      <c r="L27" s="5">
        <f>IFERROR(ROUND(B27/D27,2),0)</f>
        <v/>
      </c>
      <c r="M27" s="5">
        <f>IFERROR(ROUND(B27/E27,2),0)</f>
        <v/>
      </c>
      <c r="N27" s="2" t="inlineStr">
        <is>
          <t>2023-10-04</t>
        </is>
      </c>
      <c r="O27" s="5">
        <f>ROUND(2.25,2)</f>
        <v/>
      </c>
      <c r="P27" s="3">
        <f>ROUND(7645.0,2)</f>
        <v/>
      </c>
      <c r="Q27" s="3">
        <f>ROUND(218.0,2)</f>
        <v/>
      </c>
      <c r="R27" s="3">
        <f>ROUND(1021.0,2)</f>
        <v/>
      </c>
      <c r="S27" s="3">
        <f>ROUND(703.0,2)</f>
        <v/>
      </c>
      <c r="T27" s="3">
        <f>ROUND(282.0,2)</f>
        <v/>
      </c>
      <c r="U27" s="3">
        <f>ROUND(155.0,2)</f>
        <v/>
      </c>
      <c r="V27" s="3">
        <f>ROUND(76.0,2)</f>
        <v/>
      </c>
      <c r="W27" s="4">
        <f>IFERROR((Q27/P27),0)</f>
        <v/>
      </c>
      <c r="X27" s="4">
        <f>IFERROR(((0+O11+O12+O13+O14+O15+O16+O17+O19+O20+O21+O22+O23+O24+O25+O27)/T2),0)</f>
        <v/>
      </c>
      <c r="Y27" s="5">
        <f>IFERROR(ROUND(O27/Q27,2),0)</f>
        <v/>
      </c>
      <c r="Z27" s="5">
        <f>IFERROR(ROUND(O27/R27,2),0)</f>
        <v/>
      </c>
      <c r="AA27" s="2" t="inlineStr">
        <is>
          <t>2023-10-04</t>
        </is>
      </c>
      <c r="AB27" s="5">
        <f>ROUND(9.0,2)</f>
        <v/>
      </c>
      <c r="AC27" s="3">
        <f>ROUND(7720.0,2)</f>
        <v/>
      </c>
      <c r="AD27" s="3">
        <f>ROUND(695.0,2)</f>
        <v/>
      </c>
      <c r="AE27" s="3">
        <f>ROUND(4116.0,2)</f>
        <v/>
      </c>
      <c r="AF27" s="3">
        <f>ROUND(3788.0,2)</f>
        <v/>
      </c>
      <c r="AG27" s="3">
        <f>ROUND(2239.0,2)</f>
        <v/>
      </c>
      <c r="AH27" s="3">
        <f>ROUND(1852.0,2)</f>
        <v/>
      </c>
      <c r="AI27" s="3">
        <f>ROUND(149.0,2)</f>
        <v/>
      </c>
      <c r="AJ27" s="4">
        <f>IFERROR((AD27/AC27),0)</f>
        <v/>
      </c>
      <c r="AK27" s="4">
        <f>IFERROR(((0+AB11+AB12+AB13+AB14+AB15+AB16+AB17+AB19+AB20+AB21+AB22+AB23+AB24+AB25+AB27)/T2),0)</f>
        <v/>
      </c>
      <c r="AL27" s="5">
        <f>IFERROR(ROUND(AB27/AD27,2),0)</f>
        <v/>
      </c>
      <c r="AM27" s="5">
        <f>IFERROR(ROUND(AB27/AE27,2),0)</f>
        <v/>
      </c>
      <c r="AN27" s="2" t="inlineStr">
        <is>
          <t>2023-10-04</t>
        </is>
      </c>
      <c r="AO27" s="5">
        <f>ROUND(1.0,2)</f>
        <v/>
      </c>
      <c r="AP27" s="3">
        <f>ROUND(1042.0,2)</f>
        <v/>
      </c>
      <c r="AQ27" s="3">
        <f>ROUND(87.0,2)</f>
        <v/>
      </c>
      <c r="AR27" s="3">
        <f>ROUND(437.0,2)</f>
        <v/>
      </c>
      <c r="AS27" s="3">
        <f>ROUND(401.0,2)</f>
        <v/>
      </c>
      <c r="AT27" s="3">
        <f>ROUND(270.0,2)</f>
        <v/>
      </c>
      <c r="AU27" s="3">
        <f>ROUND(229.0,2)</f>
        <v/>
      </c>
      <c r="AV27" s="3">
        <f>ROUND(208.0,2)</f>
        <v/>
      </c>
      <c r="AW27" s="4">
        <f>IFERROR((AQ27/AP27),0)</f>
        <v/>
      </c>
      <c r="AX27" s="4">
        <f>IFERROR(((0+AO11+AO12+AO13+AO14+AO15+AO16+AO17+AO19+AO20+AO21+AO22+AO23+AO24+AO25+AO27)/T2),0)</f>
        <v/>
      </c>
      <c r="AY27" s="5">
        <f>IFERROR(ROUND(AO27/AQ27,2),0)</f>
        <v/>
      </c>
      <c r="AZ27" s="5">
        <f>IFERROR(ROUND(AO27/AR27,2),0)</f>
        <v/>
      </c>
      <c r="BA27" s="2" t="inlineStr">
        <is>
          <t>2023-10-04</t>
        </is>
      </c>
      <c r="BB27" s="5">
        <f>ROUND(18.58,2)</f>
        <v/>
      </c>
      <c r="BC27" s="3">
        <f>ROUND(57411.0,2)</f>
        <v/>
      </c>
      <c r="BD27" s="3">
        <f>ROUND(1980.0,2)</f>
        <v/>
      </c>
      <c r="BE27" s="3">
        <f>ROUND(12878.0,2)</f>
        <v/>
      </c>
      <c r="BF27" s="3">
        <f>ROUND(9755.0,2)</f>
        <v/>
      </c>
      <c r="BG27" s="3">
        <f>ROUND(4285.0,2)</f>
        <v/>
      </c>
      <c r="BH27" s="3">
        <f>ROUND(2523.0,2)</f>
        <v/>
      </c>
      <c r="BI27" s="3">
        <f>ROUND(1269.0,2)</f>
        <v/>
      </c>
      <c r="BJ27" s="4">
        <f>IFERROR((BD27/BC27),0)</f>
        <v/>
      </c>
      <c r="BK27" s="4">
        <f>IFERROR(((0+BB11+BB12+BB13+BB14+BB15+BB16+BB17+BB19+BB20+BB21+BB22+BB23+BB24+BB25+BB27)/T2),0)</f>
        <v/>
      </c>
      <c r="BL27" s="5">
        <f>IFERROR(ROUND(BB27/BD27,2),0)</f>
        <v/>
      </c>
      <c r="BM27" s="5">
        <f>IFERROR(ROUND(BB27/BE27,2),0)</f>
        <v/>
      </c>
      <c r="BN27" s="2" t="inlineStr">
        <is>
          <t>2023-10-04</t>
        </is>
      </c>
      <c r="BO27" s="5">
        <f>ROUND(20.2,2)</f>
        <v/>
      </c>
      <c r="BP27" s="3">
        <f>ROUND(61823.0,2)</f>
        <v/>
      </c>
      <c r="BQ27" s="3">
        <f>ROUND(1880.0,2)</f>
        <v/>
      </c>
      <c r="BR27" s="3">
        <f>ROUND(15393.0,2)</f>
        <v/>
      </c>
      <c r="BS27" s="3">
        <f>ROUND(13130.0,2)</f>
        <v/>
      </c>
      <c r="BT27" s="3">
        <f>ROUND(7430.0,2)</f>
        <v/>
      </c>
      <c r="BU27" s="3">
        <f>ROUND(5923.0,2)</f>
        <v/>
      </c>
      <c r="BV27" s="3">
        <f>ROUND(3759.0,2)</f>
        <v/>
      </c>
      <c r="BW27" s="4">
        <f>IFERROR((BQ27/BP27),0)</f>
        <v/>
      </c>
      <c r="BX27" s="4">
        <f>IFERROR(((0+BO11+BO12+BO13+BO14+BO15+BO16+BO17+BO19+BO20+BO21+BO22+BO23+BO24+BO25+BO27)/T2),0)</f>
        <v/>
      </c>
      <c r="BY27" s="5">
        <f>IFERROR(ROUND(BO27/BQ27,2),0)</f>
        <v/>
      </c>
      <c r="BZ27" s="5">
        <f>IFERROR(ROUND(BO27/BR27,2),0)</f>
        <v/>
      </c>
      <c r="CA27" s="2" t="inlineStr">
        <is>
          <t>2023-10-04</t>
        </is>
      </c>
      <c r="CB27" s="5">
        <f>ROUND(2.27,2)</f>
        <v/>
      </c>
      <c r="CC27" s="3">
        <f>ROUND(4924.0,2)</f>
        <v/>
      </c>
      <c r="CD27" s="3">
        <f>ROUND(169.0,2)</f>
        <v/>
      </c>
      <c r="CE27" s="3">
        <f>ROUND(1414.0,2)</f>
        <v/>
      </c>
      <c r="CF27" s="3">
        <f>ROUND(1059.0,2)</f>
        <v/>
      </c>
      <c r="CG27" s="3">
        <f>ROUND(529.0,2)</f>
        <v/>
      </c>
      <c r="CH27" s="3">
        <f>ROUND(367.0,2)</f>
        <v/>
      </c>
      <c r="CI27" s="3">
        <f>ROUND(138.0,2)</f>
        <v/>
      </c>
      <c r="CJ27" s="4">
        <f>IFERROR((CD27/CC27),0)</f>
        <v/>
      </c>
      <c r="CK27" s="4">
        <f>IFERROR(((0+CB11+CB12+CB13+CB14+CB15+CB16+CB17+CB19+CB20+CB21+CB22+CB23+CB24+CB25+CB27)/T2),0)</f>
        <v/>
      </c>
      <c r="CL27" s="5">
        <f>IFERROR(ROUND(CB27/CD27,2),0)</f>
        <v/>
      </c>
      <c r="CM27" s="5">
        <f>IFERROR(ROUND(CB27/CE27,2),0)</f>
        <v/>
      </c>
      <c r="CN27" s="2" t="inlineStr">
        <is>
          <t>2023-10-04</t>
        </is>
      </c>
      <c r="CO27" s="5">
        <f>ROUND(36.58,2)</f>
        <v/>
      </c>
      <c r="CP27" s="3">
        <f>ROUND(47215.0,2)</f>
        <v/>
      </c>
      <c r="CQ27" s="3">
        <f>ROUND(3053.0,2)</f>
        <v/>
      </c>
      <c r="CR27" s="3">
        <f>ROUND(26523.0,2)</f>
        <v/>
      </c>
      <c r="CS27" s="3">
        <f>ROUND(25163.0,2)</f>
        <v/>
      </c>
      <c r="CT27" s="3">
        <f>ROUND(11332.0,2)</f>
        <v/>
      </c>
      <c r="CU27" s="3">
        <f>ROUND(7208.0,2)</f>
        <v/>
      </c>
      <c r="CV27" s="3">
        <f>ROUND(5272.0,2)</f>
        <v/>
      </c>
      <c r="CW27" s="4">
        <f>IFERROR((CQ27/CP27),0)</f>
        <v/>
      </c>
      <c r="CX27" s="4">
        <f>IFERROR(((0+CO11+CO12+CO13+CO14+CO15+CO16+CO17+CO19+CO20+CO21+CO22+CO23+CO24+CO25+CO27)/T2),0)</f>
        <v/>
      </c>
      <c r="CY27" s="5">
        <f>IFERROR(ROUND(CO27/CQ27,2),0)</f>
        <v/>
      </c>
      <c r="CZ27" s="5">
        <f>IFERROR(ROUND(CO27/CR27,2),0)</f>
        <v/>
      </c>
      <c r="DA27" s="2" t="inlineStr">
        <is>
          <t>2023-10-04</t>
        </is>
      </c>
      <c r="DB27" s="5">
        <f>ROUND(4.51,2)</f>
        <v/>
      </c>
      <c r="DC27" s="3">
        <f>ROUND(10324.0,2)</f>
        <v/>
      </c>
      <c r="DD27" s="3">
        <f>ROUND(449.0,2)</f>
        <v/>
      </c>
      <c r="DE27" s="3">
        <f>ROUND(1235.0,2)</f>
        <v/>
      </c>
      <c r="DF27" s="3">
        <f>ROUND(752.0,2)</f>
        <v/>
      </c>
      <c r="DG27" s="3">
        <f>ROUND(298.0,2)</f>
        <v/>
      </c>
      <c r="DH27" s="3">
        <f>ROUND(166.0,2)</f>
        <v/>
      </c>
      <c r="DI27" s="3">
        <f>ROUND(75.0,2)</f>
        <v/>
      </c>
      <c r="DJ27" s="4">
        <f>IFERROR((DD27/DC27),0)</f>
        <v/>
      </c>
      <c r="DK27" s="4">
        <f>IFERROR(((0+DB11+DB12+DB13+DB14+DB15+DB16+DB17+DB19+DB20+DB21+DB22+DB23+DB24+DB25+DB27)/T2),0)</f>
        <v/>
      </c>
      <c r="DL27" s="5">
        <f>IFERROR(ROUND(DB27/DD27,2),0)</f>
        <v/>
      </c>
      <c r="DM27" s="5">
        <f>IFERROR(ROUND(DB27/DE27,2),0)</f>
        <v/>
      </c>
      <c r="DN27" s="2" t="inlineStr">
        <is>
          <t>2023-10-04</t>
        </is>
      </c>
      <c r="DO27" s="5">
        <f>ROUND(14.74,2)</f>
        <v/>
      </c>
      <c r="DP27" s="3">
        <f>ROUND(45077.0,2)</f>
        <v/>
      </c>
      <c r="DQ27" s="3">
        <f>ROUND(1518.0,2)</f>
        <v/>
      </c>
      <c r="DR27" s="3">
        <f>ROUND(6571.0,2)</f>
        <v/>
      </c>
      <c r="DS27" s="3">
        <f>ROUND(5007.0,2)</f>
        <v/>
      </c>
      <c r="DT27" s="3">
        <f>ROUND(3018.0,2)</f>
        <v/>
      </c>
      <c r="DU27" s="3">
        <f>ROUND(1970.0,2)</f>
        <v/>
      </c>
      <c r="DV27" s="3">
        <f>ROUND(1029.0,2)</f>
        <v/>
      </c>
      <c r="DW27" s="4">
        <f>IFERROR((DQ27/DP27),0)</f>
        <v/>
      </c>
      <c r="DX27" s="4">
        <f>IFERROR(((0+DO11+DO12+DO13+DO14+DO15+DO16+DO17+DO19+DO20+DO21+DO22+DO23+DO24+DO25+DO27)/T2),0)</f>
        <v/>
      </c>
      <c r="DY27" s="5">
        <f>IFERROR(ROUND(DO27/DQ27,2),0)</f>
        <v/>
      </c>
      <c r="DZ27" s="5">
        <f>IFERROR(ROUND(DO27/DR27,2),0)</f>
        <v/>
      </c>
      <c r="EA27" s="2" t="inlineStr">
        <is>
          <t>2023-10-04</t>
        </is>
      </c>
      <c r="EB27" s="5">
        <f>ROUND(8.04,2)</f>
        <v/>
      </c>
      <c r="EC27" s="3">
        <f>ROUND(14137.0,2)</f>
        <v/>
      </c>
      <c r="ED27" s="3">
        <f>ROUND(728.0,2)</f>
        <v/>
      </c>
      <c r="EE27" s="3">
        <f>ROUND(3814.0,2)</f>
        <v/>
      </c>
      <c r="EF27" s="3">
        <f>ROUND(2825.0,2)</f>
        <v/>
      </c>
      <c r="EG27" s="3">
        <f>ROUND(1485.0,2)</f>
        <v/>
      </c>
      <c r="EH27" s="3">
        <f>ROUND(1249.0,2)</f>
        <v/>
      </c>
      <c r="EI27" s="3">
        <f>ROUND(192.0,2)</f>
        <v/>
      </c>
      <c r="EJ27" s="4">
        <f>IFERROR((ED27/EC27),0)</f>
        <v/>
      </c>
      <c r="EK27" s="4">
        <f>IFERROR(((0+EB11+EB12+EB13+EB14+EB15+EB16+EB17+EB19+EB20+EB21+EB22+EB23+EB24+EB25+EB27)/T2),0)</f>
        <v/>
      </c>
      <c r="EL27" s="5">
        <f>IFERROR(ROUND(EB27/ED27,2),0)</f>
        <v/>
      </c>
      <c r="EM27" s="5">
        <f>IFERROR(ROUND(EB27/EE27,2),0)</f>
        <v/>
      </c>
      <c r="EN27" s="2" t="inlineStr">
        <is>
          <t>2023-10-04</t>
        </is>
      </c>
      <c r="EO27" s="5">
        <f>ROUND(2.91,2)</f>
        <v/>
      </c>
      <c r="EP27" s="3">
        <f>ROUND(4312.0,2)</f>
        <v/>
      </c>
      <c r="EQ27" s="3">
        <f>ROUND(244.0,2)</f>
        <v/>
      </c>
      <c r="ER27" s="3">
        <f>ROUND(295.0,2)</f>
        <v/>
      </c>
      <c r="ES27" s="3">
        <f>ROUND(190.0,2)</f>
        <v/>
      </c>
      <c r="ET27" s="3">
        <f>ROUND(94.0,2)</f>
        <v/>
      </c>
      <c r="EU27" s="3">
        <f>ROUND(45.0,2)</f>
        <v/>
      </c>
      <c r="EV27" s="3">
        <f>ROUND(31.0,2)</f>
        <v/>
      </c>
      <c r="EW27" s="4">
        <f>IFERROR((EQ27/EP27),0)</f>
        <v/>
      </c>
      <c r="EX27" s="4">
        <f>IFERROR(((0+EO11+EO12+EO13+EO14+EO15+EO16+EO17+EO19+EO20+EO21+EO22+EO23+EO24+EO25+EO27)/T2),0)</f>
        <v/>
      </c>
      <c r="EY27" s="5">
        <f>IFERROR(ROUND(EO27/EQ27,2),0)</f>
        <v/>
      </c>
      <c r="EZ27" s="5">
        <f>IFERROR(ROUND(EO27/ER27,2),0)</f>
        <v/>
      </c>
      <c r="FA27" s="2" t="inlineStr">
        <is>
          <t>2023-10-04</t>
        </is>
      </c>
      <c r="FB27" s="5">
        <f>ROUND(5.55,2)</f>
        <v/>
      </c>
      <c r="FC27" s="3">
        <f>ROUND(7567.0,2)</f>
        <v/>
      </c>
      <c r="FD27" s="3">
        <f>ROUND(430.0,2)</f>
        <v/>
      </c>
      <c r="FE27" s="3">
        <f>ROUND(1320.0,2)</f>
        <v/>
      </c>
      <c r="FF27" s="3">
        <f>ROUND(1179.0,2)</f>
        <v/>
      </c>
      <c r="FG27" s="3">
        <f>ROUND(575.0,2)</f>
        <v/>
      </c>
      <c r="FH27" s="3">
        <f>ROUND(423.0,2)</f>
        <v/>
      </c>
      <c r="FI27" s="3">
        <f>ROUND(194.0,2)</f>
        <v/>
      </c>
      <c r="FJ27" s="4">
        <f>IFERROR((FD27/FC27),0)</f>
        <v/>
      </c>
      <c r="FK27" s="4">
        <f>IFERROR(((0+FB11+FB12+FB13+FB14+FB15+FB16+FB17+FB19+FB20+FB21+FB22+FB23+FB24+FB25+FB27)/T2),0)</f>
        <v/>
      </c>
      <c r="FL27" s="5">
        <f>IFERROR(ROUND(FB27/FD27,2),0)</f>
        <v/>
      </c>
      <c r="FM27" s="5">
        <f>IFERROR(ROUND(FB27/FE27,2),0)</f>
        <v/>
      </c>
      <c r="FN27" s="2" t="inlineStr">
        <is>
          <t>2023-10-04</t>
        </is>
      </c>
      <c r="FO27" s="5">
        <f>ROUND(0.38,2)</f>
        <v/>
      </c>
      <c r="FP27" s="3">
        <f>ROUND(310.0,2)</f>
        <v/>
      </c>
      <c r="FQ27" s="3">
        <f>ROUND(17.0,2)</f>
        <v/>
      </c>
      <c r="FR27" s="3">
        <f>ROUND(114.0,2)</f>
        <v/>
      </c>
      <c r="FS27" s="3">
        <f>ROUND(100.0,2)</f>
        <v/>
      </c>
      <c r="FT27" s="3">
        <f>ROUND(35.0,2)</f>
        <v/>
      </c>
      <c r="FU27" s="3">
        <f>ROUND(26.0,2)</f>
        <v/>
      </c>
      <c r="FV27" s="3">
        <f>ROUND(2.0,2)</f>
        <v/>
      </c>
      <c r="FW27" s="4">
        <f>IFERROR((FQ27/FP27),0)</f>
        <v/>
      </c>
      <c r="FX27" s="4">
        <f>IFERROR(((0+FO11+FO12+FO13+FO14+FO15+FO16+FO17+FO19+FO20+FO21+FO22+FO23+FO24+FO25+FO27)/T2),0)</f>
        <v/>
      </c>
      <c r="FY27" s="5">
        <f>IFERROR(ROUND(FO27/FQ27,2),0)</f>
        <v/>
      </c>
      <c r="FZ27" s="5">
        <f>IFERROR(ROUND(FO27/FR27,2),0)</f>
        <v/>
      </c>
      <c r="GA27" s="2" t="inlineStr">
        <is>
          <t>2023-10-04</t>
        </is>
      </c>
      <c r="GB27" s="5">
        <f>ROUND(6.6,2)</f>
        <v/>
      </c>
      <c r="GC27" s="3">
        <f>ROUND(14802.0,2)</f>
        <v/>
      </c>
      <c r="GD27" s="3">
        <f>ROUND(494.0,2)</f>
        <v/>
      </c>
      <c r="GE27" s="3">
        <f>ROUND(2696.0,2)</f>
        <v/>
      </c>
      <c r="GF27" s="3">
        <f>ROUND(2004.0,2)</f>
        <v/>
      </c>
      <c r="GG27" s="3">
        <f>ROUND(881.0,2)</f>
        <v/>
      </c>
      <c r="GH27" s="3">
        <f>ROUND(532.0,2)</f>
        <v/>
      </c>
      <c r="GI27" s="3">
        <f>ROUND(251.0,2)</f>
        <v/>
      </c>
      <c r="GJ27" s="4">
        <f>IFERROR((GD27/GC27),0)</f>
        <v/>
      </c>
      <c r="GK27" s="4">
        <f>IFERROR(((0+GB11+GB12+GB13+GB14+GB15+GB16+GB17+GB19+GB20+GB21+GB22+GB23+GB24+GB25+GB27)/T2),0)</f>
        <v/>
      </c>
      <c r="GL27" s="5">
        <f>IFERROR(ROUND(GB27/GD27,2),0)</f>
        <v/>
      </c>
      <c r="GM27" s="5">
        <f>IFERROR(ROUND(GB27/GE27,2),0)</f>
        <v/>
      </c>
      <c r="GN27" s="2" t="inlineStr">
        <is>
          <t>2023-10-04</t>
        </is>
      </c>
      <c r="GO27" s="5">
        <f>ROUND(8.78,2)</f>
        <v/>
      </c>
      <c r="GP27" s="3">
        <f>ROUND(16531.0,2)</f>
        <v/>
      </c>
      <c r="GQ27" s="3">
        <f>ROUND(691.0,2)</f>
        <v/>
      </c>
      <c r="GR27" s="3">
        <f>ROUND(3039.0,2)</f>
        <v/>
      </c>
      <c r="GS27" s="3">
        <f>ROUND(2353.0,2)</f>
        <v/>
      </c>
      <c r="GT27" s="3">
        <f>ROUND(943.0,2)</f>
        <v/>
      </c>
      <c r="GU27" s="3">
        <f>ROUND(621.0,2)</f>
        <v/>
      </c>
      <c r="GV27" s="3">
        <f>ROUND(460.0,2)</f>
        <v/>
      </c>
      <c r="GW27" s="4">
        <f>IFERROR((GQ27/GP27),0)</f>
        <v/>
      </c>
      <c r="GX27" s="4">
        <f>IFERROR(((0+GO11+GO12+GO13+GO14+GO15+GO16+GO17+GO19+GO20+GO21+GO22+GO23+GO24+GO25+GO27)/T2),0)</f>
        <v/>
      </c>
      <c r="GY27" s="5">
        <f>IFERROR(ROUND(GO27/GQ27,2),0)</f>
        <v/>
      </c>
      <c r="GZ27" s="5">
        <f>IFERROR(ROUND(GO27/GR27,2),0)</f>
        <v/>
      </c>
      <c r="HA27" s="2" t="inlineStr">
        <is>
          <t>2023-10-04</t>
        </is>
      </c>
      <c r="HB27" s="5">
        <f>ROUND(10.26,2)</f>
        <v/>
      </c>
      <c r="HC27" s="3">
        <f>ROUND(9404.0,2)</f>
        <v/>
      </c>
      <c r="HD27" s="3">
        <f>ROUND(680.0,2)</f>
        <v/>
      </c>
      <c r="HE27" s="3">
        <f>ROUND(3753.0,2)</f>
        <v/>
      </c>
      <c r="HF27" s="3">
        <f>ROUND(3079.0,2)</f>
        <v/>
      </c>
      <c r="HG27" s="3">
        <f>ROUND(1659.0,2)</f>
        <v/>
      </c>
      <c r="HH27" s="3">
        <f>ROUND(1430.0,2)</f>
        <v/>
      </c>
      <c r="HI27" s="3">
        <f>ROUND(147.0,2)</f>
        <v/>
      </c>
      <c r="HJ27" s="4">
        <f>IFERROR((HD27/HC27),0)</f>
        <v/>
      </c>
      <c r="HK27" s="4">
        <f>IFERROR(((0+HB11+HB12+HB13+HB14+HB15+HB16+HB17+HB19+HB20+HB21+HB22+HB23+HB24+HB25+HB27)/T2),0)</f>
        <v/>
      </c>
      <c r="HL27" s="5">
        <f>IFERROR(ROUND(HB27/HD27,2),0)</f>
        <v/>
      </c>
      <c r="HM27" s="5">
        <f>IFERROR(ROUND(HB27/HE27,2),0)</f>
        <v/>
      </c>
      <c r="HN27" s="2" t="inlineStr">
        <is>
          <t>2023-10-04</t>
        </is>
      </c>
      <c r="HO27" s="5">
        <f>ROUND(1.63,2)</f>
        <v/>
      </c>
      <c r="HP27" s="3">
        <f>ROUND(1410.0,2)</f>
        <v/>
      </c>
      <c r="HQ27" s="3">
        <f>ROUND(110.0,2)</f>
        <v/>
      </c>
      <c r="HR27" s="3">
        <f>ROUND(644.0,2)</f>
        <v/>
      </c>
      <c r="HS27" s="3">
        <f>ROUND(588.0,2)</f>
        <v/>
      </c>
      <c r="HT27" s="3">
        <f>ROUND(363.0,2)</f>
        <v/>
      </c>
      <c r="HU27" s="3">
        <f>ROUND(303.0,2)</f>
        <v/>
      </c>
      <c r="HV27" s="3">
        <f>ROUND(273.0,2)</f>
        <v/>
      </c>
      <c r="HW27" s="4">
        <f>IFERROR((HQ27/HP27),0)</f>
        <v/>
      </c>
      <c r="HX27" s="4">
        <f>IFERROR(((0+HO11+HO12+HO13+HO14+HO15+HO16+HO17+HO19+HO20+HO21+HO22+HO23+HO24+HO25+HO27)/T2),0)</f>
        <v/>
      </c>
      <c r="HY27" s="5">
        <f>IFERROR(ROUND(HO27/HQ27,2),0)</f>
        <v/>
      </c>
      <c r="HZ27" s="5">
        <f>IFERROR(ROUND(HO27/HR27,2),0)</f>
        <v/>
      </c>
      <c r="IA27" s="2" t="inlineStr">
        <is>
          <t>2023-10-04</t>
        </is>
      </c>
      <c r="IB27" s="5">
        <f>ROUND(1.96,2)</f>
        <v/>
      </c>
      <c r="IC27" s="3">
        <f>ROUND(2507.0,2)</f>
        <v/>
      </c>
      <c r="ID27" s="3">
        <f>ROUND(141.0,2)</f>
        <v/>
      </c>
      <c r="IE27" s="3">
        <f>ROUND(639.0,2)</f>
        <v/>
      </c>
      <c r="IF27" s="3">
        <f>ROUND(529.0,2)</f>
        <v/>
      </c>
      <c r="IG27" s="3">
        <f>ROUND(284.0,2)</f>
        <v/>
      </c>
      <c r="IH27" s="3">
        <f>ROUND(229.0,2)</f>
        <v/>
      </c>
      <c r="II27" s="3">
        <f>ROUND(80.0,2)</f>
        <v/>
      </c>
      <c r="IJ27" s="4">
        <f>IFERROR((ID27/IC27),0)</f>
        <v/>
      </c>
      <c r="IK27" s="4">
        <f>IFERROR(((0+IB11+IB12+IB13+IB14+IB15+IB16+IB17+IB19+IB20+IB21+IB22+IB23+IB24+IB25+IB27)/T2),0)</f>
        <v/>
      </c>
      <c r="IL27" s="5">
        <f>IFERROR(ROUND(IB27/ID27,2),0)</f>
        <v/>
      </c>
      <c r="IM27" s="5">
        <f>IFERROR(ROUND(IB27/IE27,2),0)</f>
        <v/>
      </c>
      <c r="IN27" s="2" t="inlineStr">
        <is>
          <t>2023-10-04</t>
        </is>
      </c>
      <c r="IO27" s="5">
        <f>ROUND(8.69,2)</f>
        <v/>
      </c>
      <c r="IP27" s="3">
        <f>ROUND(18754.0,2)</f>
        <v/>
      </c>
      <c r="IQ27" s="3">
        <f>ROUND(625.0,2)</f>
        <v/>
      </c>
      <c r="IR27" s="3">
        <f>ROUND(4091.0,2)</f>
        <v/>
      </c>
      <c r="IS27" s="3">
        <f>ROUND(3623.0,2)</f>
        <v/>
      </c>
      <c r="IT27" s="3">
        <f>ROUND(2347.0,2)</f>
        <v/>
      </c>
      <c r="IU27" s="3">
        <f>ROUND(1932.0,2)</f>
        <v/>
      </c>
      <c r="IV27" s="3">
        <f>ROUND(1392.0,2)</f>
        <v/>
      </c>
      <c r="IW27" s="4">
        <f>IFERROR((IQ27/IP27),0)</f>
        <v/>
      </c>
      <c r="IX27" s="4">
        <f>IFERROR(((0+IO11+IO12+IO13+IO14+IO15+IO16+IO17+IO19+IO20+IO21+IO22+IO23+IO24+IO25+IO27)/T2),0)</f>
        <v/>
      </c>
      <c r="IY27" s="5">
        <f>IFERROR(ROUND(IO27/IQ27,2),0)</f>
        <v/>
      </c>
      <c r="IZ27" s="5">
        <f>IFERROR(ROUND(IO27/IR27,2),0)</f>
        <v/>
      </c>
      <c r="JA27" s="2" t="inlineStr">
        <is>
          <t>2023-10-04</t>
        </is>
      </c>
      <c r="JB27" s="5">
        <f>ROUND(2.06,2)</f>
        <v/>
      </c>
      <c r="JC27" s="3">
        <f>ROUND(2412.0,2)</f>
        <v/>
      </c>
      <c r="JD27" s="3">
        <f>ROUND(132.0,2)</f>
        <v/>
      </c>
      <c r="JE27" s="3">
        <f>ROUND(830.0,2)</f>
        <v/>
      </c>
      <c r="JF27" s="3">
        <f>ROUND(707.0,2)</f>
        <v/>
      </c>
      <c r="JG27" s="3">
        <f>ROUND(377.0,2)</f>
        <v/>
      </c>
      <c r="JH27" s="3">
        <f>ROUND(309.0,2)</f>
        <v/>
      </c>
      <c r="JI27" s="3">
        <f>ROUND(112.0,2)</f>
        <v/>
      </c>
      <c r="JJ27" s="4">
        <f>IFERROR((JD27/JC27),0)</f>
        <v/>
      </c>
      <c r="JK27" s="4">
        <f>IFERROR(((0+JB11+JB12+JB13+JB14+JB15+JB16+JB17+JB19+JB20+JB21+JB22+JB23+JB24+JB25+JB27)/T2),0)</f>
        <v/>
      </c>
      <c r="JL27" s="5">
        <f>IFERROR(ROUND(JB27/JD27,2),0)</f>
        <v/>
      </c>
      <c r="JM27" s="5">
        <f>IFERROR(ROUND(JB27/JE27,2),0)</f>
        <v/>
      </c>
    </row>
    <row r="28">
      <c r="A28" s="2" t="inlineStr">
        <is>
          <t>2023-10-05</t>
        </is>
      </c>
      <c r="B28" s="5">
        <f>ROUND(159.32,2)</f>
        <v/>
      </c>
      <c r="C28" s="3">
        <f>ROUND(315928.0,2)</f>
        <v/>
      </c>
      <c r="D28" s="3">
        <f>ROUND(14821.0,2)</f>
        <v/>
      </c>
      <c r="E28" s="3">
        <f>ROUND(100433.0,2)</f>
        <v/>
      </c>
      <c r="F28" s="3">
        <f>ROUND(87637.0,2)</f>
        <v/>
      </c>
      <c r="G28" s="3">
        <f>ROUND(41148.0,2)</f>
        <v/>
      </c>
      <c r="H28" s="3">
        <f>ROUND(28429.0,2)</f>
        <v/>
      </c>
      <c r="I28" s="3">
        <f>ROUND(14429.0,2)</f>
        <v/>
      </c>
      <c r="J28" s="4">
        <f>IFERROR((D28/C28),0)</f>
        <v/>
      </c>
      <c r="K28" s="4">
        <f>IFERROR(((0+B11+B12+B13+B14+B15+B16+B17+B19+B20+B21+B22+B23+B24+B25+B27+B28)/T2),0)</f>
        <v/>
      </c>
      <c r="L28" s="5">
        <f>IFERROR(ROUND(B28/D28,2),0)</f>
        <v/>
      </c>
      <c r="M28" s="5">
        <f>IFERROR(ROUND(B28/E28,2),0)</f>
        <v/>
      </c>
      <c r="N28" s="2" t="inlineStr">
        <is>
          <t>2023-10-05</t>
        </is>
      </c>
      <c r="O28" s="5">
        <f>ROUND(1.98,2)</f>
        <v/>
      </c>
      <c r="P28" s="3">
        <f>ROUND(5625.0,2)</f>
        <v/>
      </c>
      <c r="Q28" s="3">
        <f>ROUND(200.0,2)</f>
        <v/>
      </c>
      <c r="R28" s="3">
        <f>ROUND(880.0,2)</f>
        <v/>
      </c>
      <c r="S28" s="3">
        <f>ROUND(632.0,2)</f>
        <v/>
      </c>
      <c r="T28" s="3">
        <f>ROUND(265.0,2)</f>
        <v/>
      </c>
      <c r="U28" s="3">
        <f>ROUND(156.0,2)</f>
        <v/>
      </c>
      <c r="V28" s="3">
        <f>ROUND(42.0,2)</f>
        <v/>
      </c>
      <c r="W28" s="4">
        <f>IFERROR((Q28/P28),0)</f>
        <v/>
      </c>
      <c r="X28" s="4">
        <f>IFERROR(((0+O11+O12+O13+O14+O15+O16+O17+O19+O20+O21+O22+O23+O24+O25+O27+O28)/T2),0)</f>
        <v/>
      </c>
      <c r="Y28" s="5">
        <f>IFERROR(ROUND(O28/Q28,2),0)</f>
        <v/>
      </c>
      <c r="Z28" s="5">
        <f>IFERROR(ROUND(O28/R28,2),0)</f>
        <v/>
      </c>
      <c r="AA28" s="2" t="inlineStr">
        <is>
          <t>2023-10-05</t>
        </is>
      </c>
      <c r="AB28" s="5">
        <f>ROUND(9.08,2)</f>
        <v/>
      </c>
      <c r="AC28" s="3">
        <f>ROUND(9121.0,2)</f>
        <v/>
      </c>
      <c r="AD28" s="3">
        <f>ROUND(975.0,2)</f>
        <v/>
      </c>
      <c r="AE28" s="3">
        <f>ROUND(5640.0,2)</f>
        <v/>
      </c>
      <c r="AF28" s="3">
        <f>ROUND(5316.0,2)</f>
        <v/>
      </c>
      <c r="AG28" s="3">
        <f>ROUND(2657.0,2)</f>
        <v/>
      </c>
      <c r="AH28" s="3">
        <f>ROUND(2077.0,2)</f>
        <v/>
      </c>
      <c r="AI28" s="3">
        <f>ROUND(165.0,2)</f>
        <v/>
      </c>
      <c r="AJ28" s="4">
        <f>IFERROR((AD28/AC28),0)</f>
        <v/>
      </c>
      <c r="AK28" s="4">
        <f>IFERROR(((0+AB11+AB12+AB13+AB14+AB15+AB16+AB17+AB19+AB20+AB21+AB22+AB23+AB24+AB25+AB27+AB28)/T2),0)</f>
        <v/>
      </c>
      <c r="AL28" s="5">
        <f>IFERROR(ROUND(AB28/AD28,2),0)</f>
        <v/>
      </c>
      <c r="AM28" s="5">
        <f>IFERROR(ROUND(AB28/AE28,2),0)</f>
        <v/>
      </c>
      <c r="AN28" s="2" t="inlineStr">
        <is>
          <t>2023-10-05</t>
        </is>
      </c>
      <c r="AO28" s="5">
        <f>ROUND(2.81,2)</f>
        <v/>
      </c>
      <c r="AP28" s="3">
        <f>ROUND(3641.0,2)</f>
        <v/>
      </c>
      <c r="AQ28" s="3">
        <f>ROUND(285.0,2)</f>
        <v/>
      </c>
      <c r="AR28" s="3">
        <f>ROUND(2049.0,2)</f>
        <v/>
      </c>
      <c r="AS28" s="3">
        <f>ROUND(1948.0,2)</f>
        <v/>
      </c>
      <c r="AT28" s="3">
        <f>ROUND(1040.0,2)</f>
        <v/>
      </c>
      <c r="AU28" s="3">
        <f>ROUND(831.0,2)</f>
        <v/>
      </c>
      <c r="AV28" s="3">
        <f>ROUND(706.0,2)</f>
        <v/>
      </c>
      <c r="AW28" s="4">
        <f>IFERROR((AQ28/AP28),0)</f>
        <v/>
      </c>
      <c r="AX28" s="4">
        <f>IFERROR(((0+AO11+AO12+AO13+AO14+AO15+AO16+AO17+AO19+AO20+AO21+AO22+AO23+AO24+AO25+AO27+AO28)/T2),0)</f>
        <v/>
      </c>
      <c r="AY28" s="5">
        <f>IFERROR(ROUND(AO28/AQ28,2),0)</f>
        <v/>
      </c>
      <c r="AZ28" s="5">
        <f>IFERROR(ROUND(AO28/AR28,2),0)</f>
        <v/>
      </c>
      <c r="BA28" s="2" t="inlineStr">
        <is>
          <t>2023-10-05</t>
        </is>
      </c>
      <c r="BB28" s="5">
        <f>ROUND(16.89,2)</f>
        <v/>
      </c>
      <c r="BC28" s="3">
        <f>ROUND(54049.0,2)</f>
        <v/>
      </c>
      <c r="BD28" s="3">
        <f>ROUND(1857.0,2)</f>
        <v/>
      </c>
      <c r="BE28" s="3">
        <f>ROUND(11745.0,2)</f>
        <v/>
      </c>
      <c r="BF28" s="3">
        <f>ROUND(8839.0,2)</f>
        <v/>
      </c>
      <c r="BG28" s="3">
        <f>ROUND(3874.0,2)</f>
        <v/>
      </c>
      <c r="BH28" s="3">
        <f>ROUND(2286.0,2)</f>
        <v/>
      </c>
      <c r="BI28" s="3">
        <f>ROUND(1055.0,2)</f>
        <v/>
      </c>
      <c r="BJ28" s="4">
        <f>IFERROR((BD28/BC28),0)</f>
        <v/>
      </c>
      <c r="BK28" s="4">
        <f>IFERROR(((0+BB11+BB12+BB13+BB14+BB15+BB16+BB17+BB19+BB20+BB21+BB22+BB23+BB24+BB25+BB27+BB28)/T2),0)</f>
        <v/>
      </c>
      <c r="BL28" s="5">
        <f>IFERROR(ROUND(BB28/BD28,2),0)</f>
        <v/>
      </c>
      <c r="BM28" s="5">
        <f>IFERROR(ROUND(BB28/BE28,2),0)</f>
        <v/>
      </c>
      <c r="BN28" s="2" t="inlineStr">
        <is>
          <t>2023-10-05</t>
        </is>
      </c>
      <c r="BO28" s="5">
        <f>ROUND(14.35,2)</f>
        <v/>
      </c>
      <c r="BP28" s="3">
        <f>ROUND(46928.0,2)</f>
        <v/>
      </c>
      <c r="BQ28" s="3">
        <f>ROUND(1273.0,2)</f>
        <v/>
      </c>
      <c r="BR28" s="3">
        <f>ROUND(10790.0,2)</f>
        <v/>
      </c>
      <c r="BS28" s="3">
        <f>ROUND(9196.0,2)</f>
        <v/>
      </c>
      <c r="BT28" s="3">
        <f>ROUND(5134.0,2)</f>
        <v/>
      </c>
      <c r="BU28" s="3">
        <f>ROUND(4087.0,2)</f>
        <v/>
      </c>
      <c r="BV28" s="3">
        <f>ROUND(2585.0,2)</f>
        <v/>
      </c>
      <c r="BW28" s="4">
        <f>IFERROR((BQ28/BP28),0)</f>
        <v/>
      </c>
      <c r="BX28" s="4">
        <f>IFERROR(((0+BO11+BO12+BO13+BO14+BO15+BO16+BO17+BO19+BO20+BO21+BO22+BO23+BO24+BO25+BO27+BO28)/T2),0)</f>
        <v/>
      </c>
      <c r="BY28" s="5">
        <f>IFERROR(ROUND(BO28/BQ28,2),0)</f>
        <v/>
      </c>
      <c r="BZ28" s="5">
        <f>IFERROR(ROUND(BO28/BR28,2),0)</f>
        <v/>
      </c>
      <c r="CA28" s="2" t="inlineStr">
        <is>
          <t>2023-10-05</t>
        </is>
      </c>
      <c r="CB28" s="5">
        <f>ROUND(2.25,2)</f>
        <v/>
      </c>
      <c r="CC28" s="3">
        <f>ROUND(4052.0,2)</f>
        <v/>
      </c>
      <c r="CD28" s="3">
        <f>ROUND(222.0,2)</f>
        <v/>
      </c>
      <c r="CE28" s="3">
        <f>ROUND(1627.0,2)</f>
        <v/>
      </c>
      <c r="CF28" s="3">
        <f>ROUND(1378.0,2)</f>
        <v/>
      </c>
      <c r="CG28" s="3">
        <f>ROUND(654.0,2)</f>
        <v/>
      </c>
      <c r="CH28" s="3">
        <f>ROUND(476.0,2)</f>
        <v/>
      </c>
      <c r="CI28" s="3">
        <f>ROUND(96.0,2)</f>
        <v/>
      </c>
      <c r="CJ28" s="4">
        <f>IFERROR((CD28/CC28),0)</f>
        <v/>
      </c>
      <c r="CK28" s="4">
        <f>IFERROR(((0+CB11+CB12+CB13+CB14+CB15+CB16+CB17+CB19+CB20+CB21+CB22+CB23+CB24+CB25+CB27+CB28)/T2),0)</f>
        <v/>
      </c>
      <c r="CL28" s="5">
        <f>IFERROR(ROUND(CB28/CD28,2),0)</f>
        <v/>
      </c>
      <c r="CM28" s="5">
        <f>IFERROR(ROUND(CB28/CE28,2),0)</f>
        <v/>
      </c>
      <c r="CN28" s="2" t="inlineStr">
        <is>
          <t>2023-10-05</t>
        </is>
      </c>
      <c r="CO28" s="5">
        <f>ROUND(43.35,2)</f>
        <v/>
      </c>
      <c r="CP28" s="3">
        <f>ROUND(66189.0,2)</f>
        <v/>
      </c>
      <c r="CQ28" s="3">
        <f>ROUND(4506.0,2)</f>
        <v/>
      </c>
      <c r="CR28" s="3">
        <f>ROUND(38337.0,2)</f>
        <v/>
      </c>
      <c r="CS28" s="3">
        <f>ROUND(36462.0,2)</f>
        <v/>
      </c>
      <c r="CT28" s="3">
        <f>ROUND(15238.0,2)</f>
        <v/>
      </c>
      <c r="CU28" s="3">
        <f>ROUND(9307.0,2)</f>
        <v/>
      </c>
      <c r="CV28" s="3">
        <f>ROUND(6597.0,2)</f>
        <v/>
      </c>
      <c r="CW28" s="4">
        <f>IFERROR((CQ28/CP28),0)</f>
        <v/>
      </c>
      <c r="CX28" s="4">
        <f>IFERROR(((0+CO11+CO12+CO13+CO14+CO15+CO16+CO17+CO19+CO20+CO21+CO22+CO23+CO24+CO25+CO27+CO28)/T2),0)</f>
        <v/>
      </c>
      <c r="CY28" s="5">
        <f>IFERROR(ROUND(CO28/CQ28,2),0)</f>
        <v/>
      </c>
      <c r="CZ28" s="5">
        <f>IFERROR(ROUND(CO28/CR28,2),0)</f>
        <v/>
      </c>
      <c r="DA28" s="2" t="inlineStr">
        <is>
          <t>2023-10-05</t>
        </is>
      </c>
      <c r="DB28" s="5">
        <f>ROUND(5.91,2)</f>
        <v/>
      </c>
      <c r="DC28" s="3">
        <f>ROUND(12786.0,2)</f>
        <v/>
      </c>
      <c r="DD28" s="3">
        <f>ROUND(589.0,2)</f>
        <v/>
      </c>
      <c r="DE28" s="3">
        <f>ROUND(2428.0,2)</f>
        <v/>
      </c>
      <c r="DF28" s="3">
        <f>ROUND(1870.0,2)</f>
        <v/>
      </c>
      <c r="DG28" s="3">
        <f>ROUND(751.0,2)</f>
        <v/>
      </c>
      <c r="DH28" s="3">
        <f>ROUND(261.0,2)</f>
        <v/>
      </c>
      <c r="DI28" s="3">
        <f>ROUND(88.0,2)</f>
        <v/>
      </c>
      <c r="DJ28" s="4">
        <f>IFERROR((DD28/DC28),0)</f>
        <v/>
      </c>
      <c r="DK28" s="4">
        <f>IFERROR(((0+DB11+DB12+DB13+DB14+DB15+DB16+DB17+DB19+DB20+DB21+DB22+DB23+DB24+DB25+DB27+DB28)/T2),0)</f>
        <v/>
      </c>
      <c r="DL28" s="5">
        <f>IFERROR(ROUND(DB28/DD28,2),0)</f>
        <v/>
      </c>
      <c r="DM28" s="5">
        <f>IFERROR(ROUND(DB28/DE28,2),0)</f>
        <v/>
      </c>
      <c r="DN28" s="2" t="inlineStr">
        <is>
          <t>2023-10-05</t>
        </is>
      </c>
      <c r="DO28" s="5">
        <f>ROUND(8.77,2)</f>
        <v/>
      </c>
      <c r="DP28" s="3">
        <f>ROUND(26164.0,2)</f>
        <v/>
      </c>
      <c r="DQ28" s="3">
        <f>ROUND(896.0,2)</f>
        <v/>
      </c>
      <c r="DR28" s="3">
        <f>ROUND(3969.0,2)</f>
        <v/>
      </c>
      <c r="DS28" s="3">
        <f>ROUND(3051.0,2)</f>
        <v/>
      </c>
      <c r="DT28" s="3">
        <f>ROUND(1855.0,2)</f>
        <v/>
      </c>
      <c r="DU28" s="3">
        <f>ROUND(1211.0,2)</f>
        <v/>
      </c>
      <c r="DV28" s="3">
        <f>ROUND(616.0,2)</f>
        <v/>
      </c>
      <c r="DW28" s="4">
        <f>IFERROR((DQ28/DP28),0)</f>
        <v/>
      </c>
      <c r="DX28" s="4">
        <f>IFERROR(((0+DO11+DO12+DO13+DO14+DO15+DO16+DO17+DO19+DO20+DO21+DO22+DO23+DO24+DO25+DO27+DO28)/T2),0)</f>
        <v/>
      </c>
      <c r="DY28" s="5">
        <f>IFERROR(ROUND(DO28/DQ28,2),0)</f>
        <v/>
      </c>
      <c r="DZ28" s="5">
        <f>IFERROR(ROUND(DO28/DR28,2),0)</f>
        <v/>
      </c>
      <c r="EA28" s="2" t="inlineStr">
        <is>
          <t>2023-10-05</t>
        </is>
      </c>
      <c r="EB28" s="5">
        <f>ROUND(5.54,2)</f>
        <v/>
      </c>
      <c r="EC28" s="3">
        <f>ROUND(10779.0,2)</f>
        <v/>
      </c>
      <c r="ED28" s="3">
        <f>ROUND(559.0,2)</f>
        <v/>
      </c>
      <c r="EE28" s="3">
        <f>ROUND(3231.0,2)</f>
        <v/>
      </c>
      <c r="EF28" s="3">
        <f>ROUND(2397.0,2)</f>
        <v/>
      </c>
      <c r="EG28" s="3">
        <f>ROUND(1192.0,2)</f>
        <v/>
      </c>
      <c r="EH28" s="3">
        <f>ROUND(1024.0,2)</f>
        <v/>
      </c>
      <c r="EI28" s="3">
        <f>ROUND(129.0,2)</f>
        <v/>
      </c>
      <c r="EJ28" s="4">
        <f>IFERROR((ED28/EC28),0)</f>
        <v/>
      </c>
      <c r="EK28" s="4">
        <f>IFERROR(((0+EB11+EB12+EB13+EB14+EB15+EB16+EB17+EB19+EB20+EB21+EB22+EB23+EB24+EB25+EB27+EB28)/T2),0)</f>
        <v/>
      </c>
      <c r="EL28" s="5">
        <f>IFERROR(ROUND(EB28/ED28,2),0)</f>
        <v/>
      </c>
      <c r="EM28" s="5">
        <f>IFERROR(ROUND(EB28/EE28,2),0)</f>
        <v/>
      </c>
      <c r="EN28" s="2" t="inlineStr">
        <is>
          <t>2023-10-05</t>
        </is>
      </c>
      <c r="EO28" s="5">
        <f>ROUND(2.79,2)</f>
        <v/>
      </c>
      <c r="EP28" s="3">
        <f>ROUND(4107.0,2)</f>
        <v/>
      </c>
      <c r="EQ28" s="3">
        <f>ROUND(239.0,2)</f>
        <v/>
      </c>
      <c r="ER28" s="3">
        <f>ROUND(357.0,2)</f>
        <v/>
      </c>
      <c r="ES28" s="3">
        <f>ROUND(253.0,2)</f>
        <v/>
      </c>
      <c r="ET28" s="3">
        <f>ROUND(116.0,2)</f>
        <v/>
      </c>
      <c r="EU28" s="3">
        <f>ROUND(52.0,2)</f>
        <v/>
      </c>
      <c r="EV28" s="3">
        <f>ROUND(22.0,2)</f>
        <v/>
      </c>
      <c r="EW28" s="4">
        <f>IFERROR((EQ28/EP28),0)</f>
        <v/>
      </c>
      <c r="EX28" s="4">
        <f>IFERROR(((0+EO11+EO12+EO13+EO14+EO15+EO16+EO17+EO19+EO20+EO21+EO22+EO23+EO24+EO25+EO27+EO28)/T2),0)</f>
        <v/>
      </c>
      <c r="EY28" s="5">
        <f>IFERROR(ROUND(EO28/EQ28,2),0)</f>
        <v/>
      </c>
      <c r="EZ28" s="5">
        <f>IFERROR(ROUND(EO28/ER28,2),0)</f>
        <v/>
      </c>
      <c r="FA28" s="2" t="inlineStr">
        <is>
          <t>2023-10-05</t>
        </is>
      </c>
      <c r="FB28" s="5">
        <f>ROUND(3.52,2)</f>
        <v/>
      </c>
      <c r="FC28" s="3">
        <f>ROUND(4876.0,2)</f>
        <v/>
      </c>
      <c r="FD28" s="3">
        <f>ROUND(262.0,2)</f>
        <v/>
      </c>
      <c r="FE28" s="3">
        <f>ROUND(832.0,2)</f>
        <v/>
      </c>
      <c r="FF28" s="3">
        <f>ROUND(720.0,2)</f>
        <v/>
      </c>
      <c r="FG28" s="3">
        <f>ROUND(335.0,2)</f>
        <v/>
      </c>
      <c r="FH28" s="3">
        <f>ROUND(245.0,2)</f>
        <v/>
      </c>
      <c r="FI28" s="3">
        <f>ROUND(85.0,2)</f>
        <v/>
      </c>
      <c r="FJ28" s="4">
        <f>IFERROR((FD28/FC28),0)</f>
        <v/>
      </c>
      <c r="FK28" s="4">
        <f>IFERROR(((0+FB11+FB12+FB13+FB14+FB15+FB16+FB17+FB19+FB20+FB21+FB22+FB23+FB24+FB25+FB27+FB28)/T2),0)</f>
        <v/>
      </c>
      <c r="FL28" s="5">
        <f>IFERROR(ROUND(FB28/FD28,2),0)</f>
        <v/>
      </c>
      <c r="FM28" s="5">
        <f>IFERROR(ROUND(FB28/FE28,2),0)</f>
        <v/>
      </c>
      <c r="FN28" s="2" t="inlineStr">
        <is>
          <t>2023-10-05</t>
        </is>
      </c>
      <c r="FO28" s="5">
        <f>ROUND(0.5,2)</f>
        <v/>
      </c>
      <c r="FP28" s="3">
        <f>ROUND(516.0,2)</f>
        <v/>
      </c>
      <c r="FQ28" s="3">
        <f>ROUND(31.0,2)</f>
        <v/>
      </c>
      <c r="FR28" s="3">
        <f>ROUND(273.0,2)</f>
        <v/>
      </c>
      <c r="FS28" s="3">
        <f>ROUND(254.0,2)</f>
        <v/>
      </c>
      <c r="FT28" s="3">
        <f>ROUND(114.0,2)</f>
        <v/>
      </c>
      <c r="FU28" s="3">
        <f>ROUND(72.0,2)</f>
        <v/>
      </c>
      <c r="FV28" s="3">
        <f>ROUND(10.0,2)</f>
        <v/>
      </c>
      <c r="FW28" s="4">
        <f>IFERROR((FQ28/FP28),0)</f>
        <v/>
      </c>
      <c r="FX28" s="4">
        <f>IFERROR(((0+FO11+FO12+FO13+FO14+FO15+FO16+FO17+FO19+FO20+FO21+FO22+FO23+FO24+FO25+FO27+FO28)/T2),0)</f>
        <v/>
      </c>
      <c r="FY28" s="5">
        <f>IFERROR(ROUND(FO28/FQ28,2),0)</f>
        <v/>
      </c>
      <c r="FZ28" s="5">
        <f>IFERROR(ROUND(FO28/FR28,2),0)</f>
        <v/>
      </c>
      <c r="GA28" s="2" t="inlineStr">
        <is>
          <t>2023-10-05</t>
        </is>
      </c>
      <c r="GB28" s="5">
        <f>ROUND(7.71,2)</f>
        <v/>
      </c>
      <c r="GC28" s="3">
        <f>ROUND(16696.0,2)</f>
        <v/>
      </c>
      <c r="GD28" s="3">
        <f>ROUND(610.0,2)</f>
        <v/>
      </c>
      <c r="GE28" s="3">
        <f>ROUND(3051.0,2)</f>
        <v/>
      </c>
      <c r="GF28" s="3">
        <f>ROUND(2387.0,2)</f>
        <v/>
      </c>
      <c r="GG28" s="3">
        <f>ROUND(1087.0,2)</f>
        <v/>
      </c>
      <c r="GH28" s="3">
        <f>ROUND(707.0,2)</f>
        <v/>
      </c>
      <c r="GI28" s="3">
        <f>ROUND(254.0,2)</f>
        <v/>
      </c>
      <c r="GJ28" s="4">
        <f>IFERROR((GD28/GC28),0)</f>
        <v/>
      </c>
      <c r="GK28" s="4">
        <f>IFERROR(((0+GB11+GB12+GB13+GB14+GB15+GB16+GB17+GB19+GB20+GB21+GB22+GB23+GB24+GB25+GB27+GB28)/T2),0)</f>
        <v/>
      </c>
      <c r="GL28" s="5">
        <f>IFERROR(ROUND(GB28/GD28,2),0)</f>
        <v/>
      </c>
      <c r="GM28" s="5">
        <f>IFERROR(ROUND(GB28/GE28,2),0)</f>
        <v/>
      </c>
      <c r="GN28" s="2" t="inlineStr">
        <is>
          <t>2023-10-05</t>
        </is>
      </c>
      <c r="GO28" s="5">
        <f>ROUND(6.13,2)</f>
        <v/>
      </c>
      <c r="GP28" s="3">
        <f>ROUND(12244.0,2)</f>
        <v/>
      </c>
      <c r="GQ28" s="3">
        <f>ROUND(443.0,2)</f>
        <v/>
      </c>
      <c r="GR28" s="3">
        <f>ROUND(2298.0,2)</f>
        <v/>
      </c>
      <c r="GS28" s="3">
        <f>ROUND(1817.0,2)</f>
        <v/>
      </c>
      <c r="GT28" s="3">
        <f>ROUND(724.0,2)</f>
        <v/>
      </c>
      <c r="GU28" s="3">
        <f>ROUND(496.0,2)</f>
        <v/>
      </c>
      <c r="GV28" s="3">
        <f>ROUND(395.0,2)</f>
        <v/>
      </c>
      <c r="GW28" s="4">
        <f>IFERROR((GQ28/GP28),0)</f>
        <v/>
      </c>
      <c r="GX28" s="4">
        <f>IFERROR(((0+GO11+GO12+GO13+GO14+GO15+GO16+GO17+GO19+GO20+GO21+GO22+GO23+GO24+GO25+GO27+GO28)/T2),0)</f>
        <v/>
      </c>
      <c r="GY28" s="5">
        <f>IFERROR(ROUND(GO28/GQ28,2),0)</f>
        <v/>
      </c>
      <c r="GZ28" s="5">
        <f>IFERROR(ROUND(GO28/GR28,2),0)</f>
        <v/>
      </c>
      <c r="HA28" s="2" t="inlineStr">
        <is>
          <t>2023-10-05</t>
        </is>
      </c>
      <c r="HB28" s="5">
        <f>ROUND(14.92,2)</f>
        <v/>
      </c>
      <c r="HC28" s="3">
        <f>ROUND(16224.0,2)</f>
        <v/>
      </c>
      <c r="HD28" s="3">
        <f>ROUND(979.0,2)</f>
        <v/>
      </c>
      <c r="HE28" s="3">
        <f>ROUND(6857.0,2)</f>
        <v/>
      </c>
      <c r="HF28" s="3">
        <f>ROUND(5766.0,2)</f>
        <v/>
      </c>
      <c r="HG28" s="3">
        <f>ROUND(2933.0,2)</f>
        <v/>
      </c>
      <c r="HH28" s="3">
        <f>ROUND(2564.0,2)</f>
        <v/>
      </c>
      <c r="HI28" s="3">
        <f>ROUND(196.0,2)</f>
        <v/>
      </c>
      <c r="HJ28" s="4">
        <f>IFERROR((HD28/HC28),0)</f>
        <v/>
      </c>
      <c r="HK28" s="4">
        <f>IFERROR(((0+HB11+HB12+HB13+HB14+HB15+HB16+HB17+HB19+HB20+HB21+HB22+HB23+HB24+HB25+HB27+HB28)/T2),0)</f>
        <v/>
      </c>
      <c r="HL28" s="5">
        <f>IFERROR(ROUND(HB28/HD28,2),0)</f>
        <v/>
      </c>
      <c r="HM28" s="5">
        <f>IFERROR(ROUND(HB28/HE28,2),0)</f>
        <v/>
      </c>
      <c r="HN28" s="2" t="inlineStr">
        <is>
          <t>2023-10-05</t>
        </is>
      </c>
      <c r="HO28" s="5">
        <f>ROUND(1.43,2)</f>
        <v/>
      </c>
      <c r="HP28" s="3">
        <f>ROUND(1402.0,2)</f>
        <v/>
      </c>
      <c r="HQ28" s="3">
        <f>ROUND(93.0,2)</f>
        <v/>
      </c>
      <c r="HR28" s="3">
        <f>ROUND(650.0,2)</f>
        <v/>
      </c>
      <c r="HS28" s="3">
        <f>ROUND(603.0,2)</f>
        <v/>
      </c>
      <c r="HT28" s="3">
        <f>ROUND(353.0,2)</f>
        <v/>
      </c>
      <c r="HU28" s="3">
        <f>ROUND(293.0,2)</f>
        <v/>
      </c>
      <c r="HV28" s="3">
        <f>ROUND(256.0,2)</f>
        <v/>
      </c>
      <c r="HW28" s="4">
        <f>IFERROR((HQ28/HP28),0)</f>
        <v/>
      </c>
      <c r="HX28" s="4">
        <f>IFERROR(((0+HO11+HO12+HO13+HO14+HO15+HO16+HO17+HO19+HO20+HO21+HO22+HO23+HO24+HO25+HO27+HO28)/T2),0)</f>
        <v/>
      </c>
      <c r="HY28" s="5">
        <f>IFERROR(ROUND(HO28/HQ28,2),0)</f>
        <v/>
      </c>
      <c r="HZ28" s="5">
        <f>IFERROR(ROUND(HO28/HR28,2),0)</f>
        <v/>
      </c>
      <c r="IA28" s="2" t="inlineStr">
        <is>
          <t>2023-10-05</t>
        </is>
      </c>
      <c r="IB28" s="5">
        <f>ROUND(2.96,2)</f>
        <v/>
      </c>
      <c r="IC28" s="3">
        <f>ROUND(4437.0,2)</f>
        <v/>
      </c>
      <c r="ID28" s="3">
        <f>ROUND(204.0,2)</f>
        <v/>
      </c>
      <c r="IE28" s="3">
        <f>ROUND(1419.0,2)</f>
        <v/>
      </c>
      <c r="IF28" s="3">
        <f>ROUND(1248.0,2)</f>
        <v/>
      </c>
      <c r="IG28" s="3">
        <f>ROUND(719.0,2)</f>
        <v/>
      </c>
      <c r="IH28" s="3">
        <f>ROUND(570.0,2)</f>
        <v/>
      </c>
      <c r="II28" s="3">
        <f>ROUND(74.0,2)</f>
        <v/>
      </c>
      <c r="IJ28" s="4">
        <f>IFERROR((ID28/IC28),0)</f>
        <v/>
      </c>
      <c r="IK28" s="4">
        <f>IFERROR(((0+IB11+IB12+IB13+IB14+IB15+IB16+IB17+IB19+IB20+IB21+IB22+IB23+IB24+IB25+IB27+IB28)/T2),0)</f>
        <v/>
      </c>
      <c r="IL28" s="5">
        <f>IFERROR(ROUND(IB28/ID28,2),0)</f>
        <v/>
      </c>
      <c r="IM28" s="5">
        <f>IFERROR(ROUND(IB28/IE28,2),0)</f>
        <v/>
      </c>
      <c r="IN28" s="2" t="inlineStr">
        <is>
          <t>2023-10-05</t>
        </is>
      </c>
      <c r="IO28" s="5">
        <f>ROUND(6.37,2)</f>
        <v/>
      </c>
      <c r="IP28" s="3">
        <f>ROUND(13405.0,2)</f>
        <v/>
      </c>
      <c r="IQ28" s="3">
        <f>ROUND(465.0,2)</f>
        <v/>
      </c>
      <c r="IR28" s="3">
        <f>ROUND(2914.0,2)</f>
        <v/>
      </c>
      <c r="IS28" s="3">
        <f>ROUND(2542.0,2)</f>
        <v/>
      </c>
      <c r="IT28" s="3">
        <f>ROUND(1635.0,2)</f>
        <v/>
      </c>
      <c r="IU28" s="3">
        <f>ROUND(1343.0,2)</f>
        <v/>
      </c>
      <c r="IV28" s="3">
        <f>ROUND(975.0,2)</f>
        <v/>
      </c>
      <c r="IW28" s="4">
        <f>IFERROR((IQ28/IP28),0)</f>
        <v/>
      </c>
      <c r="IX28" s="4">
        <f>IFERROR(((0+IO11+IO12+IO13+IO14+IO15+IO16+IO17+IO19+IO20+IO21+IO22+IO23+IO24+IO25+IO27+IO28)/T2),0)</f>
        <v/>
      </c>
      <c r="IY28" s="5">
        <f>IFERROR(ROUND(IO28/IQ28,2),0)</f>
        <v/>
      </c>
      <c r="IZ28" s="5">
        <f>IFERROR(ROUND(IO28/IR28,2),0)</f>
        <v/>
      </c>
      <c r="JA28" s="2" t="inlineStr">
        <is>
          <t>2023-10-05</t>
        </is>
      </c>
      <c r="JB28" s="5">
        <f>ROUND(2.06,2)</f>
        <v/>
      </c>
      <c r="JC28" s="3">
        <f>ROUND(2687.0,2)</f>
        <v/>
      </c>
      <c r="JD28" s="3">
        <f>ROUND(133.0,2)</f>
        <v/>
      </c>
      <c r="JE28" s="3">
        <f>ROUND(1086.0,2)</f>
        <v/>
      </c>
      <c r="JF28" s="3">
        <f>ROUND(958.0,2)</f>
        <v/>
      </c>
      <c r="JG28" s="3">
        <f>ROUND(472.0,2)</f>
        <v/>
      </c>
      <c r="JH28" s="3">
        <f>ROUND(371.0,2)</f>
        <v/>
      </c>
      <c r="JI28" s="3">
        <f>ROUND(83.0,2)</f>
        <v/>
      </c>
      <c r="JJ28" s="4">
        <f>IFERROR((JD28/JC28),0)</f>
        <v/>
      </c>
      <c r="JK28" s="4">
        <f>IFERROR(((0+JB11+JB12+JB13+JB14+JB15+JB16+JB17+JB19+JB20+JB21+JB22+JB23+JB24+JB25+JB27+JB28)/T2),0)</f>
        <v/>
      </c>
      <c r="JL28" s="5">
        <f>IFERROR(ROUND(JB28/JD28,2),0)</f>
        <v/>
      </c>
      <c r="JM28" s="5">
        <f>IFERROR(ROUND(JB28/JE28,2),0)</f>
        <v/>
      </c>
    </row>
    <row r="29">
      <c r="A29" s="2" t="inlineStr">
        <is>
          <t>2023-10-06</t>
        </is>
      </c>
      <c r="B29" s="5">
        <f>ROUND(176.07999999999998,2)</f>
        <v/>
      </c>
      <c r="C29" s="3">
        <f>ROUND(316189.0,2)</f>
        <v/>
      </c>
      <c r="D29" s="3">
        <f>ROUND(13451.0,2)</f>
        <v/>
      </c>
      <c r="E29" s="3">
        <f>ROUND(88572.0,2)</f>
        <v/>
      </c>
      <c r="F29" s="3">
        <f>ROUND(74510.0,2)</f>
        <v/>
      </c>
      <c r="G29" s="3">
        <f>ROUND(35836.0,2)</f>
        <v/>
      </c>
      <c r="H29" s="3">
        <f>ROUND(24796.0,2)</f>
        <v/>
      </c>
      <c r="I29" s="3">
        <f>ROUND(13697.0,2)</f>
        <v/>
      </c>
      <c r="J29" s="4">
        <f>IFERROR((D29/C29),0)</f>
        <v/>
      </c>
      <c r="K29" s="4">
        <f>IFERROR(((0+B11+B12+B13+B14+B15+B16+B17+B19+B20+B21+B22+B23+B24+B25+B27+B28+B29)/T2),0)</f>
        <v/>
      </c>
      <c r="L29" s="5">
        <f>IFERROR(ROUND(B29/D29,2),0)</f>
        <v/>
      </c>
      <c r="M29" s="5">
        <f>IFERROR(ROUND(B29/E29,2),0)</f>
        <v/>
      </c>
      <c r="N29" s="2" t="inlineStr">
        <is>
          <t>2023-10-06</t>
        </is>
      </c>
      <c r="O29" s="5">
        <f>ROUND(2.29,2)</f>
        <v/>
      </c>
      <c r="P29" s="3">
        <f>ROUND(6792.0,2)</f>
        <v/>
      </c>
      <c r="Q29" s="3">
        <f>ROUND(192.0,2)</f>
        <v/>
      </c>
      <c r="R29" s="3">
        <f>ROUND(871.0,2)</f>
        <v/>
      </c>
      <c r="S29" s="3">
        <f>ROUND(594.0,2)</f>
        <v/>
      </c>
      <c r="T29" s="3">
        <f>ROUND(246.0,2)</f>
        <v/>
      </c>
      <c r="U29" s="3">
        <f>ROUND(146.0,2)</f>
        <v/>
      </c>
      <c r="V29" s="3">
        <f>ROUND(70.0,2)</f>
        <v/>
      </c>
      <c r="W29" s="4">
        <f>IFERROR((Q29/P29),0)</f>
        <v/>
      </c>
      <c r="X29" s="4">
        <f>IFERROR(((0+O11+O12+O13+O14+O15+O16+O17+O19+O20+O21+O22+O23+O24+O25+O27+O28+O29)/T2),0)</f>
        <v/>
      </c>
      <c r="Y29" s="5">
        <f>IFERROR(ROUND(O29/Q29,2),0)</f>
        <v/>
      </c>
      <c r="Z29" s="5">
        <f>IFERROR(ROUND(O29/R29,2),0)</f>
        <v/>
      </c>
      <c r="AA29" s="2" t="inlineStr">
        <is>
          <t>2023-10-06</t>
        </is>
      </c>
      <c r="AB29" s="5">
        <f>ROUND(6.55,2)</f>
        <v/>
      </c>
      <c r="AC29" s="3">
        <f>ROUND(6004.0,2)</f>
        <v/>
      </c>
      <c r="AD29" s="3">
        <f>ROUND(429.0,2)</f>
        <v/>
      </c>
      <c r="AE29" s="3">
        <f>ROUND(3171.0,2)</f>
        <v/>
      </c>
      <c r="AF29" s="3">
        <f>ROUND(2878.0,2)</f>
        <v/>
      </c>
      <c r="AG29" s="3">
        <f>ROUND(1703.0,2)</f>
        <v/>
      </c>
      <c r="AH29" s="3">
        <f>ROUND(1447.0,2)</f>
        <v/>
      </c>
      <c r="AI29" s="3">
        <f>ROUND(96.0,2)</f>
        <v/>
      </c>
      <c r="AJ29" s="4">
        <f>IFERROR((AD29/AC29),0)</f>
        <v/>
      </c>
      <c r="AK29" s="4">
        <f>IFERROR(((0+AB11+AB12+AB13+AB14+AB15+AB16+AB17+AB19+AB20+AB21+AB22+AB23+AB24+AB25+AB27+AB28+AB29)/T2),0)</f>
        <v/>
      </c>
      <c r="AL29" s="5">
        <f>IFERROR(ROUND(AB29/AD29,2),0)</f>
        <v/>
      </c>
      <c r="AM29" s="5">
        <f>IFERROR(ROUND(AB29/AE29,2),0)</f>
        <v/>
      </c>
      <c r="AN29" s="2" t="inlineStr">
        <is>
          <t>2023-10-06</t>
        </is>
      </c>
      <c r="AO29" s="5">
        <f>ROUND(1.89,2)</f>
        <v/>
      </c>
      <c r="AP29" s="3">
        <f>ROUND(1898.0,2)</f>
        <v/>
      </c>
      <c r="AQ29" s="3">
        <f>ROUND(131.0,2)</f>
        <v/>
      </c>
      <c r="AR29" s="3">
        <f>ROUND(766.0,2)</f>
        <v/>
      </c>
      <c r="AS29" s="3">
        <f>ROUND(676.0,2)</f>
        <v/>
      </c>
      <c r="AT29" s="3">
        <f>ROUND(424.0,2)</f>
        <v/>
      </c>
      <c r="AU29" s="3">
        <f>ROUND(369.0,2)</f>
        <v/>
      </c>
      <c r="AV29" s="3">
        <f>ROUND(331.0,2)</f>
        <v/>
      </c>
      <c r="AW29" s="4">
        <f>IFERROR((AQ29/AP29),0)</f>
        <v/>
      </c>
      <c r="AX29" s="4">
        <f>IFERROR(((0+AO11+AO12+AO13+AO14+AO15+AO16+AO17+AO19+AO20+AO21+AO22+AO23+AO24+AO25+AO27+AO28+AO29)/T2),0)</f>
        <v/>
      </c>
      <c r="AY29" s="5">
        <f>IFERROR(ROUND(AO29/AQ29,2),0)</f>
        <v/>
      </c>
      <c r="AZ29" s="5">
        <f>IFERROR(ROUND(AO29/AR29,2),0)</f>
        <v/>
      </c>
      <c r="BA29" s="2" t="inlineStr">
        <is>
          <t>2023-10-06</t>
        </is>
      </c>
      <c r="BB29" s="5">
        <f>ROUND(32.23,2)</f>
        <v/>
      </c>
      <c r="BC29" s="3">
        <f>ROUND(89727.0,2)</f>
        <v/>
      </c>
      <c r="BD29" s="3">
        <f>ROUND(2956.0,2)</f>
        <v/>
      </c>
      <c r="BE29" s="3">
        <f>ROUND(20614.0,2)</f>
        <v/>
      </c>
      <c r="BF29" s="3">
        <f>ROUND(15755.0,2)</f>
        <v/>
      </c>
      <c r="BG29" s="3">
        <f>ROUND(6972.0,2)</f>
        <v/>
      </c>
      <c r="BH29" s="3">
        <f>ROUND(4166.0,2)</f>
        <v/>
      </c>
      <c r="BI29" s="3">
        <f>ROUND(2022.0,2)</f>
        <v/>
      </c>
      <c r="BJ29" s="4">
        <f>IFERROR((BD29/BC29),0)</f>
        <v/>
      </c>
      <c r="BK29" s="4">
        <f>IFERROR(((0+BB11+BB12+BB13+BB14+BB15+BB16+BB17+BB19+BB20+BB21+BB22+BB23+BB24+BB25+BB27+BB28+BB29)/T2),0)</f>
        <v/>
      </c>
      <c r="BL29" s="5">
        <f>IFERROR(ROUND(BB29/BD29,2),0)</f>
        <v/>
      </c>
      <c r="BM29" s="5">
        <f>IFERROR(ROUND(BB29/BE29,2),0)</f>
        <v/>
      </c>
      <c r="BN29" s="2" t="inlineStr">
        <is>
          <t>2023-10-06</t>
        </is>
      </c>
      <c r="BO29" s="5">
        <f>ROUND(16.45,2)</f>
        <v/>
      </c>
      <c r="BP29" s="3">
        <f>ROUND(38941.0,2)</f>
        <v/>
      </c>
      <c r="BQ29" s="3">
        <f>ROUND(1295.0,2)</f>
        <v/>
      </c>
      <c r="BR29" s="3">
        <f>ROUND(10231.0,2)</f>
        <v/>
      </c>
      <c r="BS29" s="3">
        <f>ROUND(8757.0,2)</f>
        <v/>
      </c>
      <c r="BT29" s="3">
        <f>ROUND(5112.0,2)</f>
        <v/>
      </c>
      <c r="BU29" s="3">
        <f>ROUND(4176.0,2)</f>
        <v/>
      </c>
      <c r="BV29" s="3">
        <f>ROUND(2738.0,2)</f>
        <v/>
      </c>
      <c r="BW29" s="4">
        <f>IFERROR((BQ29/BP29),0)</f>
        <v/>
      </c>
      <c r="BX29" s="4">
        <f>IFERROR(((0+BO11+BO12+BO13+BO14+BO15+BO16+BO17+BO19+BO20+BO21+BO22+BO23+BO24+BO25+BO27+BO28+BO29)/T2),0)</f>
        <v/>
      </c>
      <c r="BY29" s="5">
        <f>IFERROR(ROUND(BO29/BQ29,2),0)</f>
        <v/>
      </c>
      <c r="BZ29" s="5">
        <f>IFERROR(ROUND(BO29/BR29,2),0)</f>
        <v/>
      </c>
      <c r="CA29" s="2" t="inlineStr">
        <is>
          <t>2023-10-06</t>
        </is>
      </c>
      <c r="CB29" s="5">
        <f>ROUND(2.39,2)</f>
        <v/>
      </c>
      <c r="CC29" s="3">
        <f>ROUND(4172.0,2)</f>
        <v/>
      </c>
      <c r="CD29" s="3">
        <f>ROUND(195.0,2)</f>
        <v/>
      </c>
      <c r="CE29" s="3">
        <f>ROUND(1183.0,2)</f>
        <v/>
      </c>
      <c r="CF29" s="3">
        <f>ROUND(856.0,2)</f>
        <v/>
      </c>
      <c r="CG29" s="3">
        <f>ROUND(398.0,2)</f>
        <v/>
      </c>
      <c r="CH29" s="3">
        <f>ROUND(281.0,2)</f>
        <v/>
      </c>
      <c r="CI29" s="3">
        <f>ROUND(102.0,2)</f>
        <v/>
      </c>
      <c r="CJ29" s="4">
        <f>IFERROR((CD29/CC29),0)</f>
        <v/>
      </c>
      <c r="CK29" s="4">
        <f>IFERROR(((0+CB11+CB12+CB13+CB14+CB15+CB16+CB17+CB19+CB20+CB21+CB22+CB23+CB24+CB25+CB27+CB28+CB29)/T2),0)</f>
        <v/>
      </c>
      <c r="CL29" s="5">
        <f>IFERROR(ROUND(CB29/CD29,2),0)</f>
        <v/>
      </c>
      <c r="CM29" s="5">
        <f>IFERROR(ROUND(CB29/CE29,2),0)</f>
        <v/>
      </c>
      <c r="CN29" s="2" t="inlineStr">
        <is>
          <t>2023-10-06</t>
        </is>
      </c>
      <c r="CO29" s="5">
        <f>ROUND(40.25,2)</f>
        <v/>
      </c>
      <c r="CP29" s="3">
        <f>ROUND(51233.0,2)</f>
        <v/>
      </c>
      <c r="CQ29" s="3">
        <f>ROUND(3096.0,2)</f>
        <v/>
      </c>
      <c r="CR29" s="3">
        <f>ROUND(27349.0,2)</f>
        <v/>
      </c>
      <c r="CS29" s="3">
        <f>ROUND(25824.0,2)</f>
        <v/>
      </c>
      <c r="CT29" s="3">
        <f>ROUND(11045.0,2)</f>
        <v/>
      </c>
      <c r="CU29" s="3">
        <f>ROUND(6838.0,2)</f>
        <v/>
      </c>
      <c r="CV29" s="3">
        <f>ROUND(4692.0,2)</f>
        <v/>
      </c>
      <c r="CW29" s="4">
        <f>IFERROR((CQ29/CP29),0)</f>
        <v/>
      </c>
      <c r="CX29" s="4">
        <f>IFERROR(((0+CO11+CO12+CO13+CO14+CO15+CO16+CO17+CO19+CO20+CO21+CO22+CO23+CO24+CO25+CO27+CO28+CO29)/T2),0)</f>
        <v/>
      </c>
      <c r="CY29" s="5">
        <f>IFERROR(ROUND(CO29/CQ29,2),0)</f>
        <v/>
      </c>
      <c r="CZ29" s="5">
        <f>IFERROR(ROUND(CO29/CR29,2),0)</f>
        <v/>
      </c>
      <c r="DA29" s="2" t="inlineStr">
        <is>
          <t>2023-10-06</t>
        </is>
      </c>
      <c r="DB29" s="5">
        <f>ROUND(4.3,2)</f>
        <v/>
      </c>
      <c r="DC29" s="3">
        <f>ROUND(9265.0,2)</f>
        <v/>
      </c>
      <c r="DD29" s="3">
        <f>ROUND(365.0,2)</f>
        <v/>
      </c>
      <c r="DE29" s="3">
        <f>ROUND(1069.0,2)</f>
        <v/>
      </c>
      <c r="DF29" s="3">
        <f>ROUND(669.0,2)</f>
        <v/>
      </c>
      <c r="DG29" s="3">
        <f>ROUND(291.0,2)</f>
        <v/>
      </c>
      <c r="DH29" s="3">
        <f>ROUND(144.0,2)</f>
        <v/>
      </c>
      <c r="DI29" s="3">
        <f>ROUND(71.0,2)</f>
        <v/>
      </c>
      <c r="DJ29" s="4">
        <f>IFERROR((DD29/DC29),0)</f>
        <v/>
      </c>
      <c r="DK29" s="4">
        <f>IFERROR(((0+DB11+DB12+DB13+DB14+DB15+DB16+DB17+DB19+DB20+DB21+DB22+DB23+DB24+DB25+DB27+DB28+DB29)/T2),0)</f>
        <v/>
      </c>
      <c r="DL29" s="5">
        <f>IFERROR(ROUND(DB29/DD29,2),0)</f>
        <v/>
      </c>
      <c r="DM29" s="5">
        <f>IFERROR(ROUND(DB29/DE29,2),0)</f>
        <v/>
      </c>
      <c r="DN29" s="2" t="inlineStr">
        <is>
          <t>2023-10-06</t>
        </is>
      </c>
      <c r="DO29" s="5">
        <f>ROUND(11.34,2)</f>
        <v/>
      </c>
      <c r="DP29" s="3">
        <f>ROUND(24840.0,2)</f>
        <v/>
      </c>
      <c r="DQ29" s="3">
        <f>ROUND(1042.0,2)</f>
        <v/>
      </c>
      <c r="DR29" s="3">
        <f>ROUND(3529.0,2)</f>
        <v/>
      </c>
      <c r="DS29" s="3">
        <f>ROUND(2645.0,2)</f>
        <v/>
      </c>
      <c r="DT29" s="3">
        <f>ROUND(1570.0,2)</f>
        <v/>
      </c>
      <c r="DU29" s="3">
        <f>ROUND(1043.0,2)</f>
        <v/>
      </c>
      <c r="DV29" s="3">
        <f>ROUND(556.0,2)</f>
        <v/>
      </c>
      <c r="DW29" s="4">
        <f>IFERROR((DQ29/DP29),0)</f>
        <v/>
      </c>
      <c r="DX29" s="4">
        <f>IFERROR(((0+DO11+DO12+DO13+DO14+DO15+DO16+DO17+DO19+DO20+DO21+DO22+DO23+DO24+DO25+DO27+DO28+DO29)/T2),0)</f>
        <v/>
      </c>
      <c r="DY29" s="5">
        <f>IFERROR(ROUND(DO29/DQ29,2),0)</f>
        <v/>
      </c>
      <c r="DZ29" s="5">
        <f>IFERROR(ROUND(DO29/DR29,2),0)</f>
        <v/>
      </c>
      <c r="EA29" s="2" t="inlineStr">
        <is>
          <t>2023-10-06</t>
        </is>
      </c>
      <c r="EB29" s="5">
        <f>ROUND(6.39,2)</f>
        <v/>
      </c>
      <c r="EC29" s="3">
        <f>ROUND(13504.0,2)</f>
        <v/>
      </c>
      <c r="ED29" s="3">
        <f>ROUND(571.0,2)</f>
        <v/>
      </c>
      <c r="EE29" s="3">
        <f>ROUND(3134.0,2)</f>
        <v/>
      </c>
      <c r="EF29" s="3">
        <f>ROUND(2043.0,2)</f>
        <v/>
      </c>
      <c r="EG29" s="3">
        <f>ROUND(1037.0,2)</f>
        <v/>
      </c>
      <c r="EH29" s="3">
        <f>ROUND(804.0,2)</f>
        <v/>
      </c>
      <c r="EI29" s="3">
        <f>ROUND(257.0,2)</f>
        <v/>
      </c>
      <c r="EJ29" s="4">
        <f>IFERROR((ED29/EC29),0)</f>
        <v/>
      </c>
      <c r="EK29" s="4">
        <f>IFERROR(((0+EB11+EB12+EB13+EB14+EB15+EB16+EB17+EB19+EB20+EB21+EB22+EB23+EB24+EB25+EB27+EB28+EB29)/T2),0)</f>
        <v/>
      </c>
      <c r="EL29" s="5">
        <f>IFERROR(ROUND(EB29/ED29,2),0)</f>
        <v/>
      </c>
      <c r="EM29" s="5">
        <f>IFERROR(ROUND(EB29/EE29,2),0)</f>
        <v/>
      </c>
      <c r="EN29" s="2" t="inlineStr">
        <is>
          <t>2023-10-06</t>
        </is>
      </c>
      <c r="EO29" s="5">
        <f>ROUND(3.09,2)</f>
        <v/>
      </c>
      <c r="EP29" s="3">
        <f>ROUND(3629.0,2)</f>
        <v/>
      </c>
      <c r="EQ29" s="3">
        <f>ROUND(207.0,2)</f>
        <v/>
      </c>
      <c r="ER29" s="3">
        <f>ROUND(467.0,2)</f>
        <v/>
      </c>
      <c r="ES29" s="3">
        <f>ROUND(363.0,2)</f>
        <v/>
      </c>
      <c r="ET29" s="3">
        <f>ROUND(161.0,2)</f>
        <v/>
      </c>
      <c r="EU29" s="3">
        <f>ROUND(52.0,2)</f>
        <v/>
      </c>
      <c r="EV29" s="3">
        <f>ROUND(23.0,2)</f>
        <v/>
      </c>
      <c r="EW29" s="4">
        <f>IFERROR((EQ29/EP29),0)</f>
        <v/>
      </c>
      <c r="EX29" s="4">
        <f>IFERROR(((0+EO11+EO12+EO13+EO14+EO15+EO16+EO17+EO19+EO20+EO21+EO22+EO23+EO24+EO25+EO27+EO28+EO29)/T2),0)</f>
        <v/>
      </c>
      <c r="EY29" s="5">
        <f>IFERROR(ROUND(EO29/EQ29,2),0)</f>
        <v/>
      </c>
      <c r="EZ29" s="5">
        <f>IFERROR(ROUND(EO29/ER29,2),0)</f>
        <v/>
      </c>
      <c r="FA29" s="2" t="inlineStr">
        <is>
          <t>2023-10-06</t>
        </is>
      </c>
      <c r="FB29" s="5">
        <f>ROUND(8.25,2)</f>
        <v/>
      </c>
      <c r="FC29" s="3">
        <f>ROUND(8824.0,2)</f>
        <v/>
      </c>
      <c r="FD29" s="3">
        <f>ROUND(512.0,2)</f>
        <v/>
      </c>
      <c r="FE29" s="3">
        <f>ROUND(1708.0,2)</f>
        <v/>
      </c>
      <c r="FF29" s="3">
        <f>ROUND(1558.0,2)</f>
        <v/>
      </c>
      <c r="FG29" s="3">
        <f>ROUND(787.0,2)</f>
        <v/>
      </c>
      <c r="FH29" s="3">
        <f>ROUND(586.0,2)</f>
        <v/>
      </c>
      <c r="FI29" s="3">
        <f>ROUND(177.0,2)</f>
        <v/>
      </c>
      <c r="FJ29" s="4">
        <f>IFERROR((FD29/FC29),0)</f>
        <v/>
      </c>
      <c r="FK29" s="4">
        <f>IFERROR(((0+FB11+FB12+FB13+FB14+FB15+FB16+FB17+FB19+FB20+FB21+FB22+FB23+FB24+FB25+FB27+FB28+FB29)/T2),0)</f>
        <v/>
      </c>
      <c r="FL29" s="5">
        <f>IFERROR(ROUND(FB29/FD29,2),0)</f>
        <v/>
      </c>
      <c r="FM29" s="5">
        <f>IFERROR(ROUND(FB29/FE29,2),0)</f>
        <v/>
      </c>
      <c r="FN29" s="2" t="inlineStr">
        <is>
          <t>2023-10-06</t>
        </is>
      </c>
      <c r="FO29" s="5">
        <f>ROUND(0.47,2)</f>
        <v/>
      </c>
      <c r="FP29" s="3">
        <f>ROUND(271.0,2)</f>
        <v/>
      </c>
      <c r="FQ29" s="3">
        <f>ROUND(15.0,2)</f>
        <v/>
      </c>
      <c r="FR29" s="3">
        <f>ROUND(122.0,2)</f>
        <v/>
      </c>
      <c r="FS29" s="3">
        <f>ROUND(111.0,2)</f>
        <v/>
      </c>
      <c r="FT29" s="3">
        <f>ROUND(40.0,2)</f>
        <v/>
      </c>
      <c r="FU29" s="3">
        <f>ROUND(33.0,2)</f>
        <v/>
      </c>
      <c r="FV29" s="3">
        <f>ROUND(5.0,2)</f>
        <v/>
      </c>
      <c r="FW29" s="4">
        <f>IFERROR((FQ29/FP29),0)</f>
        <v/>
      </c>
      <c r="FX29" s="4">
        <f>IFERROR(((0+FO11+FO12+FO13+FO14+FO15+FO16+FO17+FO19+FO20+FO21+FO22+FO23+FO24+FO25+FO27+FO28+FO29)/T2),0)</f>
        <v/>
      </c>
      <c r="FY29" s="5">
        <f>IFERROR(ROUND(FO29/FQ29,2),0)</f>
        <v/>
      </c>
      <c r="FZ29" s="5">
        <f>IFERROR(ROUND(FO29/FR29,2),0)</f>
        <v/>
      </c>
      <c r="GA29" s="2" t="inlineStr">
        <is>
          <t>2023-10-06</t>
        </is>
      </c>
      <c r="GB29" s="5">
        <f>ROUND(7.86,2)</f>
        <v/>
      </c>
      <c r="GC29" s="3">
        <f>ROUND(14974.0,2)</f>
        <v/>
      </c>
      <c r="GD29" s="3">
        <f>ROUND(541.0,2)</f>
        <v/>
      </c>
      <c r="GE29" s="3">
        <f>ROUND(2878.0,2)</f>
        <v/>
      </c>
      <c r="GF29" s="3">
        <f>ROUND(2133.0,2)</f>
        <v/>
      </c>
      <c r="GG29" s="3">
        <f>ROUND(950.0,2)</f>
        <v/>
      </c>
      <c r="GH29" s="3">
        <f>ROUND(564.0,2)</f>
        <v/>
      </c>
      <c r="GI29" s="3">
        <f>ROUND(226.0,2)</f>
        <v/>
      </c>
      <c r="GJ29" s="4">
        <f>IFERROR((GD29/GC29),0)</f>
        <v/>
      </c>
      <c r="GK29" s="4">
        <f>IFERROR(((0+GB11+GB12+GB13+GB14+GB15+GB16+GB17+GB19+GB20+GB21+GB22+GB23+GB24+GB25+GB27+GB28+GB29)/T2),0)</f>
        <v/>
      </c>
      <c r="GL29" s="5">
        <f>IFERROR(ROUND(GB29/GD29,2),0)</f>
        <v/>
      </c>
      <c r="GM29" s="5">
        <f>IFERROR(ROUND(GB29/GE29,2),0)</f>
        <v/>
      </c>
      <c r="GN29" s="2" t="inlineStr">
        <is>
          <t>2023-10-06</t>
        </is>
      </c>
      <c r="GO29" s="5">
        <f>ROUND(6.69,2)</f>
        <v/>
      </c>
      <c r="GP29" s="3">
        <f>ROUND(11678.0,2)</f>
        <v/>
      </c>
      <c r="GQ29" s="3">
        <f>ROUND(444.0,2)</f>
        <v/>
      </c>
      <c r="GR29" s="3">
        <f>ROUND(2123.0,2)</f>
        <v/>
      </c>
      <c r="GS29" s="3">
        <f>ROUND(1643.0,2)</f>
        <v/>
      </c>
      <c r="GT29" s="3">
        <f>ROUND(654.0,2)</f>
        <v/>
      </c>
      <c r="GU29" s="3">
        <f>ROUND(450.0,2)</f>
        <v/>
      </c>
      <c r="GV29" s="3">
        <f>ROUND(332.0,2)</f>
        <v/>
      </c>
      <c r="GW29" s="4">
        <f>IFERROR((GQ29/GP29),0)</f>
        <v/>
      </c>
      <c r="GX29" s="4">
        <f>IFERROR(((0+GO11+GO12+GO13+GO14+GO15+GO16+GO17+GO19+GO20+GO21+GO22+GO23+GO24+GO25+GO27+GO28+GO29)/T2),0)</f>
        <v/>
      </c>
      <c r="GY29" s="5">
        <f>IFERROR(ROUND(GO29/GQ29,2),0)</f>
        <v/>
      </c>
      <c r="GZ29" s="5">
        <f>IFERROR(ROUND(GO29/GR29,2),0)</f>
        <v/>
      </c>
      <c r="HA29" s="2" t="inlineStr">
        <is>
          <t>2023-10-06</t>
        </is>
      </c>
      <c r="HB29" s="5">
        <f>ROUND(8.23,2)</f>
        <v/>
      </c>
      <c r="HC29" s="3">
        <f>ROUND(6009.0,2)</f>
        <v/>
      </c>
      <c r="HD29" s="3">
        <f>ROUND(477.0,2)</f>
        <v/>
      </c>
      <c r="HE29" s="3">
        <f>ROUND(2733.0,2)</f>
        <v/>
      </c>
      <c r="HF29" s="3">
        <f>ROUND(2277.0,2)</f>
        <v/>
      </c>
      <c r="HG29" s="3">
        <f>ROUND(1044.0,2)</f>
        <v/>
      </c>
      <c r="HH29" s="3">
        <f>ROUND(914.0,2)</f>
        <v/>
      </c>
      <c r="HI29" s="3">
        <f>ROUND(101.0,2)</f>
        <v/>
      </c>
      <c r="HJ29" s="4">
        <f>IFERROR((HD29/HC29),0)</f>
        <v/>
      </c>
      <c r="HK29" s="4">
        <f>IFERROR(((0+HB11+HB12+HB13+HB14+HB15+HB16+HB17+HB19+HB20+HB21+HB22+HB23+HB24+HB25+HB27+HB28+HB29)/T2),0)</f>
        <v/>
      </c>
      <c r="HL29" s="5">
        <f>IFERROR(ROUND(HB29/HD29,2),0)</f>
        <v/>
      </c>
      <c r="HM29" s="5">
        <f>IFERROR(ROUND(HB29/HE29,2),0)</f>
        <v/>
      </c>
      <c r="HN29" s="2" t="inlineStr">
        <is>
          <t>2023-10-06</t>
        </is>
      </c>
      <c r="HO29" s="5">
        <f>ROUND(3.47,2)</f>
        <v/>
      </c>
      <c r="HP29" s="3">
        <f>ROUND(2585.0,2)</f>
        <v/>
      </c>
      <c r="HQ29" s="3">
        <f>ROUND(182.0,2)</f>
        <v/>
      </c>
      <c r="HR29" s="3">
        <f>ROUND(1180.0,2)</f>
        <v/>
      </c>
      <c r="HS29" s="3">
        <f>ROUND(1088.0,2)</f>
        <v/>
      </c>
      <c r="HT29" s="3">
        <f>ROUND(632.0,2)</f>
        <v/>
      </c>
      <c r="HU29" s="3">
        <f>ROUND(527.0,2)</f>
        <v/>
      </c>
      <c r="HV29" s="3">
        <f>ROUND(473.0,2)</f>
        <v/>
      </c>
      <c r="HW29" s="4">
        <f>IFERROR((HQ29/HP29),0)</f>
        <v/>
      </c>
      <c r="HX29" s="4">
        <f>IFERROR(((0+HO11+HO12+HO13+HO14+HO15+HO16+HO17+HO19+HO20+HO21+HO22+HO23+HO24+HO25+HO27+HO28+HO29)/T2),0)</f>
        <v/>
      </c>
      <c r="HY29" s="5">
        <f>IFERROR(ROUND(HO29/HQ29,2),0)</f>
        <v/>
      </c>
      <c r="HZ29" s="5">
        <f>IFERROR(ROUND(HO29/HR29,2),0)</f>
        <v/>
      </c>
      <c r="IA29" s="2" t="inlineStr">
        <is>
          <t>2023-10-06</t>
        </is>
      </c>
      <c r="IB29" s="5">
        <f>ROUND(1.48,2)</f>
        <v/>
      </c>
      <c r="IC29" s="3">
        <f>ROUND(1775.0,2)</f>
        <v/>
      </c>
      <c r="ID29" s="3">
        <f>ROUND(94.0,2)</f>
        <v/>
      </c>
      <c r="IE29" s="3">
        <f>ROUND(438.0,2)</f>
        <v/>
      </c>
      <c r="IF29" s="3">
        <f>ROUND(354.0,2)</f>
        <v/>
      </c>
      <c r="IG29" s="3">
        <f>ROUND(179.0,2)</f>
        <v/>
      </c>
      <c r="IH29" s="3">
        <f>ROUND(123.0,2)</f>
        <v/>
      </c>
      <c r="II29" s="3">
        <f>ROUND(39.0,2)</f>
        <v/>
      </c>
      <c r="IJ29" s="4">
        <f>IFERROR((ID29/IC29),0)</f>
        <v/>
      </c>
      <c r="IK29" s="4">
        <f>IFERROR(((0+IB11+IB12+IB13+IB14+IB15+IB16+IB17+IB19+IB20+IB21+IB22+IB23+IB24+IB25+IB27+IB28+IB29)/T2),0)</f>
        <v/>
      </c>
      <c r="IL29" s="5">
        <f>IFERROR(ROUND(IB29/ID29,2),0)</f>
        <v/>
      </c>
      <c r="IM29" s="5">
        <f>IFERROR(ROUND(IB29/IE29,2),0)</f>
        <v/>
      </c>
      <c r="IN29" s="2" t="inlineStr">
        <is>
          <t>2023-10-06</t>
        </is>
      </c>
      <c r="IO29" s="5">
        <f>ROUND(9.45,2)</f>
        <v/>
      </c>
      <c r="IP29" s="3">
        <f>ROUND(17046.0,2)</f>
        <v/>
      </c>
      <c r="IQ29" s="3">
        <f>ROUND(549.0,2)</f>
        <v/>
      </c>
      <c r="IR29" s="3">
        <f>ROUND(3919.0,2)</f>
        <v/>
      </c>
      <c r="IS29" s="3">
        <f>ROUND(3334.0,2)</f>
        <v/>
      </c>
      <c r="IT29" s="3">
        <f>ROUND(2095.0,2)</f>
        <v/>
      </c>
      <c r="IU29" s="3">
        <f>ROUND(1727.0,2)</f>
        <v/>
      </c>
      <c r="IV29" s="3">
        <f>ROUND(1282.0,2)</f>
        <v/>
      </c>
      <c r="IW29" s="4">
        <f>IFERROR((IQ29/IP29),0)</f>
        <v/>
      </c>
      <c r="IX29" s="4">
        <f>IFERROR(((0+IO11+IO12+IO13+IO14+IO15+IO16+IO17+IO19+IO20+IO21+IO22+IO23+IO24+IO25+IO27+IO28+IO29)/T2),0)</f>
        <v/>
      </c>
      <c r="IY29" s="5">
        <f>IFERROR(ROUND(IO29/IQ29,2),0)</f>
        <v/>
      </c>
      <c r="IZ29" s="5">
        <f>IFERROR(ROUND(IO29/IR29,2),0)</f>
        <v/>
      </c>
      <c r="JA29" s="2" t="inlineStr">
        <is>
          <t>2023-10-06</t>
        </is>
      </c>
      <c r="JB29" s="5">
        <f>ROUND(3.01,2)</f>
        <v/>
      </c>
      <c r="JC29" s="3">
        <f>ROUND(3022.0,2)</f>
        <v/>
      </c>
      <c r="JD29" s="3">
        <f>ROUND(158.0,2)</f>
        <v/>
      </c>
      <c r="JE29" s="3">
        <f>ROUND(1087.0,2)</f>
        <v/>
      </c>
      <c r="JF29" s="3">
        <f>ROUND(952.0,2)</f>
        <v/>
      </c>
      <c r="JG29" s="3">
        <f>ROUND(496.0,2)</f>
        <v/>
      </c>
      <c r="JH29" s="3">
        <f>ROUND(406.0,2)</f>
        <v/>
      </c>
      <c r="JI29" s="3">
        <f>ROUND(104.0,2)</f>
        <v/>
      </c>
      <c r="JJ29" s="4">
        <f>IFERROR((JD29/JC29),0)</f>
        <v/>
      </c>
      <c r="JK29" s="4">
        <f>IFERROR(((0+JB11+JB12+JB13+JB14+JB15+JB16+JB17+JB19+JB20+JB21+JB22+JB23+JB24+JB25+JB27+JB28+JB29)/T2),0)</f>
        <v/>
      </c>
      <c r="JL29" s="5">
        <f>IFERROR(ROUND(JB29/JD29,2),0)</f>
        <v/>
      </c>
      <c r="JM29" s="5">
        <f>IFERROR(ROUND(JB29/JE29,2),0)</f>
        <v/>
      </c>
    </row>
    <row r="30">
      <c r="A30" s="2" t="inlineStr">
        <is>
          <t>2023-10-07</t>
        </is>
      </c>
      <c r="B30" s="5">
        <f>ROUND(168.19,2)</f>
        <v/>
      </c>
      <c r="C30" s="3">
        <f>ROUND(311934.0,2)</f>
        <v/>
      </c>
      <c r="D30" s="3">
        <f>ROUND(13311.0,2)</f>
        <v/>
      </c>
      <c r="E30" s="3">
        <f>ROUND(86022.0,2)</f>
        <v/>
      </c>
      <c r="F30" s="3">
        <f>ROUND(72399.0,2)</f>
        <v/>
      </c>
      <c r="G30" s="3">
        <f>ROUND(34215.0,2)</f>
        <v/>
      </c>
      <c r="H30" s="3">
        <f>ROUND(23063.0,2)</f>
        <v/>
      </c>
      <c r="I30" s="3">
        <f>ROUND(13037.0,2)</f>
        <v/>
      </c>
      <c r="J30" s="4">
        <f>IFERROR((D30/C30),0)</f>
        <v/>
      </c>
      <c r="K30" s="4">
        <f>IFERROR(((0+B11+B12+B13+B14+B15+B16+B17+B19+B20+B21+B22+B23+B24+B25+B27+B28+B29+B30)/T2),0)</f>
        <v/>
      </c>
      <c r="L30" s="5">
        <f>IFERROR(ROUND(B30/D30,2),0)</f>
        <v/>
      </c>
      <c r="M30" s="5">
        <f>IFERROR(ROUND(B30/E30,2),0)</f>
        <v/>
      </c>
      <c r="N30" s="2" t="inlineStr">
        <is>
          <t>2023-10-07</t>
        </is>
      </c>
      <c r="O30" s="5">
        <f>ROUND(2.32,2)</f>
        <v/>
      </c>
      <c r="P30" s="3">
        <f>ROUND(6207.0,2)</f>
        <v/>
      </c>
      <c r="Q30" s="3">
        <f>ROUND(204.0,2)</f>
        <v/>
      </c>
      <c r="R30" s="3">
        <f>ROUND(937.0,2)</f>
        <v/>
      </c>
      <c r="S30" s="3">
        <f>ROUND(682.0,2)</f>
        <v/>
      </c>
      <c r="T30" s="3">
        <f>ROUND(298.0,2)</f>
        <v/>
      </c>
      <c r="U30" s="3">
        <f>ROUND(201.0,2)</f>
        <v/>
      </c>
      <c r="V30" s="3">
        <f>ROUND(67.0,2)</f>
        <v/>
      </c>
      <c r="W30" s="4">
        <f>IFERROR((Q30/P30),0)</f>
        <v/>
      </c>
      <c r="X30" s="4">
        <f>IFERROR(((0+O11+O12+O13+O14+O15+O16+O17+O19+O20+O21+O22+O23+O24+O25+O27+O28+O29+O30)/T2),0)</f>
        <v/>
      </c>
      <c r="Y30" s="5">
        <f>IFERROR(ROUND(O30/Q30,2),0)</f>
        <v/>
      </c>
      <c r="Z30" s="5">
        <f>IFERROR(ROUND(O30/R30,2),0)</f>
        <v/>
      </c>
      <c r="AA30" s="2" t="inlineStr">
        <is>
          <t>2023-10-07</t>
        </is>
      </c>
      <c r="AB30" s="5">
        <f>ROUND(3.05,2)</f>
        <v/>
      </c>
      <c r="AC30" s="3">
        <f>ROUND(3073.0,2)</f>
        <v/>
      </c>
      <c r="AD30" s="3">
        <f>ROUND(245.0,2)</f>
        <v/>
      </c>
      <c r="AE30" s="3">
        <f>ROUND(1669.0,2)</f>
        <v/>
      </c>
      <c r="AF30" s="3">
        <f>ROUND(1546.0,2)</f>
        <v/>
      </c>
      <c r="AG30" s="3">
        <f>ROUND(872.0,2)</f>
        <v/>
      </c>
      <c r="AH30" s="3">
        <f>ROUND(730.0,2)</f>
        <v/>
      </c>
      <c r="AI30" s="3">
        <f>ROUND(53.0,2)</f>
        <v/>
      </c>
      <c r="AJ30" s="4">
        <f>IFERROR((AD30/AC30),0)</f>
        <v/>
      </c>
      <c r="AK30" s="4">
        <f>IFERROR(((0+AB11+AB12+AB13+AB14+AB15+AB16+AB17+AB19+AB20+AB21+AB22+AB23+AB24+AB25+AB27+AB28+AB29+AB30)/T2),0)</f>
        <v/>
      </c>
      <c r="AL30" s="5">
        <f>IFERROR(ROUND(AB30/AD30,2),0)</f>
        <v/>
      </c>
      <c r="AM30" s="5">
        <f>IFERROR(ROUND(AB30/AE30,2),0)</f>
        <v/>
      </c>
      <c r="AN30" s="2" t="inlineStr">
        <is>
          <t>2023-10-07</t>
        </is>
      </c>
      <c r="AO30" s="5">
        <f>ROUND(1.49,2)</f>
        <v/>
      </c>
      <c r="AP30" s="3">
        <f>ROUND(1950.0,2)</f>
        <v/>
      </c>
      <c r="AQ30" s="3">
        <f>ROUND(103.0,2)</f>
        <v/>
      </c>
      <c r="AR30" s="3">
        <f>ROUND(742.0,2)</f>
        <v/>
      </c>
      <c r="AS30" s="3">
        <f>ROUND(636.0,2)</f>
        <v/>
      </c>
      <c r="AT30" s="3">
        <f>ROUND(393.0,2)</f>
        <v/>
      </c>
      <c r="AU30" s="3">
        <f>ROUND(321.0,2)</f>
        <v/>
      </c>
      <c r="AV30" s="3">
        <f>ROUND(275.0,2)</f>
        <v/>
      </c>
      <c r="AW30" s="4">
        <f>IFERROR((AQ30/AP30),0)</f>
        <v/>
      </c>
      <c r="AX30" s="4">
        <f>IFERROR(((0+AO11+AO12+AO13+AO14+AO15+AO16+AO17+AO19+AO20+AO21+AO22+AO23+AO24+AO25+AO27+AO28+AO29+AO30)/T2),0)</f>
        <v/>
      </c>
      <c r="AY30" s="5">
        <f>IFERROR(ROUND(AO30/AQ30,2),0)</f>
        <v/>
      </c>
      <c r="AZ30" s="5">
        <f>IFERROR(ROUND(AO30/AR30,2),0)</f>
        <v/>
      </c>
      <c r="BA30" s="2" t="inlineStr">
        <is>
          <t>2023-10-07</t>
        </is>
      </c>
      <c r="BB30" s="5">
        <f>ROUND(22.01,2)</f>
        <v/>
      </c>
      <c r="BC30" s="3">
        <f>ROUND(64072.0,2)</f>
        <v/>
      </c>
      <c r="BD30" s="3">
        <f>ROUND(2117.0,2)</f>
        <v/>
      </c>
      <c r="BE30" s="3">
        <f>ROUND(13787.0,2)</f>
        <v/>
      </c>
      <c r="BF30" s="3">
        <f>ROUND(10284.0,2)</f>
        <v/>
      </c>
      <c r="BG30" s="3">
        <f>ROUND(4436.0,2)</f>
        <v/>
      </c>
      <c r="BH30" s="3">
        <f>ROUND(2618.0,2)</f>
        <v/>
      </c>
      <c r="BI30" s="3">
        <f>ROUND(1295.0,2)</f>
        <v/>
      </c>
      <c r="BJ30" s="4">
        <f>IFERROR((BD30/BC30),0)</f>
        <v/>
      </c>
      <c r="BK30" s="4">
        <f>IFERROR(((0+BB11+BB12+BB13+BB14+BB15+BB16+BB17+BB19+BB20+BB21+BB22+BB23+BB24+BB25+BB27+BB28+BB29+BB30)/T2),0)</f>
        <v/>
      </c>
      <c r="BL30" s="5">
        <f>IFERROR(ROUND(BB30/BD30,2),0)</f>
        <v/>
      </c>
      <c r="BM30" s="5">
        <f>IFERROR(ROUND(BB30/BE30,2),0)</f>
        <v/>
      </c>
      <c r="BN30" s="2" t="inlineStr">
        <is>
          <t>2023-10-07</t>
        </is>
      </c>
      <c r="BO30" s="5">
        <f>ROUND(14.56,2)</f>
        <v/>
      </c>
      <c r="BP30" s="3">
        <f>ROUND(37980.0,2)</f>
        <v/>
      </c>
      <c r="BQ30" s="3">
        <f>ROUND(1243.0,2)</f>
        <v/>
      </c>
      <c r="BR30" s="3">
        <f>ROUND(8890.0,2)</f>
        <v/>
      </c>
      <c r="BS30" s="3">
        <f>ROUND(7499.0,2)</f>
        <v/>
      </c>
      <c r="BT30" s="3">
        <f>ROUND(4269.0,2)</f>
        <v/>
      </c>
      <c r="BU30" s="3">
        <f>ROUND(3398.0,2)</f>
        <v/>
      </c>
      <c r="BV30" s="3">
        <f>ROUND(2109.0,2)</f>
        <v/>
      </c>
      <c r="BW30" s="4">
        <f>IFERROR((BQ30/BP30),0)</f>
        <v/>
      </c>
      <c r="BX30" s="4">
        <f>IFERROR(((0+BO11+BO12+BO13+BO14+BO15+BO16+BO17+BO19+BO20+BO21+BO22+BO23+BO24+BO25+BO27+BO28+BO29+BO30)/T2),0)</f>
        <v/>
      </c>
      <c r="BY30" s="5">
        <f>IFERROR(ROUND(BO30/BQ30,2),0)</f>
        <v/>
      </c>
      <c r="BZ30" s="5">
        <f>IFERROR(ROUND(BO30/BR30,2),0)</f>
        <v/>
      </c>
      <c r="CA30" s="2" t="inlineStr">
        <is>
          <t>2023-10-07</t>
        </is>
      </c>
      <c r="CB30" s="5">
        <f>ROUND(2.93,2)</f>
        <v/>
      </c>
      <c r="CC30" s="3">
        <f>ROUND(5301.0,2)</f>
        <v/>
      </c>
      <c r="CD30" s="3">
        <f>ROUND(255.0,2)</f>
        <v/>
      </c>
      <c r="CE30" s="3">
        <f>ROUND(1590.0,2)</f>
        <v/>
      </c>
      <c r="CF30" s="3">
        <f>ROUND(1209.0,2)</f>
        <v/>
      </c>
      <c r="CG30" s="3">
        <f>ROUND(563.0,2)</f>
        <v/>
      </c>
      <c r="CH30" s="3">
        <f>ROUND(379.0,2)</f>
        <v/>
      </c>
      <c r="CI30" s="3">
        <f>ROUND(140.0,2)</f>
        <v/>
      </c>
      <c r="CJ30" s="4">
        <f>IFERROR((CD30/CC30),0)</f>
        <v/>
      </c>
      <c r="CK30" s="4">
        <f>IFERROR(((0+CB11+CB12+CB13+CB14+CB15+CB16+CB17+CB19+CB20+CB21+CB22+CB23+CB24+CB25+CB27+CB28+CB29+CB30)/T2),0)</f>
        <v/>
      </c>
      <c r="CL30" s="5">
        <f>IFERROR(ROUND(CB30/CD30,2),0)</f>
        <v/>
      </c>
      <c r="CM30" s="5">
        <f>IFERROR(ROUND(CB30/CE30,2),0)</f>
        <v/>
      </c>
      <c r="CN30" s="2" t="inlineStr">
        <is>
          <t>2023-10-07</t>
        </is>
      </c>
      <c r="CO30" s="5">
        <f>ROUND(41.31,2)</f>
        <v/>
      </c>
      <c r="CP30" s="3">
        <f>ROUND(48438.0,2)</f>
        <v/>
      </c>
      <c r="CQ30" s="3">
        <f>ROUND(3125.0,2)</f>
        <v/>
      </c>
      <c r="CR30" s="3">
        <f>ROUND(29385.0,2)</f>
        <v/>
      </c>
      <c r="CS30" s="3">
        <f>ROUND(28080.0,2)</f>
        <v/>
      </c>
      <c r="CT30" s="3">
        <f>ROUND(11680.0,2)</f>
        <v/>
      </c>
      <c r="CU30" s="3">
        <f>ROUND(6917.0,2)</f>
        <v/>
      </c>
      <c r="CV30" s="3">
        <f>ROUND(4759.0,2)</f>
        <v/>
      </c>
      <c r="CW30" s="4">
        <f>IFERROR((CQ30/CP30),0)</f>
        <v/>
      </c>
      <c r="CX30" s="4">
        <f>IFERROR(((0+CO11+CO12+CO13+CO14+CO15+CO16+CO17+CO19+CO20+CO21+CO22+CO23+CO24+CO25+CO27+CO28+CO29+CO30)/T2),0)</f>
        <v/>
      </c>
      <c r="CY30" s="5">
        <f>IFERROR(ROUND(CO30/CQ30,2),0)</f>
        <v/>
      </c>
      <c r="CZ30" s="5">
        <f>IFERROR(ROUND(CO30/CR30,2),0)</f>
        <v/>
      </c>
      <c r="DA30" s="2" t="inlineStr">
        <is>
          <t>2023-10-07</t>
        </is>
      </c>
      <c r="DB30" s="5">
        <f>ROUND(4.82,2)</f>
        <v/>
      </c>
      <c r="DC30" s="3">
        <f>ROUND(11173.0,2)</f>
        <v/>
      </c>
      <c r="DD30" s="3">
        <f>ROUND(477.0,2)</f>
        <v/>
      </c>
      <c r="DE30" s="3">
        <f>ROUND(1345.0,2)</f>
        <v/>
      </c>
      <c r="DF30" s="3">
        <f>ROUND(853.0,2)</f>
        <v/>
      </c>
      <c r="DG30" s="3">
        <f>ROUND(386.0,2)</f>
        <v/>
      </c>
      <c r="DH30" s="3">
        <f>ROUND(193.0,2)</f>
        <v/>
      </c>
      <c r="DI30" s="3">
        <f>ROUND(78.0,2)</f>
        <v/>
      </c>
      <c r="DJ30" s="4">
        <f>IFERROR((DD30/DC30),0)</f>
        <v/>
      </c>
      <c r="DK30" s="4">
        <f>IFERROR(((0+DB11+DB12+DB13+DB14+DB15+DB16+DB17+DB19+DB20+DB21+DB22+DB23+DB24+DB25+DB27+DB28+DB29+DB30)/T2),0)</f>
        <v/>
      </c>
      <c r="DL30" s="5">
        <f>IFERROR(ROUND(DB30/DD30,2),0)</f>
        <v/>
      </c>
      <c r="DM30" s="5">
        <f>IFERROR(ROUND(DB30/DE30,2),0)</f>
        <v/>
      </c>
      <c r="DN30" s="2" t="inlineStr">
        <is>
          <t>2023-10-07</t>
        </is>
      </c>
      <c r="DO30" s="5">
        <f>ROUND(14.92,2)</f>
        <v/>
      </c>
      <c r="DP30" s="3">
        <f>ROUND(36018.0,2)</f>
        <v/>
      </c>
      <c r="DQ30" s="3">
        <f>ROUND(1335.0,2)</f>
        <v/>
      </c>
      <c r="DR30" s="3">
        <f>ROUND(5155.0,2)</f>
        <v/>
      </c>
      <c r="DS30" s="3">
        <f>ROUND(3918.0,2)</f>
        <v/>
      </c>
      <c r="DT30" s="3">
        <f>ROUND(2255.0,2)</f>
        <v/>
      </c>
      <c r="DU30" s="3">
        <f>ROUND(1471.0,2)</f>
        <v/>
      </c>
      <c r="DV30" s="3">
        <f>ROUND(843.0,2)</f>
        <v/>
      </c>
      <c r="DW30" s="4">
        <f>IFERROR((DQ30/DP30),0)</f>
        <v/>
      </c>
      <c r="DX30" s="4">
        <f>IFERROR(((0+DO11+DO12+DO13+DO14+DO15+DO16+DO17+DO19+DO20+DO21+DO22+DO23+DO24+DO25+DO27+DO28+DO29+DO30)/T2),0)</f>
        <v/>
      </c>
      <c r="DY30" s="5">
        <f>IFERROR(ROUND(DO30/DQ30,2),0)</f>
        <v/>
      </c>
      <c r="DZ30" s="5">
        <f>IFERROR(ROUND(DO30/DR30,2),0)</f>
        <v/>
      </c>
      <c r="EA30" s="2" t="inlineStr">
        <is>
          <t>2023-10-07</t>
        </is>
      </c>
      <c r="EB30" s="5">
        <f>ROUND(10.5,2)</f>
        <v/>
      </c>
      <c r="EC30" s="3">
        <f>ROUND(24807.0,2)</f>
        <v/>
      </c>
      <c r="ED30" s="3">
        <f>ROUND(1019.0,2)</f>
        <v/>
      </c>
      <c r="EE30" s="3">
        <f>ROUND(5257.0,2)</f>
        <v/>
      </c>
      <c r="EF30" s="3">
        <f>ROUND(3226.0,2)</f>
        <v/>
      </c>
      <c r="EG30" s="3">
        <f>ROUND(1568.0,2)</f>
        <v/>
      </c>
      <c r="EH30" s="3">
        <f>ROUND(1255.0,2)</f>
        <v/>
      </c>
      <c r="EI30" s="3">
        <f>ROUND(397.0,2)</f>
        <v/>
      </c>
      <c r="EJ30" s="4">
        <f>IFERROR((ED30/EC30),0)</f>
        <v/>
      </c>
      <c r="EK30" s="4">
        <f>IFERROR(((0+EB11+EB12+EB13+EB14+EB15+EB16+EB17+EB19+EB20+EB21+EB22+EB23+EB24+EB25+EB27+EB28+EB29+EB30)/T2),0)</f>
        <v/>
      </c>
      <c r="EL30" s="5">
        <f>IFERROR(ROUND(EB30/ED30,2),0)</f>
        <v/>
      </c>
      <c r="EM30" s="5">
        <f>IFERROR(ROUND(EB30/EE30,2),0)</f>
        <v/>
      </c>
      <c r="EN30" s="2" t="inlineStr">
        <is>
          <t>2023-10-07</t>
        </is>
      </c>
      <c r="EO30" s="5">
        <f>ROUND(2.98,2)</f>
        <v/>
      </c>
      <c r="EP30" s="3">
        <f>ROUND(3891.0,2)</f>
        <v/>
      </c>
      <c r="EQ30" s="3">
        <f>ROUND(201.0,2)</f>
        <v/>
      </c>
      <c r="ER30" s="3">
        <f>ROUND(659.0,2)</f>
        <v/>
      </c>
      <c r="ES30" s="3">
        <f>ROUND(500.0,2)</f>
        <v/>
      </c>
      <c r="ET30" s="3">
        <f>ROUND(208.0,2)</f>
        <v/>
      </c>
      <c r="EU30" s="3">
        <f>ROUND(51.0,2)</f>
        <v/>
      </c>
      <c r="EV30" s="3">
        <f>ROUND(21.0,2)</f>
        <v/>
      </c>
      <c r="EW30" s="4">
        <f>IFERROR((EQ30/EP30),0)</f>
        <v/>
      </c>
      <c r="EX30" s="4">
        <f>IFERROR(((0+EO11+EO12+EO13+EO14+EO15+EO16+EO17+EO19+EO20+EO21+EO22+EO23+EO24+EO25+EO27+EO28+EO29+EO30)/T2),0)</f>
        <v/>
      </c>
      <c r="EY30" s="5">
        <f>IFERROR(ROUND(EO30/EQ30,2),0)</f>
        <v/>
      </c>
      <c r="EZ30" s="5">
        <f>IFERROR(ROUND(EO30/ER30,2),0)</f>
        <v/>
      </c>
      <c r="FA30" s="2" t="inlineStr">
        <is>
          <t>2023-10-07</t>
        </is>
      </c>
      <c r="FB30" s="5">
        <f>ROUND(7.79,2)</f>
        <v/>
      </c>
      <c r="FC30" s="3">
        <f>ROUND(8683.0,2)</f>
        <v/>
      </c>
      <c r="FD30" s="3">
        <f>ROUND(495.0,2)</f>
        <v/>
      </c>
      <c r="FE30" s="3">
        <f>ROUND(1805.0,2)</f>
        <v/>
      </c>
      <c r="FF30" s="3">
        <f>ROUND(1632.0,2)</f>
        <v/>
      </c>
      <c r="FG30" s="3">
        <f>ROUND(826.0,2)</f>
        <v/>
      </c>
      <c r="FH30" s="3">
        <f>ROUND(599.0,2)</f>
        <v/>
      </c>
      <c r="FI30" s="3">
        <f>ROUND(197.0,2)</f>
        <v/>
      </c>
      <c r="FJ30" s="4">
        <f>IFERROR((FD30/FC30),0)</f>
        <v/>
      </c>
      <c r="FK30" s="4">
        <f>IFERROR(((0+FB11+FB12+FB13+FB14+FB15+FB16+FB17+FB19+FB20+FB21+FB22+FB23+FB24+FB25+FB27+FB28+FB29+FB30)/T2),0)</f>
        <v/>
      </c>
      <c r="FL30" s="5">
        <f>IFERROR(ROUND(FB30/FD30,2),0)</f>
        <v/>
      </c>
      <c r="FM30" s="5">
        <f>IFERROR(ROUND(FB30/FE30,2),0)</f>
        <v/>
      </c>
      <c r="FN30" s="2" t="inlineStr">
        <is>
          <t>2023-10-07</t>
        </is>
      </c>
      <c r="FO30" s="5">
        <f>ROUND(1.31,2)</f>
        <v/>
      </c>
      <c r="FP30" s="3">
        <f>ROUND(655.0,2)</f>
        <v/>
      </c>
      <c r="FQ30" s="3">
        <f>ROUND(67.0,2)</f>
        <v/>
      </c>
      <c r="FR30" s="3">
        <f>ROUND(364.0,2)</f>
        <v/>
      </c>
      <c r="FS30" s="3">
        <f>ROUND(333.0,2)</f>
        <v/>
      </c>
      <c r="FT30" s="3">
        <f>ROUND(152.0,2)</f>
        <v/>
      </c>
      <c r="FU30" s="3">
        <f>ROUND(114.0,2)</f>
        <v/>
      </c>
      <c r="FV30" s="3">
        <f>ROUND(12.0,2)</f>
        <v/>
      </c>
      <c r="FW30" s="4">
        <f>IFERROR((FQ30/FP30),0)</f>
        <v/>
      </c>
      <c r="FX30" s="4">
        <f>IFERROR(((0+FO11+FO12+FO13+FO14+FO15+FO16+FO17+FO19+FO20+FO21+FO22+FO23+FO24+FO25+FO27+FO28+FO29+FO30)/T2),0)</f>
        <v/>
      </c>
      <c r="FY30" s="5">
        <f>IFERROR(ROUND(FO30/FQ30,2),0)</f>
        <v/>
      </c>
      <c r="FZ30" s="5">
        <f>IFERROR(ROUND(FO30/FR30,2),0)</f>
        <v/>
      </c>
      <c r="GA30" s="2" t="inlineStr">
        <is>
          <t>2023-10-07</t>
        </is>
      </c>
      <c r="GB30" s="5">
        <f>ROUND(8.08,2)</f>
        <v/>
      </c>
      <c r="GC30" s="3">
        <f>ROUND(17945.0,2)</f>
        <v/>
      </c>
      <c r="GD30" s="3">
        <f>ROUND(585.0,2)</f>
        <v/>
      </c>
      <c r="GE30" s="3">
        <f>ROUND(3622.0,2)</f>
        <v/>
      </c>
      <c r="GF30" s="3">
        <f>ROUND(2675.0,2)</f>
        <v/>
      </c>
      <c r="GG30" s="3">
        <f>ROUND(1107.0,2)</f>
        <v/>
      </c>
      <c r="GH30" s="3">
        <f>ROUND(649.0,2)</f>
        <v/>
      </c>
      <c r="GI30" s="3">
        <f>ROUND(250.0,2)</f>
        <v/>
      </c>
      <c r="GJ30" s="4">
        <f>IFERROR((GD30/GC30),0)</f>
        <v/>
      </c>
      <c r="GK30" s="4">
        <f>IFERROR(((0+GB11+GB12+GB13+GB14+GB15+GB16+GB17+GB19+GB20+GB21+GB22+GB23+GB24+GB25+GB27+GB28+GB29+GB30)/T2),0)</f>
        <v/>
      </c>
      <c r="GL30" s="5">
        <f>IFERROR(ROUND(GB30/GD30,2),0)</f>
        <v/>
      </c>
      <c r="GM30" s="5">
        <f>IFERROR(ROUND(GB30/GE30,2),0)</f>
        <v/>
      </c>
      <c r="GN30" s="2" t="inlineStr">
        <is>
          <t>2023-10-07</t>
        </is>
      </c>
      <c r="GO30" s="5">
        <f>ROUND(6.84,2)</f>
        <v/>
      </c>
      <c r="GP30" s="3">
        <f>ROUND(9384.0,2)</f>
        <v/>
      </c>
      <c r="GQ30" s="3">
        <f>ROUND(477.0,2)</f>
        <v/>
      </c>
      <c r="GR30" s="3">
        <f>ROUND(2363.0,2)</f>
        <v/>
      </c>
      <c r="GS30" s="3">
        <f>ROUND(2017.0,2)</f>
        <v/>
      </c>
      <c r="GT30" s="3">
        <f>ROUND(912.0,2)</f>
        <v/>
      </c>
      <c r="GU30" s="3">
        <f>ROUND(623.0,2)</f>
        <v/>
      </c>
      <c r="GV30" s="3">
        <f>ROUND(496.0,2)</f>
        <v/>
      </c>
      <c r="GW30" s="4">
        <f>IFERROR((GQ30/GP30),0)</f>
        <v/>
      </c>
      <c r="GX30" s="4">
        <f>IFERROR(((0+GO11+GO12+GO13+GO14+GO15+GO16+GO17+GO19+GO20+GO21+GO22+GO23+GO24+GO25+GO27+GO28+GO29+GO30)/T2),0)</f>
        <v/>
      </c>
      <c r="GY30" s="5">
        <f>IFERROR(ROUND(GO30/GQ30,2),0)</f>
        <v/>
      </c>
      <c r="GZ30" s="5">
        <f>IFERROR(ROUND(GO30/GR30,2),0)</f>
        <v/>
      </c>
      <c r="HA30" s="2" t="inlineStr">
        <is>
          <t>2023-10-07</t>
        </is>
      </c>
      <c r="HB30" s="5">
        <f>ROUND(3.78,2)</f>
        <v/>
      </c>
      <c r="HC30" s="3">
        <f>ROUND(3066.0,2)</f>
        <v/>
      </c>
      <c r="HD30" s="3">
        <f>ROUND(214.0,2)</f>
        <v/>
      </c>
      <c r="HE30" s="3">
        <f>ROUND(1294.0,2)</f>
        <v/>
      </c>
      <c r="HF30" s="3">
        <f>ROUND(1078.0,2)</f>
        <v/>
      </c>
      <c r="HG30" s="3">
        <f>ROUND(482.0,2)</f>
        <v/>
      </c>
      <c r="HH30" s="3">
        <f>ROUND(418.0,2)</f>
        <v/>
      </c>
      <c r="HI30" s="3">
        <f>ROUND(41.0,2)</f>
        <v/>
      </c>
      <c r="HJ30" s="4">
        <f>IFERROR((HD30/HC30),0)</f>
        <v/>
      </c>
      <c r="HK30" s="4">
        <f>IFERROR(((0+HB11+HB12+HB13+HB14+HB15+HB16+HB17+HB19+HB20+HB21+HB22+HB23+HB24+HB25+HB27+HB28+HB29+HB30)/T2),0)</f>
        <v/>
      </c>
      <c r="HL30" s="5">
        <f>IFERROR(ROUND(HB30/HD30,2),0)</f>
        <v/>
      </c>
      <c r="HM30" s="5">
        <f>IFERROR(ROUND(HB30/HE30,2),0)</f>
        <v/>
      </c>
      <c r="HN30" s="2" t="inlineStr">
        <is>
          <t>2023-10-07</t>
        </is>
      </c>
      <c r="HO30" s="5">
        <f>ROUND(3.32,2)</f>
        <v/>
      </c>
      <c r="HP30" s="3">
        <f>ROUND(2718.0,2)</f>
        <v/>
      </c>
      <c r="HQ30" s="3">
        <f>ROUND(184.0,2)</f>
        <v/>
      </c>
      <c r="HR30" s="3">
        <f>ROUND(1232.0,2)</f>
        <v/>
      </c>
      <c r="HS30" s="3">
        <f>ROUND(1119.0,2)</f>
        <v/>
      </c>
      <c r="HT30" s="3">
        <f>ROUND(702.0,2)</f>
        <v/>
      </c>
      <c r="HU30" s="3">
        <f>ROUND(579.0,2)</f>
        <v/>
      </c>
      <c r="HV30" s="3">
        <f>ROUND(527.0,2)</f>
        <v/>
      </c>
      <c r="HW30" s="4">
        <f>IFERROR((HQ30/HP30),0)</f>
        <v/>
      </c>
      <c r="HX30" s="4">
        <f>IFERROR(((0+HO11+HO12+HO13+HO14+HO15+HO16+HO17+HO19+HO20+HO21+HO22+HO23+HO24+HO25+HO27+HO28+HO29+HO30)/T2),0)</f>
        <v/>
      </c>
      <c r="HY30" s="5">
        <f>IFERROR(ROUND(HO30/HQ30,2),0)</f>
        <v/>
      </c>
      <c r="HZ30" s="5">
        <f>IFERROR(ROUND(HO30/HR30,2),0)</f>
        <v/>
      </c>
      <c r="IA30" s="2" t="inlineStr">
        <is>
          <t>2023-10-07</t>
        </is>
      </c>
      <c r="IB30" s="5">
        <f>ROUND(2.7,2)</f>
        <v/>
      </c>
      <c r="IC30" s="3">
        <f>ROUND(3567.0,2)</f>
        <v/>
      </c>
      <c r="ID30" s="3">
        <f>ROUND(150.0,2)</f>
        <v/>
      </c>
      <c r="IE30" s="3">
        <f>ROUND(871.0,2)</f>
        <v/>
      </c>
      <c r="IF30" s="3">
        <f>ROUND(734.0,2)</f>
        <v/>
      </c>
      <c r="IG30" s="3">
        <f>ROUND(397.0,2)</f>
        <v/>
      </c>
      <c r="IH30" s="3">
        <f>ROUND(310.0,2)</f>
        <v/>
      </c>
      <c r="II30" s="3">
        <f>ROUND(61.0,2)</f>
        <v/>
      </c>
      <c r="IJ30" s="4">
        <f>IFERROR((ID30/IC30),0)</f>
        <v/>
      </c>
      <c r="IK30" s="4">
        <f>IFERROR(((0+IB11+IB12+IB13+IB14+IB15+IB16+IB17+IB19+IB20+IB21+IB22+IB23+IB24+IB25+IB27+IB28+IB29+IB30)/T2),0)</f>
        <v/>
      </c>
      <c r="IL30" s="5">
        <f>IFERROR(ROUND(IB30/ID30,2),0)</f>
        <v/>
      </c>
      <c r="IM30" s="5">
        <f>IFERROR(ROUND(IB30/IE30,2),0)</f>
        <v/>
      </c>
      <c r="IN30" s="2" t="inlineStr">
        <is>
          <t>2023-10-07</t>
        </is>
      </c>
      <c r="IO30" s="5">
        <f>ROUND(10.86,2)</f>
        <v/>
      </c>
      <c r="IP30" s="3">
        <f>ROUND(20461.0,2)</f>
        <v/>
      </c>
      <c r="IQ30" s="3">
        <f>ROUND(687.0,2)</f>
        <v/>
      </c>
      <c r="IR30" s="3">
        <f>ROUND(4075.0,2)</f>
        <v/>
      </c>
      <c r="IS30" s="3">
        <f>ROUND(3514.0,2)</f>
        <v/>
      </c>
      <c r="IT30" s="3">
        <f>ROUND(2234.0,2)</f>
        <v/>
      </c>
      <c r="IU30" s="3">
        <f>ROUND(1842.0,2)</f>
        <v/>
      </c>
      <c r="IV30" s="3">
        <f>ROUND(1328.0,2)</f>
        <v/>
      </c>
      <c r="IW30" s="4">
        <f>IFERROR((IQ30/IP30),0)</f>
        <v/>
      </c>
      <c r="IX30" s="4">
        <f>IFERROR(((0+IO11+IO12+IO13+IO14+IO15+IO16+IO17+IO19+IO20+IO21+IO22+IO23+IO24+IO25+IO27+IO28+IO29+IO30)/T2),0)</f>
        <v/>
      </c>
      <c r="IY30" s="5">
        <f>IFERROR(ROUND(IO30/IQ30,2),0)</f>
        <v/>
      </c>
      <c r="IZ30" s="5">
        <f>IFERROR(ROUND(IO30/IR30,2),0)</f>
        <v/>
      </c>
      <c r="JA30" s="2" t="inlineStr">
        <is>
          <t>2023-10-07</t>
        </is>
      </c>
      <c r="JB30" s="5">
        <f>ROUND(2.62,2)</f>
        <v/>
      </c>
      <c r="JC30" s="3">
        <f>ROUND(2545.0,2)</f>
        <v/>
      </c>
      <c r="JD30" s="3">
        <f>ROUND(128.0,2)</f>
        <v/>
      </c>
      <c r="JE30" s="3">
        <f>ROUND(980.0,2)</f>
        <v/>
      </c>
      <c r="JF30" s="3">
        <f>ROUND(864.0,2)</f>
        <v/>
      </c>
      <c r="JG30" s="3">
        <f>ROUND(475.0,2)</f>
        <v/>
      </c>
      <c r="JH30" s="3">
        <f>ROUND(395.0,2)</f>
        <v/>
      </c>
      <c r="JI30" s="3">
        <f>ROUND(88.0,2)</f>
        <v/>
      </c>
      <c r="JJ30" s="4">
        <f>IFERROR((JD30/JC30),0)</f>
        <v/>
      </c>
      <c r="JK30" s="4">
        <f>IFERROR(((0+JB11+JB12+JB13+JB14+JB15+JB16+JB17+JB19+JB20+JB21+JB22+JB23+JB24+JB25+JB27+JB28+JB29+JB30)/T2),0)</f>
        <v/>
      </c>
      <c r="JL30" s="5">
        <f>IFERROR(ROUND(JB30/JD30,2),0)</f>
        <v/>
      </c>
      <c r="JM30" s="5">
        <f>IFERROR(ROUND(JB30/JE30,2),0)</f>
        <v/>
      </c>
    </row>
    <row r="31">
      <c r="A31" s="2" t="inlineStr">
        <is>
          <t>2023-10-08</t>
        </is>
      </c>
      <c r="B31" s="5">
        <f>ROUND(168.27,2)</f>
        <v/>
      </c>
      <c r="C31" s="3">
        <f>ROUND(328479.0,2)</f>
        <v/>
      </c>
      <c r="D31" s="3">
        <f>ROUND(13312.0,2)</f>
        <v/>
      </c>
      <c r="E31" s="3">
        <f>ROUND(87846.0,2)</f>
        <v/>
      </c>
      <c r="F31" s="3">
        <f>ROUND(73678.0,2)</f>
        <v/>
      </c>
      <c r="G31" s="3">
        <f>ROUND(35397.0,2)</f>
        <v/>
      </c>
      <c r="H31" s="3">
        <f>ROUND(24385.0,2)</f>
        <v/>
      </c>
      <c r="I31" s="3">
        <f>ROUND(13597.0,2)</f>
        <v/>
      </c>
      <c r="J31" s="4">
        <f>IFERROR((D31/C31),0)</f>
        <v/>
      </c>
      <c r="K31" s="4">
        <f>IFERROR(((0+B11+B12+B13+B14+B15+B16+B17+B19+B20+B21+B22+B23+B24+B25+B27+B28+B29+B30+B31)/T2),0)</f>
        <v/>
      </c>
      <c r="L31" s="5">
        <f>IFERROR(ROUND(B31/D31,2),0)</f>
        <v/>
      </c>
      <c r="M31" s="5">
        <f>IFERROR(ROUND(B31/E31,2),0)</f>
        <v/>
      </c>
      <c r="N31" s="2" t="inlineStr">
        <is>
          <t>2023-10-08</t>
        </is>
      </c>
      <c r="O31" s="5">
        <f>ROUND(2.71,2)</f>
        <v/>
      </c>
      <c r="P31" s="3">
        <f>ROUND(7001.0,2)</f>
        <v/>
      </c>
      <c r="Q31" s="3">
        <f>ROUND(238.0,2)</f>
        <v/>
      </c>
      <c r="R31" s="3">
        <f>ROUND(1186.0,2)</f>
        <v/>
      </c>
      <c r="S31" s="3">
        <f>ROUND(882.0,2)</f>
        <v/>
      </c>
      <c r="T31" s="3">
        <f>ROUND(420.0,2)</f>
        <v/>
      </c>
      <c r="U31" s="3">
        <f>ROUND(302.0,2)</f>
        <v/>
      </c>
      <c r="V31" s="3">
        <f>ROUND(89.0,2)</f>
        <v/>
      </c>
      <c r="W31" s="4">
        <f>IFERROR((Q31/P31),0)</f>
        <v/>
      </c>
      <c r="X31" s="4">
        <f>IFERROR(((0+O11+O12+O13+O14+O15+O16+O17+O19+O20+O21+O22+O23+O24+O25+O27+O28+O29+O30+O31)/T2),0)</f>
        <v/>
      </c>
      <c r="Y31" s="5">
        <f>IFERROR(ROUND(O31/Q31,2),0)</f>
        <v/>
      </c>
      <c r="Z31" s="5">
        <f>IFERROR(ROUND(O31/R31,2),0)</f>
        <v/>
      </c>
      <c r="AA31" s="2" t="inlineStr">
        <is>
          <t>2023-10-08</t>
        </is>
      </c>
      <c r="AB31" s="5">
        <f>ROUND(4.23,2)</f>
        <v/>
      </c>
      <c r="AC31" s="3">
        <f>ROUND(4299.0,2)</f>
        <v/>
      </c>
      <c r="AD31" s="3">
        <f>ROUND(307.0,2)</f>
        <v/>
      </c>
      <c r="AE31" s="3">
        <f>ROUND(2265.0,2)</f>
        <v/>
      </c>
      <c r="AF31" s="3">
        <f>ROUND(2059.0,2)</f>
        <v/>
      </c>
      <c r="AG31" s="3">
        <f>ROUND(1211.0,2)</f>
        <v/>
      </c>
      <c r="AH31" s="3">
        <f>ROUND(1019.0,2)</f>
        <v/>
      </c>
      <c r="AI31" s="3">
        <f>ROUND(73.0,2)</f>
        <v/>
      </c>
      <c r="AJ31" s="4">
        <f>IFERROR((AD31/AC31),0)</f>
        <v/>
      </c>
      <c r="AK31" s="4">
        <f>IFERROR(((0+AB11+AB12+AB13+AB14+AB15+AB16+AB17+AB19+AB20+AB21+AB22+AB23+AB24+AB25+AB27+AB28+AB29+AB30+AB31)/T2),0)</f>
        <v/>
      </c>
      <c r="AL31" s="5">
        <f>IFERROR(ROUND(AB31/AD31,2),0)</f>
        <v/>
      </c>
      <c r="AM31" s="5">
        <f>IFERROR(ROUND(AB31/AE31,2),0)</f>
        <v/>
      </c>
      <c r="AN31" s="2" t="inlineStr">
        <is>
          <t>2023-10-08</t>
        </is>
      </c>
      <c r="AO31" s="5">
        <f>ROUND(1.21,2)</f>
        <v/>
      </c>
      <c r="AP31" s="3">
        <f>ROUND(2078.0,2)</f>
        <v/>
      </c>
      <c r="AQ31" s="3">
        <f>ROUND(96.0,2)</f>
        <v/>
      </c>
      <c r="AR31" s="3">
        <f>ROUND(642.0,2)</f>
        <v/>
      </c>
      <c r="AS31" s="3">
        <f>ROUND(543.0,2)</f>
        <v/>
      </c>
      <c r="AT31" s="3">
        <f>ROUND(327.0,2)</f>
        <v/>
      </c>
      <c r="AU31" s="3">
        <f>ROUND(260.0,2)</f>
        <v/>
      </c>
      <c r="AV31" s="3">
        <f>ROUND(210.0,2)</f>
        <v/>
      </c>
      <c r="AW31" s="4">
        <f>IFERROR((AQ31/AP31),0)</f>
        <v/>
      </c>
      <c r="AX31" s="4">
        <f>IFERROR(((0+AO11+AO12+AO13+AO14+AO15+AO16+AO17+AO19+AO20+AO21+AO22+AO23+AO24+AO25+AO27+AO28+AO29+AO30+AO31)/T2),0)</f>
        <v/>
      </c>
      <c r="AY31" s="5">
        <f>IFERROR(ROUND(AO31/AQ31,2),0)</f>
        <v/>
      </c>
      <c r="AZ31" s="5">
        <f>IFERROR(ROUND(AO31/AR31,2),0)</f>
        <v/>
      </c>
      <c r="BA31" s="2" t="inlineStr">
        <is>
          <t>2023-10-08</t>
        </is>
      </c>
      <c r="BB31" s="5">
        <f>ROUND(20.67,2)</f>
        <v/>
      </c>
      <c r="BC31" s="3">
        <f>ROUND(63573.0,2)</f>
        <v/>
      </c>
      <c r="BD31" s="3">
        <f>ROUND(1958.0,2)</f>
        <v/>
      </c>
      <c r="BE31" s="3">
        <f>ROUND(13385.0,2)</f>
        <v/>
      </c>
      <c r="BF31" s="3">
        <f>ROUND(9998.0,2)</f>
        <v/>
      </c>
      <c r="BG31" s="3">
        <f>ROUND(4424.0,2)</f>
        <v/>
      </c>
      <c r="BH31" s="3">
        <f>ROUND(2613.0,2)</f>
        <v/>
      </c>
      <c r="BI31" s="3">
        <f>ROUND(1357.0,2)</f>
        <v/>
      </c>
      <c r="BJ31" s="4">
        <f>IFERROR((BD31/BC31),0)</f>
        <v/>
      </c>
      <c r="BK31" s="4">
        <f>IFERROR(((0+BB11+BB12+BB13+BB14+BB15+BB16+BB17+BB19+BB20+BB21+BB22+BB23+BB24+BB25+BB27+BB28+BB29+BB30+BB31)/T2),0)</f>
        <v/>
      </c>
      <c r="BL31" s="5">
        <f>IFERROR(ROUND(BB31/BD31,2),0)</f>
        <v/>
      </c>
      <c r="BM31" s="5">
        <f>IFERROR(ROUND(BB31/BE31,2),0)</f>
        <v/>
      </c>
      <c r="BN31" s="2" t="inlineStr">
        <is>
          <t>2023-10-08</t>
        </is>
      </c>
      <c r="BO31" s="5">
        <f>ROUND(16.16,2)</f>
        <v/>
      </c>
      <c r="BP31" s="3">
        <f>ROUND(44494.0,2)</f>
        <v/>
      </c>
      <c r="BQ31" s="3">
        <f>ROUND(1378.0,2)</f>
        <v/>
      </c>
      <c r="BR31" s="3">
        <f>ROUND(10627.0,2)</f>
        <v/>
      </c>
      <c r="BS31" s="3">
        <f>ROUND(9002.0,2)</f>
        <v/>
      </c>
      <c r="BT31" s="3">
        <f>ROUND(5008.0,2)</f>
        <v/>
      </c>
      <c r="BU31" s="3">
        <f>ROUND(4071.0,2)</f>
        <v/>
      </c>
      <c r="BV31" s="3">
        <f>ROUND(2497.0,2)</f>
        <v/>
      </c>
      <c r="BW31" s="4">
        <f>IFERROR((BQ31/BP31),0)</f>
        <v/>
      </c>
      <c r="BX31" s="4">
        <f>IFERROR(((0+BO11+BO12+BO13+BO14+BO15+BO16+BO17+BO19+BO20+BO21+BO22+BO23+BO24+BO25+BO27+BO28+BO29+BO30+BO31)/T2),0)</f>
        <v/>
      </c>
      <c r="BY31" s="5">
        <f>IFERROR(ROUND(BO31/BQ31,2),0)</f>
        <v/>
      </c>
      <c r="BZ31" s="5">
        <f>IFERROR(ROUND(BO31/BR31,2),0)</f>
        <v/>
      </c>
      <c r="CA31" s="2" t="inlineStr">
        <is>
          <t>2023-10-08</t>
        </is>
      </c>
      <c r="CB31" s="5">
        <f>ROUND(3.43,2)</f>
        <v/>
      </c>
      <c r="CC31" s="3">
        <f>ROUND(6478.0,2)</f>
        <v/>
      </c>
      <c r="CD31" s="3">
        <f>ROUND(253.0,2)</f>
        <v/>
      </c>
      <c r="CE31" s="3">
        <f>ROUND(1860.0,2)</f>
        <v/>
      </c>
      <c r="CF31" s="3">
        <f>ROUND(1414.0,2)</f>
        <v/>
      </c>
      <c r="CG31" s="3">
        <f>ROUND(673.0,2)</f>
        <v/>
      </c>
      <c r="CH31" s="3">
        <f>ROUND(475.0,2)</f>
        <v/>
      </c>
      <c r="CI31" s="3">
        <f>ROUND(185.0,2)</f>
        <v/>
      </c>
      <c r="CJ31" s="4">
        <f>IFERROR((CD31/CC31),0)</f>
        <v/>
      </c>
      <c r="CK31" s="4">
        <f>IFERROR(((0+CB11+CB12+CB13+CB14+CB15+CB16+CB17+CB19+CB20+CB21+CB22+CB23+CB24+CB25+CB27+CB28+CB29+CB30+CB31)/T2),0)</f>
        <v/>
      </c>
      <c r="CL31" s="5">
        <f>IFERROR(ROUND(CB31/CD31,2),0)</f>
        <v/>
      </c>
      <c r="CM31" s="5">
        <f>IFERROR(ROUND(CB31/CE31,2),0)</f>
        <v/>
      </c>
      <c r="CN31" s="2" t="inlineStr">
        <is>
          <t>2023-10-08</t>
        </is>
      </c>
      <c r="CO31" s="5">
        <f>ROUND(38.09,2)</f>
        <v/>
      </c>
      <c r="CP31" s="3">
        <f>ROUND(45419.0,2)</f>
        <v/>
      </c>
      <c r="CQ31" s="3">
        <f>ROUND(3050.0,2)</f>
        <v/>
      </c>
      <c r="CR31" s="3">
        <f>ROUND(28143.0,2)</f>
        <v/>
      </c>
      <c r="CS31" s="3">
        <f>ROUND(26967.0,2)</f>
        <v/>
      </c>
      <c r="CT31" s="3">
        <f>ROUND(11233.0,2)</f>
        <v/>
      </c>
      <c r="CU31" s="3">
        <f>ROUND(6696.0,2)</f>
        <v/>
      </c>
      <c r="CV31" s="3">
        <f>ROUND(4560.0,2)</f>
        <v/>
      </c>
      <c r="CW31" s="4">
        <f>IFERROR((CQ31/CP31),0)</f>
        <v/>
      </c>
      <c r="CX31" s="4">
        <f>IFERROR(((0+CO11+CO12+CO13+CO14+CO15+CO16+CO17+CO19+CO20+CO21+CO22+CO23+CO24+CO25+CO27+CO28+CO29+CO30+CO31)/T2),0)</f>
        <v/>
      </c>
      <c r="CY31" s="5">
        <f>IFERROR(ROUND(CO31/CQ31,2),0)</f>
        <v/>
      </c>
      <c r="CZ31" s="5">
        <f>IFERROR(ROUND(CO31/CR31,2),0)</f>
        <v/>
      </c>
      <c r="DA31" s="2" t="inlineStr">
        <is>
          <t>2023-10-08</t>
        </is>
      </c>
      <c r="DB31" s="5">
        <f>ROUND(7.02,2)</f>
        <v/>
      </c>
      <c r="DC31" s="3">
        <f>ROUND(18081.0,2)</f>
        <v/>
      </c>
      <c r="DD31" s="3">
        <f>ROUND(624.0,2)</f>
        <v/>
      </c>
      <c r="DE31" s="3">
        <f>ROUND(1992.0,2)</f>
        <v/>
      </c>
      <c r="DF31" s="3">
        <f>ROUND(1170.0,2)</f>
        <v/>
      </c>
      <c r="DG31" s="3">
        <f>ROUND(463.0,2)</f>
        <v/>
      </c>
      <c r="DH31" s="3">
        <f>ROUND(261.0,2)</f>
        <v/>
      </c>
      <c r="DI31" s="3">
        <f>ROUND(108.0,2)</f>
        <v/>
      </c>
      <c r="DJ31" s="4">
        <f>IFERROR((DD31/DC31),0)</f>
        <v/>
      </c>
      <c r="DK31" s="4">
        <f>IFERROR(((0+DB11+DB12+DB13+DB14+DB15+DB16+DB17+DB19+DB20+DB21+DB22+DB23+DB24+DB25+DB27+DB28+DB29+DB30+DB31)/T2),0)</f>
        <v/>
      </c>
      <c r="DL31" s="5">
        <f>IFERROR(ROUND(DB31/DD31,2),0)</f>
        <v/>
      </c>
      <c r="DM31" s="5">
        <f>IFERROR(ROUND(DB31/DE31,2),0)</f>
        <v/>
      </c>
      <c r="DN31" s="2" t="inlineStr">
        <is>
          <t>2023-10-08</t>
        </is>
      </c>
      <c r="DO31" s="5">
        <f>ROUND(15.25,2)</f>
        <v/>
      </c>
      <c r="DP31" s="3">
        <f>ROUND(37494.0,2)</f>
        <v/>
      </c>
      <c r="DQ31" s="3">
        <f>ROUND(1379.0,2)</f>
        <v/>
      </c>
      <c r="DR31" s="3">
        <f>ROUND(5279.0,2)</f>
        <v/>
      </c>
      <c r="DS31" s="3">
        <f>ROUND(3952.0,2)</f>
        <v/>
      </c>
      <c r="DT31" s="3">
        <f>ROUND(2391.0,2)</f>
        <v/>
      </c>
      <c r="DU31" s="3">
        <f>ROUND(1573.0,2)</f>
        <v/>
      </c>
      <c r="DV31" s="3">
        <f>ROUND(830.0,2)</f>
        <v/>
      </c>
      <c r="DW31" s="4">
        <f>IFERROR((DQ31/DP31),0)</f>
        <v/>
      </c>
      <c r="DX31" s="4">
        <f>IFERROR(((0+DO11+DO12+DO13+DO14+DO15+DO16+DO17+DO19+DO20+DO21+DO22+DO23+DO24+DO25+DO27+DO28+DO29+DO30+DO31)/T2),0)</f>
        <v/>
      </c>
      <c r="DY31" s="5">
        <f>IFERROR(ROUND(DO31/DQ31,2),0)</f>
        <v/>
      </c>
      <c r="DZ31" s="5">
        <f>IFERROR(ROUND(DO31/DR31,2),0)</f>
        <v/>
      </c>
      <c r="EA31" s="2" t="inlineStr">
        <is>
          <t>2023-10-08</t>
        </is>
      </c>
      <c r="EB31" s="5">
        <f>ROUND(8.97,2)</f>
        <v/>
      </c>
      <c r="EC31" s="3">
        <f>ROUND(22098.0,2)</f>
        <v/>
      </c>
      <c r="ED31" s="3">
        <f>ROUND(839.0,2)</f>
        <v/>
      </c>
      <c r="EE31" s="3">
        <f>ROUND(4496.0,2)</f>
        <v/>
      </c>
      <c r="EF31" s="3">
        <f>ROUND(2758.0,2)</f>
        <v/>
      </c>
      <c r="EG31" s="3">
        <f>ROUND(1360.0,2)</f>
        <v/>
      </c>
      <c r="EH31" s="3">
        <f>ROUND(1074.0,2)</f>
        <v/>
      </c>
      <c r="EI31" s="3">
        <f>ROUND(353.0,2)</f>
        <v/>
      </c>
      <c r="EJ31" s="4">
        <f>IFERROR((ED31/EC31),0)</f>
        <v/>
      </c>
      <c r="EK31" s="4">
        <f>IFERROR(((0+EB11+EB12+EB13+EB14+EB15+EB16+EB17+EB19+EB20+EB21+EB22+EB23+EB24+EB25+EB27+EB28+EB29+EB30+EB31)/T2),0)</f>
        <v/>
      </c>
      <c r="EL31" s="5">
        <f>IFERROR(ROUND(EB31/ED31,2),0)</f>
        <v/>
      </c>
      <c r="EM31" s="5">
        <f>IFERROR(ROUND(EB31/EE31,2),0)</f>
        <v/>
      </c>
      <c r="EN31" s="2" t="inlineStr">
        <is>
          <t>2023-10-08</t>
        </is>
      </c>
      <c r="EO31" s="5">
        <f>ROUND(3.31,2)</f>
        <v/>
      </c>
      <c r="EP31" s="3">
        <f>ROUND(5391.0,2)</f>
        <v/>
      </c>
      <c r="EQ31" s="3">
        <f>ROUND(240.0,2)</f>
        <v/>
      </c>
      <c r="ER31" s="3">
        <f>ROUND(468.0,2)</f>
        <v/>
      </c>
      <c r="ES31" s="3">
        <f>ROUND(286.0,2)</f>
        <v/>
      </c>
      <c r="ET31" s="3">
        <f>ROUND(141.0,2)</f>
        <v/>
      </c>
      <c r="EU31" s="3">
        <f>ROUND(64.0,2)</f>
        <v/>
      </c>
      <c r="EV31" s="3">
        <f>ROUND(31.0,2)</f>
        <v/>
      </c>
      <c r="EW31" s="4">
        <f>IFERROR((EQ31/EP31),0)</f>
        <v/>
      </c>
      <c r="EX31" s="4">
        <f>IFERROR(((0+EO11+EO12+EO13+EO14+EO15+EO16+EO17+EO19+EO20+EO21+EO22+EO23+EO24+EO25+EO27+EO28+EO29+EO30+EO31)/T2),0)</f>
        <v/>
      </c>
      <c r="EY31" s="5">
        <f>IFERROR(ROUND(EO31/EQ31,2),0)</f>
        <v/>
      </c>
      <c r="EZ31" s="5">
        <f>IFERROR(ROUND(EO31/ER31,2),0)</f>
        <v/>
      </c>
      <c r="FA31" s="2" t="inlineStr">
        <is>
          <t>2023-10-08</t>
        </is>
      </c>
      <c r="FB31" s="5">
        <f>ROUND(5.9,2)</f>
        <v/>
      </c>
      <c r="FC31" s="3">
        <f>ROUND(7937.0,2)</f>
        <v/>
      </c>
      <c r="FD31" s="3">
        <f>ROUND(395.0,2)</f>
        <v/>
      </c>
      <c r="FE31" s="3">
        <f>ROUND(1223.0,2)</f>
        <v/>
      </c>
      <c r="FF31" s="3">
        <f>ROUND(1025.0,2)</f>
        <v/>
      </c>
      <c r="FG31" s="3">
        <f>ROUND(582.0,2)</f>
        <v/>
      </c>
      <c r="FH31" s="3">
        <f>ROUND(426.0,2)</f>
        <v/>
      </c>
      <c r="FI31" s="3">
        <f>ROUND(175.0,2)</f>
        <v/>
      </c>
      <c r="FJ31" s="4">
        <f>IFERROR((FD31/FC31),0)</f>
        <v/>
      </c>
      <c r="FK31" s="4">
        <f>IFERROR(((0+FB11+FB12+FB13+FB14+FB15+FB16+FB17+FB19+FB20+FB21+FB22+FB23+FB24+FB25+FB27+FB28+FB29+FB30+FB31)/T2),0)</f>
        <v/>
      </c>
      <c r="FL31" s="5">
        <f>IFERROR(ROUND(FB31/FD31,2),0)</f>
        <v/>
      </c>
      <c r="FM31" s="5">
        <f>IFERROR(ROUND(FB31/FE31,2),0)</f>
        <v/>
      </c>
      <c r="FN31" s="2" t="inlineStr">
        <is>
          <t>2023-10-08</t>
        </is>
      </c>
      <c r="FO31" s="5">
        <f>ROUND(3.59,2)</f>
        <v/>
      </c>
      <c r="FP31" s="3">
        <f>ROUND(2221.0,2)</f>
        <v/>
      </c>
      <c r="FQ31" s="3">
        <f>ROUND(212.0,2)</f>
        <v/>
      </c>
      <c r="FR31" s="3">
        <f>ROUND(1134.0,2)</f>
        <v/>
      </c>
      <c r="FS31" s="3">
        <f>ROUND(1021.0,2)</f>
        <v/>
      </c>
      <c r="FT31" s="3">
        <f>ROUND(534.0,2)</f>
        <v/>
      </c>
      <c r="FU31" s="3">
        <f>ROUND(435.0,2)</f>
        <v/>
      </c>
      <c r="FV31" s="3">
        <f>ROUND(46.0,2)</f>
        <v/>
      </c>
      <c r="FW31" s="4">
        <f>IFERROR((FQ31/FP31),0)</f>
        <v/>
      </c>
      <c r="FX31" s="4">
        <f>IFERROR(((0+FO11+FO12+FO13+FO14+FO15+FO16+FO17+FO19+FO20+FO21+FO22+FO23+FO24+FO25+FO27+FO28+FO29+FO30+FO31)/T2),0)</f>
        <v/>
      </c>
      <c r="FY31" s="5">
        <f>IFERROR(ROUND(FO31/FQ31,2),0)</f>
        <v/>
      </c>
      <c r="FZ31" s="5">
        <f>IFERROR(ROUND(FO31/FR31,2),0)</f>
        <v/>
      </c>
      <c r="GA31" s="2" t="inlineStr">
        <is>
          <t>2023-10-08</t>
        </is>
      </c>
      <c r="GB31" s="5">
        <f>ROUND(8.02,2)</f>
        <v/>
      </c>
      <c r="GC31" s="3">
        <f>ROUND(20367.0,2)</f>
        <v/>
      </c>
      <c r="GD31" s="3">
        <f>ROUND(554.0,2)</f>
        <v/>
      </c>
      <c r="GE31" s="3">
        <f>ROUND(3859.0,2)</f>
        <v/>
      </c>
      <c r="GF31" s="3">
        <f>ROUND(2758.0,2)</f>
        <v/>
      </c>
      <c r="GG31" s="3">
        <f>ROUND(1137.0,2)</f>
        <v/>
      </c>
      <c r="GH31" s="3">
        <f>ROUND(667.0,2)</f>
        <v/>
      </c>
      <c r="GI31" s="3">
        <f>ROUND(262.0,2)</f>
        <v/>
      </c>
      <c r="GJ31" s="4">
        <f>IFERROR((GD31/GC31),0)</f>
        <v/>
      </c>
      <c r="GK31" s="4">
        <f>IFERROR(((0+GB11+GB12+GB13+GB14+GB15+GB16+GB17+GB19+GB20+GB21+GB22+GB23+GB24+GB25+GB27+GB28+GB29+GB30+GB31)/T2),0)</f>
        <v/>
      </c>
      <c r="GL31" s="5">
        <f>IFERROR(ROUND(GB31/GD31,2),0)</f>
        <v/>
      </c>
      <c r="GM31" s="5">
        <f>IFERROR(ROUND(GB31/GE31,2),0)</f>
        <v/>
      </c>
      <c r="GN31" s="2" t="inlineStr">
        <is>
          <t>2023-10-08</t>
        </is>
      </c>
      <c r="GO31" s="5">
        <f>ROUND(10.1,2)</f>
        <v/>
      </c>
      <c r="GP31" s="3">
        <f>ROUND(11174.0,2)</f>
        <v/>
      </c>
      <c r="GQ31" s="3">
        <f>ROUND(607.0,2)</f>
        <v/>
      </c>
      <c r="GR31" s="3">
        <f>ROUND(3606.0,2)</f>
        <v/>
      </c>
      <c r="GS31" s="3">
        <f>ROUND(3191.0,2)</f>
        <v/>
      </c>
      <c r="GT31" s="3">
        <f>ROUND(1519.0,2)</f>
        <v/>
      </c>
      <c r="GU31" s="3">
        <f>ROUND(1141.0,2)</f>
        <v/>
      </c>
      <c r="GV31" s="3">
        <f>ROUND(921.0,2)</f>
        <v/>
      </c>
      <c r="GW31" s="4">
        <f>IFERROR((GQ31/GP31),0)</f>
        <v/>
      </c>
      <c r="GX31" s="4">
        <f>IFERROR(((0+GO11+GO12+GO13+GO14+GO15+GO16+GO17+GO19+GO20+GO21+GO22+GO23+GO24+GO25+GO27+GO28+GO29+GO30+GO31)/T2),0)</f>
        <v/>
      </c>
      <c r="GY31" s="5">
        <f>IFERROR(ROUND(GO31/GQ31,2),0)</f>
        <v/>
      </c>
      <c r="GZ31" s="5">
        <f>IFERROR(ROUND(GO31/GR31,2),0)</f>
        <v/>
      </c>
      <c r="HA31" s="2" t="inlineStr">
        <is>
          <t>2023-10-08</t>
        </is>
      </c>
      <c r="HB31" s="5">
        <f>ROUND(2.87,2)</f>
        <v/>
      </c>
      <c r="HC31" s="3">
        <f>ROUND(2738.0,2)</f>
        <v/>
      </c>
      <c r="HD31" s="3">
        <f>ROUND(161.0,2)</f>
        <v/>
      </c>
      <c r="HE31" s="3">
        <f>ROUND(1070.0,2)</f>
        <v/>
      </c>
      <c r="HF31" s="3">
        <f>ROUND(898.0,2)</f>
        <v/>
      </c>
      <c r="HG31" s="3">
        <f>ROUND(437.0,2)</f>
        <v/>
      </c>
      <c r="HH31" s="3">
        <f>ROUND(385.0,2)</f>
        <v/>
      </c>
      <c r="HI31" s="3">
        <f>ROUND(39.0,2)</f>
        <v/>
      </c>
      <c r="HJ31" s="4">
        <f>IFERROR((HD31/HC31),0)</f>
        <v/>
      </c>
      <c r="HK31" s="4">
        <f>IFERROR(((0+HB11+HB12+HB13+HB14+HB15+HB16+HB17+HB19+HB20+HB21+HB22+HB23+HB24+HB25+HB27+HB28+HB29+HB30+HB31)/T2),0)</f>
        <v/>
      </c>
      <c r="HL31" s="5">
        <f>IFERROR(ROUND(HB31/HD31,2),0)</f>
        <v/>
      </c>
      <c r="HM31" s="5">
        <f>IFERROR(ROUND(HB31/HE31,2),0)</f>
        <v/>
      </c>
      <c r="HN31" s="2" t="inlineStr">
        <is>
          <t>2023-10-08</t>
        </is>
      </c>
      <c r="HO31" s="5">
        <f>ROUND(2.02,2)</f>
        <v/>
      </c>
      <c r="HP31" s="3">
        <f>ROUND(1851.0,2)</f>
        <v/>
      </c>
      <c r="HQ31" s="3">
        <f>ROUND(100.0,2)</f>
        <v/>
      </c>
      <c r="HR31" s="3">
        <f>ROUND(754.0,2)</f>
        <v/>
      </c>
      <c r="HS31" s="3">
        <f>ROUND(681.0,2)</f>
        <v/>
      </c>
      <c r="HT31" s="3">
        <f>ROUND(422.0,2)</f>
        <v/>
      </c>
      <c r="HU31" s="3">
        <f>ROUND(347.0,2)</f>
        <v/>
      </c>
      <c r="HV31" s="3">
        <f>ROUND(315.0,2)</f>
        <v/>
      </c>
      <c r="HW31" s="4">
        <f>IFERROR((HQ31/HP31),0)</f>
        <v/>
      </c>
      <c r="HX31" s="4">
        <f>IFERROR(((0+HO11+HO12+HO13+HO14+HO15+HO16+HO17+HO19+HO20+HO21+HO22+HO23+HO24+HO25+HO27+HO28+HO29+HO30+HO31)/T2),0)</f>
        <v/>
      </c>
      <c r="HY31" s="5">
        <f>IFERROR(ROUND(HO31/HQ31,2),0)</f>
        <v/>
      </c>
      <c r="HZ31" s="5">
        <f>IFERROR(ROUND(HO31/HR31,2),0)</f>
        <v/>
      </c>
      <c r="IA31" s="2" t="inlineStr">
        <is>
          <t>2023-10-08</t>
        </is>
      </c>
      <c r="IB31" s="5">
        <f>ROUND(1.87,2)</f>
        <v/>
      </c>
      <c r="IC31" s="3">
        <f>ROUND(3357.0,2)</f>
        <v/>
      </c>
      <c r="ID31" s="3">
        <f>ROUND(138.0,2)</f>
        <v/>
      </c>
      <c r="IE31" s="3">
        <f>ROUND(607.0,2)</f>
        <v/>
      </c>
      <c r="IF31" s="3">
        <f>ROUND(462.0,2)</f>
        <v/>
      </c>
      <c r="IG31" s="3">
        <f>ROUND(231.0,2)</f>
        <v/>
      </c>
      <c r="IH31" s="3">
        <f>ROUND(179.0,2)</f>
        <v/>
      </c>
      <c r="II31" s="3">
        <f>ROUND(74.0,2)</f>
        <v/>
      </c>
      <c r="IJ31" s="4">
        <f>IFERROR((ID31/IC31),0)</f>
        <v/>
      </c>
      <c r="IK31" s="4">
        <f>IFERROR(((0+IB11+IB12+IB13+IB14+IB15+IB16+IB17+IB19+IB20+IB21+IB22+IB23+IB24+IB25+IB27+IB28+IB29+IB30+IB31)/T2),0)</f>
        <v/>
      </c>
      <c r="IL31" s="5">
        <f>IFERROR(ROUND(IB31/ID31,2),0)</f>
        <v/>
      </c>
      <c r="IM31" s="5">
        <f>IFERROR(ROUND(IB31/IE31,2),0)</f>
        <v/>
      </c>
      <c r="IN31" s="2" t="inlineStr">
        <is>
          <t>2023-10-08</t>
        </is>
      </c>
      <c r="IO31" s="5">
        <f>ROUND(9.54,2)</f>
        <v/>
      </c>
      <c r="IP31" s="3">
        <f>ROUND(19077.0,2)</f>
        <v/>
      </c>
      <c r="IQ31" s="3">
        <f>ROUND(593.0,2)</f>
        <v/>
      </c>
      <c r="IR31" s="3">
        <f>ROUND(4016.0,2)</f>
        <v/>
      </c>
      <c r="IS31" s="3">
        <f>ROUND(3525.0,2)</f>
        <v/>
      </c>
      <c r="IT31" s="3">
        <f>ROUND(2299.0,2)</f>
        <v/>
      </c>
      <c r="IU31" s="3">
        <f>ROUND(1905.0,2)</f>
        <v/>
      </c>
      <c r="IV31" s="3">
        <f>ROUND(1372.0,2)</f>
        <v/>
      </c>
      <c r="IW31" s="4">
        <f>IFERROR((IQ31/IP31),0)</f>
        <v/>
      </c>
      <c r="IX31" s="4">
        <f>IFERROR(((0+IO11+IO12+IO13+IO14+IO15+IO16+IO17+IO19+IO20+IO21+IO22+IO23+IO24+IO25+IO27+IO28+IO29+IO30+IO31)/T2),0)</f>
        <v/>
      </c>
      <c r="IY31" s="5">
        <f>IFERROR(ROUND(IO31/IQ31,2),0)</f>
        <v/>
      </c>
      <c r="IZ31" s="5">
        <f>IFERROR(ROUND(IO31/IR31,2),0)</f>
        <v/>
      </c>
      <c r="JA31" s="2" t="inlineStr">
        <is>
          <t>2023-10-08</t>
        </is>
      </c>
      <c r="JB31" s="5">
        <f>ROUND(3.31,2)</f>
        <v/>
      </c>
      <c r="JC31" s="3">
        <f>ROUND(3351.0,2)</f>
        <v/>
      </c>
      <c r="JD31" s="3">
        <f>ROUND(190.0,2)</f>
        <v/>
      </c>
      <c r="JE31" s="3">
        <f>ROUND(1234.0,2)</f>
        <v/>
      </c>
      <c r="JF31" s="3">
        <f>ROUND(1086.0,2)</f>
        <v/>
      </c>
      <c r="JG31" s="3">
        <f>ROUND(585.0,2)</f>
        <v/>
      </c>
      <c r="JH31" s="3">
        <f>ROUND(492.0,2)</f>
        <v/>
      </c>
      <c r="JI31" s="3">
        <f>ROUND(100.0,2)</f>
        <v/>
      </c>
      <c r="JJ31" s="4">
        <f>IFERROR((JD31/JC31),0)</f>
        <v/>
      </c>
      <c r="JK31" s="4">
        <f>IFERROR(((0+JB11+JB12+JB13+JB14+JB15+JB16+JB17+JB19+JB20+JB21+JB22+JB23+JB24+JB25+JB27+JB28+JB29+JB30+JB31)/T2),0)</f>
        <v/>
      </c>
      <c r="JL31" s="5">
        <f>IFERROR(ROUND(JB31/JD31,2),0)</f>
        <v/>
      </c>
      <c r="JM31" s="5">
        <f>IFERROR(ROUND(JB31/JE31,2),0)</f>
        <v/>
      </c>
    </row>
    <row r="32">
      <c r="A32" s="2" t="inlineStr">
        <is>
          <t>2023-10-09</t>
        </is>
      </c>
      <c r="B32" s="5">
        <f>ROUND(169.66,2)</f>
        <v/>
      </c>
      <c r="C32" s="3">
        <f>ROUND(337714.0,2)</f>
        <v/>
      </c>
      <c r="D32" s="3">
        <f>ROUND(13419.0,2)</f>
        <v/>
      </c>
      <c r="E32" s="3">
        <f>ROUND(87819.0,2)</f>
        <v/>
      </c>
      <c r="F32" s="3">
        <f>ROUND(73210.0,2)</f>
        <v/>
      </c>
      <c r="G32" s="3">
        <f>ROUND(34929.0,2)</f>
        <v/>
      </c>
      <c r="H32" s="3">
        <f>ROUND(24014.0,2)</f>
        <v/>
      </c>
      <c r="I32" s="3">
        <f>ROUND(13364.0,2)</f>
        <v/>
      </c>
      <c r="J32" s="4">
        <f>IFERROR((D32/C32),0)</f>
        <v/>
      </c>
      <c r="K32" s="4">
        <f>IFERROR(((0+B11+B12+B13+B14+B15+B16+B17+B19+B20+B21+B22+B23+B24+B25+B27+B28+B29+B30+B31+B32)/T2),0)</f>
        <v/>
      </c>
      <c r="L32" s="5">
        <f>IFERROR(ROUND(B32/D32,2),0)</f>
        <v/>
      </c>
      <c r="M32" s="5">
        <f>IFERROR(ROUND(B32/E32,2),0)</f>
        <v/>
      </c>
      <c r="N32" s="2" t="inlineStr">
        <is>
          <t>2023-10-09</t>
        </is>
      </c>
      <c r="O32" s="5">
        <f>ROUND(3.62,2)</f>
        <v/>
      </c>
      <c r="P32" s="3">
        <f>ROUND(8925.0,2)</f>
        <v/>
      </c>
      <c r="Q32" s="3">
        <f>ROUND(284.0,2)</f>
        <v/>
      </c>
      <c r="R32" s="3">
        <f>ROUND(1766.0,2)</f>
        <v/>
      </c>
      <c r="S32" s="3">
        <f>ROUND(1341.0,2)</f>
        <v/>
      </c>
      <c r="T32" s="3">
        <f>ROUND(676.0,2)</f>
        <v/>
      </c>
      <c r="U32" s="3">
        <f>ROUND(490.0,2)</f>
        <v/>
      </c>
      <c r="V32" s="3">
        <f>ROUND(107.0,2)</f>
        <v/>
      </c>
      <c r="W32" s="4">
        <f>IFERROR((Q32/P32),0)</f>
        <v/>
      </c>
      <c r="X32" s="4">
        <f>IFERROR(((0+O11+O12+O13+O14+O15+O16+O17+O19+O20+O21+O22+O23+O24+O25+O27+O28+O29+O30+O31+O32)/T2),0)</f>
        <v/>
      </c>
      <c r="Y32" s="5">
        <f>IFERROR(ROUND(O32/Q32,2),0)</f>
        <v/>
      </c>
      <c r="Z32" s="5">
        <f>IFERROR(ROUND(O32/R32,2),0)</f>
        <v/>
      </c>
      <c r="AA32" s="2" t="inlineStr">
        <is>
          <t>2023-10-09</t>
        </is>
      </c>
      <c r="AB32" s="5">
        <f>ROUND(3.71,2)</f>
        <v/>
      </c>
      <c r="AC32" s="3">
        <f>ROUND(4051.0,2)</f>
        <v/>
      </c>
      <c r="AD32" s="3">
        <f>ROUND(270.0,2)</f>
        <v/>
      </c>
      <c r="AE32" s="3">
        <f>ROUND(2060.0,2)</f>
        <v/>
      </c>
      <c r="AF32" s="3">
        <f>ROUND(1882.0,2)</f>
        <v/>
      </c>
      <c r="AG32" s="3">
        <f>ROUND(1146.0,2)</f>
        <v/>
      </c>
      <c r="AH32" s="3">
        <f>ROUND(991.0,2)</f>
        <v/>
      </c>
      <c r="AI32" s="3">
        <f>ROUND(49.0,2)</f>
        <v/>
      </c>
      <c r="AJ32" s="4">
        <f>IFERROR((AD32/AC32),0)</f>
        <v/>
      </c>
      <c r="AK32" s="4">
        <f>IFERROR(((0+AB11+AB12+AB13+AB14+AB15+AB16+AB17+AB19+AB20+AB21+AB22+AB23+AB24+AB25+AB27+AB28+AB29+AB30+AB31+AB32)/T2),0)</f>
        <v/>
      </c>
      <c r="AL32" s="5">
        <f>IFERROR(ROUND(AB32/AD32,2),0)</f>
        <v/>
      </c>
      <c r="AM32" s="5">
        <f>IFERROR(ROUND(AB32/AE32,2),0)</f>
        <v/>
      </c>
      <c r="AN32" s="2" t="inlineStr">
        <is>
          <t>2023-10-09</t>
        </is>
      </c>
      <c r="AO32" s="5">
        <f>ROUND(1.76,2)</f>
        <v/>
      </c>
      <c r="AP32" s="3">
        <f>ROUND(2455.0,2)</f>
        <v/>
      </c>
      <c r="AQ32" s="3">
        <f>ROUND(133.0,2)</f>
        <v/>
      </c>
      <c r="AR32" s="3">
        <f>ROUND(792.0,2)</f>
        <v/>
      </c>
      <c r="AS32" s="3">
        <f>ROUND(684.0,2)</f>
        <v/>
      </c>
      <c r="AT32" s="3">
        <f>ROUND(430.0,2)</f>
        <v/>
      </c>
      <c r="AU32" s="3">
        <f>ROUND(339.0,2)</f>
        <v/>
      </c>
      <c r="AV32" s="3">
        <f>ROUND(287.0,2)</f>
        <v/>
      </c>
      <c r="AW32" s="4">
        <f>IFERROR((AQ32/AP32),0)</f>
        <v/>
      </c>
      <c r="AX32" s="4">
        <f>IFERROR(((0+AO11+AO12+AO13+AO14+AO15+AO16+AO17+AO19+AO20+AO21+AO22+AO23+AO24+AO25+AO27+AO28+AO29+AO30+AO31+AO32)/T2),0)</f>
        <v/>
      </c>
      <c r="AY32" s="5">
        <f>IFERROR(ROUND(AO32/AQ32,2),0)</f>
        <v/>
      </c>
      <c r="AZ32" s="5">
        <f>IFERROR(ROUND(AO32/AR32,2),0)</f>
        <v/>
      </c>
      <c r="BA32" s="2" t="inlineStr">
        <is>
          <t>2023-10-09</t>
        </is>
      </c>
      <c r="BB32" s="5">
        <f>ROUND(19.85,2)</f>
        <v/>
      </c>
      <c r="BC32" s="3">
        <f>ROUND(59600.0,2)</f>
        <v/>
      </c>
      <c r="BD32" s="3">
        <f>ROUND(1927.0,2)</f>
        <v/>
      </c>
      <c r="BE32" s="3">
        <f>ROUND(12677.0,2)</f>
        <v/>
      </c>
      <c r="BF32" s="3">
        <f>ROUND(9431.0,2)</f>
        <v/>
      </c>
      <c r="BG32" s="3">
        <f>ROUND(4061.0,2)</f>
        <v/>
      </c>
      <c r="BH32" s="3">
        <f>ROUND(2436.0,2)</f>
        <v/>
      </c>
      <c r="BI32" s="3">
        <f>ROUND(1263.0,2)</f>
        <v/>
      </c>
      <c r="BJ32" s="4">
        <f>IFERROR((BD32/BC32),0)</f>
        <v/>
      </c>
      <c r="BK32" s="4">
        <f>IFERROR(((0+BB11+BB12+BB13+BB14+BB15+BB16+BB17+BB19+BB20+BB21+BB22+BB23+BB24+BB25+BB27+BB28+BB29+BB30+BB31+BB32)/T2),0)</f>
        <v/>
      </c>
      <c r="BL32" s="5">
        <f>IFERROR(ROUND(BB32/BD32,2),0)</f>
        <v/>
      </c>
      <c r="BM32" s="5">
        <f>IFERROR(ROUND(BB32/BE32,2),0)</f>
        <v/>
      </c>
      <c r="BN32" s="2" t="inlineStr">
        <is>
          <t>2023-10-09</t>
        </is>
      </c>
      <c r="BO32" s="5">
        <f>ROUND(16.32,2)</f>
        <v/>
      </c>
      <c r="BP32" s="3">
        <f>ROUND(45874.0,2)</f>
        <v/>
      </c>
      <c r="BQ32" s="3">
        <f>ROUND(1401.0,2)</f>
        <v/>
      </c>
      <c r="BR32" s="3">
        <f>ROUND(10666.0,2)</f>
        <v/>
      </c>
      <c r="BS32" s="3">
        <f>ROUND(8988.0,2)</f>
        <v/>
      </c>
      <c r="BT32" s="3">
        <f>ROUND(4921.0,2)</f>
        <v/>
      </c>
      <c r="BU32" s="3">
        <f>ROUND(3928.0,2)</f>
        <v/>
      </c>
      <c r="BV32" s="3">
        <f>ROUND(2341.0,2)</f>
        <v/>
      </c>
      <c r="BW32" s="4">
        <f>IFERROR((BQ32/BP32),0)</f>
        <v/>
      </c>
      <c r="BX32" s="4">
        <f>IFERROR(((0+BO11+BO12+BO13+BO14+BO15+BO16+BO17+BO19+BO20+BO21+BO22+BO23+BO24+BO25+BO27+BO28+BO29+BO30+BO31+BO32)/T2),0)</f>
        <v/>
      </c>
      <c r="BY32" s="5">
        <f>IFERROR(ROUND(BO32/BQ32,2),0)</f>
        <v/>
      </c>
      <c r="BZ32" s="5">
        <f>IFERROR(ROUND(BO32/BR32,2),0)</f>
        <v/>
      </c>
      <c r="CA32" s="2" t="inlineStr">
        <is>
          <t>2023-10-09</t>
        </is>
      </c>
      <c r="CB32" s="5">
        <f>ROUND(2.37,2)</f>
        <v/>
      </c>
      <c r="CC32" s="3">
        <f>ROUND(5225.0,2)</f>
        <v/>
      </c>
      <c r="CD32" s="3">
        <f>ROUND(191.0,2)</f>
        <v/>
      </c>
      <c r="CE32" s="3">
        <f>ROUND(1423.0,2)</f>
        <v/>
      </c>
      <c r="CF32" s="3">
        <f>ROUND(1077.0,2)</f>
        <v/>
      </c>
      <c r="CG32" s="3">
        <f>ROUND(494.0,2)</f>
        <v/>
      </c>
      <c r="CH32" s="3">
        <f>ROUND(336.0,2)</f>
        <v/>
      </c>
      <c r="CI32" s="3">
        <f>ROUND(141.0,2)</f>
        <v/>
      </c>
      <c r="CJ32" s="4">
        <f>IFERROR((CD32/CC32),0)</f>
        <v/>
      </c>
      <c r="CK32" s="4">
        <f>IFERROR(((0+CB11+CB12+CB13+CB14+CB15+CB16+CB17+CB19+CB20+CB21+CB22+CB23+CB24+CB25+CB27+CB28+CB29+CB30+CB31+CB32)/T2),0)</f>
        <v/>
      </c>
      <c r="CL32" s="5">
        <f>IFERROR(ROUND(CB32/CD32,2),0)</f>
        <v/>
      </c>
      <c r="CM32" s="5">
        <f>IFERROR(ROUND(CB32/CE32,2),0)</f>
        <v/>
      </c>
      <c r="CN32" s="2" t="inlineStr">
        <is>
          <t>2023-10-09</t>
        </is>
      </c>
      <c r="CO32" s="5">
        <f>ROUND(40.79,2)</f>
        <v/>
      </c>
      <c r="CP32" s="3">
        <f>ROUND(51063.0,2)</f>
        <v/>
      </c>
      <c r="CQ32" s="3">
        <f>ROUND(3167.0,2)</f>
        <v/>
      </c>
      <c r="CR32" s="3">
        <f>ROUND(28674.0,2)</f>
        <v/>
      </c>
      <c r="CS32" s="3">
        <f>ROUND(27212.0,2)</f>
        <v/>
      </c>
      <c r="CT32" s="3">
        <f>ROUND(11317.0,2)</f>
        <v/>
      </c>
      <c r="CU32" s="3">
        <f>ROUND(6800.0,2)</f>
        <v/>
      </c>
      <c r="CV32" s="3">
        <f>ROUND(4736.0,2)</f>
        <v/>
      </c>
      <c r="CW32" s="4">
        <f>IFERROR((CQ32/CP32),0)</f>
        <v/>
      </c>
      <c r="CX32" s="4">
        <f>IFERROR(((0+CO11+CO12+CO13+CO14+CO15+CO16+CO17+CO19+CO20+CO21+CO22+CO23+CO24+CO25+CO27+CO28+CO29+CO30+CO31+CO32)/T2),0)</f>
        <v/>
      </c>
      <c r="CY32" s="5">
        <f>IFERROR(ROUND(CO32/CQ32,2),0)</f>
        <v/>
      </c>
      <c r="CZ32" s="5">
        <f>IFERROR(ROUND(CO32/CR32,2),0)</f>
        <v/>
      </c>
      <c r="DA32" s="2" t="inlineStr">
        <is>
          <t>2023-10-09</t>
        </is>
      </c>
      <c r="DB32" s="5">
        <f>ROUND(5.25,2)</f>
        <v/>
      </c>
      <c r="DC32" s="3">
        <f>ROUND(13771.0,2)</f>
        <v/>
      </c>
      <c r="DD32" s="3">
        <f>ROUND(440.0,2)</f>
        <v/>
      </c>
      <c r="DE32" s="3">
        <f>ROUND(1461.0,2)</f>
        <v/>
      </c>
      <c r="DF32" s="3">
        <f>ROUND(871.0,2)</f>
        <v/>
      </c>
      <c r="DG32" s="3">
        <f>ROUND(377.0,2)</f>
        <v/>
      </c>
      <c r="DH32" s="3">
        <f>ROUND(202.0,2)</f>
        <v/>
      </c>
      <c r="DI32" s="3">
        <f>ROUND(90.0,2)</f>
        <v/>
      </c>
      <c r="DJ32" s="4">
        <f>IFERROR((DD32/DC32),0)</f>
        <v/>
      </c>
      <c r="DK32" s="4">
        <f>IFERROR(((0+DB11+DB12+DB13+DB14+DB15+DB16+DB17+DB19+DB20+DB21+DB22+DB23+DB24+DB25+DB27+DB28+DB29+DB30+DB31+DB32)/T2),0)</f>
        <v/>
      </c>
      <c r="DL32" s="5">
        <f>IFERROR(ROUND(DB32/DD32,2),0)</f>
        <v/>
      </c>
      <c r="DM32" s="5">
        <f>IFERROR(ROUND(DB32/DE32,2),0)</f>
        <v/>
      </c>
      <c r="DN32" s="2" t="inlineStr">
        <is>
          <t>2023-10-09</t>
        </is>
      </c>
      <c r="DO32" s="5">
        <f>ROUND(17.06,2)</f>
        <v/>
      </c>
      <c r="DP32" s="3">
        <f>ROUND(44542.0,2)</f>
        <v/>
      </c>
      <c r="DQ32" s="3">
        <f>ROUND(1568.0,2)</f>
        <v/>
      </c>
      <c r="DR32" s="3">
        <f>ROUND(6882.0,2)</f>
        <v/>
      </c>
      <c r="DS32" s="3">
        <f>ROUND(5057.0,2)</f>
        <v/>
      </c>
      <c r="DT32" s="3">
        <f>ROUND(3035.0,2)</f>
        <v/>
      </c>
      <c r="DU32" s="3">
        <f>ROUND(2024.0,2)</f>
        <v/>
      </c>
      <c r="DV32" s="3">
        <f>ROUND(1141.0,2)</f>
        <v/>
      </c>
      <c r="DW32" s="4">
        <f>IFERROR((DQ32/DP32),0)</f>
        <v/>
      </c>
      <c r="DX32" s="4">
        <f>IFERROR(((0+DO11+DO12+DO13+DO14+DO15+DO16+DO17+DO19+DO20+DO21+DO22+DO23+DO24+DO25+DO27+DO28+DO29+DO30+DO31+DO32)/T2),0)</f>
        <v/>
      </c>
      <c r="DY32" s="5">
        <f>IFERROR(ROUND(DO32/DQ32,2),0)</f>
        <v/>
      </c>
      <c r="DZ32" s="5">
        <f>IFERROR(ROUND(DO32/DR32,2),0)</f>
        <v/>
      </c>
      <c r="EA32" s="2" t="inlineStr">
        <is>
          <t>2023-10-09</t>
        </is>
      </c>
      <c r="EB32" s="5">
        <f>ROUND(8.82,2)</f>
        <v/>
      </c>
      <c r="EC32" s="3">
        <f>ROUND(21858.0,2)</f>
        <v/>
      </c>
      <c r="ED32" s="3">
        <f>ROUND(870.0,2)</f>
        <v/>
      </c>
      <c r="EE32" s="3">
        <f>ROUND(4385.0,2)</f>
        <v/>
      </c>
      <c r="EF32" s="3">
        <f>ROUND(2640.0,2)</f>
        <v/>
      </c>
      <c r="EG32" s="3">
        <f>ROUND(1265.0,2)</f>
        <v/>
      </c>
      <c r="EH32" s="3">
        <f>ROUND(1040.0,2)</f>
        <v/>
      </c>
      <c r="EI32" s="3">
        <f>ROUND(353.0,2)</f>
        <v/>
      </c>
      <c r="EJ32" s="4">
        <f>IFERROR((ED32/EC32),0)</f>
        <v/>
      </c>
      <c r="EK32" s="4">
        <f>IFERROR(((0+EB11+EB12+EB13+EB14+EB15+EB16+EB17+EB19+EB20+EB21+EB22+EB23+EB24+EB25+EB27+EB28+EB29+EB30+EB31+EB32)/T2),0)</f>
        <v/>
      </c>
      <c r="EL32" s="5">
        <f>IFERROR(ROUND(EB32/ED32,2),0)</f>
        <v/>
      </c>
      <c r="EM32" s="5">
        <f>IFERROR(ROUND(EB32/EE32,2),0)</f>
        <v/>
      </c>
      <c r="EN32" s="2" t="inlineStr">
        <is>
          <t>2023-10-09</t>
        </is>
      </c>
      <c r="EO32" s="5">
        <f>ROUND(4.55,2)</f>
        <v/>
      </c>
      <c r="EP32" s="3">
        <f>ROUND(7108.0,2)</f>
        <v/>
      </c>
      <c r="EQ32" s="3">
        <f>ROUND(351.0,2)</f>
        <v/>
      </c>
      <c r="ER32" s="3">
        <f>ROUND(502.0,2)</f>
        <v/>
      </c>
      <c r="ES32" s="3">
        <f>ROUND(297.0,2)</f>
        <v/>
      </c>
      <c r="ET32" s="3">
        <f>ROUND(120.0,2)</f>
        <v/>
      </c>
      <c r="EU32" s="3">
        <f>ROUND(59.0,2)</f>
        <v/>
      </c>
      <c r="EV32" s="3">
        <f>ROUND(29.0,2)</f>
        <v/>
      </c>
      <c r="EW32" s="4">
        <f>IFERROR((EQ32/EP32),0)</f>
        <v/>
      </c>
      <c r="EX32" s="4">
        <f>IFERROR(((0+EO11+EO12+EO13+EO14+EO15+EO16+EO17+EO19+EO20+EO21+EO22+EO23+EO24+EO25+EO27+EO28+EO29+EO30+EO31+EO32)/T2),0)</f>
        <v/>
      </c>
      <c r="EY32" s="5">
        <f>IFERROR(ROUND(EO32/EQ32,2),0)</f>
        <v/>
      </c>
      <c r="EZ32" s="5">
        <f>IFERROR(ROUND(EO32/ER32,2),0)</f>
        <v/>
      </c>
      <c r="FA32" s="2" t="inlineStr">
        <is>
          <t>2023-10-09</t>
        </is>
      </c>
      <c r="FB32" s="5">
        <f>ROUND(5.29,2)</f>
        <v/>
      </c>
      <c r="FC32" s="3">
        <f>ROUND(7773.0,2)</f>
        <v/>
      </c>
      <c r="FD32" s="3">
        <f>ROUND(336.0,2)</f>
        <v/>
      </c>
      <c r="FE32" s="3">
        <f>ROUND(1125.0,2)</f>
        <v/>
      </c>
      <c r="FF32" s="3">
        <f>ROUND(956.0,2)</f>
        <v/>
      </c>
      <c r="FG32" s="3">
        <f>ROUND(500.0,2)</f>
        <v/>
      </c>
      <c r="FH32" s="3">
        <f>ROUND(362.0,2)</f>
        <v/>
      </c>
      <c r="FI32" s="3">
        <f>ROUND(176.0,2)</f>
        <v/>
      </c>
      <c r="FJ32" s="4">
        <f>IFERROR((FD32/FC32),0)</f>
        <v/>
      </c>
      <c r="FK32" s="4">
        <f>IFERROR(((0+FB11+FB12+FB13+FB14+FB15+FB16+FB17+FB19+FB20+FB21+FB22+FB23+FB24+FB25+FB27+FB28+FB29+FB30+FB31+FB32)/T2),0)</f>
        <v/>
      </c>
      <c r="FL32" s="5">
        <f>IFERROR(ROUND(FB32/FD32,2),0)</f>
        <v/>
      </c>
      <c r="FM32" s="5">
        <f>IFERROR(ROUND(FB32/FE32,2),0)</f>
        <v/>
      </c>
      <c r="FN32" s="2" t="inlineStr">
        <is>
          <t>2023-10-09</t>
        </is>
      </c>
      <c r="FO32" s="5">
        <f>ROUND(2.66,2)</f>
        <v/>
      </c>
      <c r="FP32" s="3">
        <f>ROUND(1693.0,2)</f>
        <v/>
      </c>
      <c r="FQ32" s="3">
        <f>ROUND(135.0,2)</f>
        <v/>
      </c>
      <c r="FR32" s="3">
        <f>ROUND(793.0,2)</f>
        <v/>
      </c>
      <c r="FS32" s="3">
        <f>ROUND(724.0,2)</f>
        <v/>
      </c>
      <c r="FT32" s="3">
        <f>ROUND(380.0,2)</f>
        <v/>
      </c>
      <c r="FU32" s="3">
        <f>ROUND(310.0,2)</f>
        <v/>
      </c>
      <c r="FV32" s="3">
        <f>ROUND(28.0,2)</f>
        <v/>
      </c>
      <c r="FW32" s="4">
        <f>IFERROR((FQ32/FP32),0)</f>
        <v/>
      </c>
      <c r="FX32" s="4">
        <f>IFERROR(((0+FO11+FO12+FO13+FO14+FO15+FO16+FO17+FO19+FO20+FO21+FO22+FO23+FO24+FO25+FO27+FO28+FO29+FO30+FO31+FO32)/T2),0)</f>
        <v/>
      </c>
      <c r="FY32" s="5">
        <f>IFERROR(ROUND(FO32/FQ32,2),0)</f>
        <v/>
      </c>
      <c r="FZ32" s="5">
        <f>IFERROR(ROUND(FO32/FR32,2),0)</f>
        <v/>
      </c>
      <c r="GA32" s="2" t="inlineStr">
        <is>
          <t>2023-10-09</t>
        </is>
      </c>
      <c r="GB32" s="5">
        <f>ROUND(8.36,2)</f>
        <v/>
      </c>
      <c r="GC32" s="3">
        <f>ROUND(21996.0,2)</f>
        <v/>
      </c>
      <c r="GD32" s="3">
        <f>ROUND(574.0,2)</f>
        <v/>
      </c>
      <c r="GE32" s="3">
        <f>ROUND(4029.0,2)</f>
        <v/>
      </c>
      <c r="GF32" s="3">
        <f>ROUND(2946.0,2)</f>
        <v/>
      </c>
      <c r="GG32" s="3">
        <f>ROUND(1189.0,2)</f>
        <v/>
      </c>
      <c r="GH32" s="3">
        <f>ROUND(672.0,2)</f>
        <v/>
      </c>
      <c r="GI32" s="3">
        <f>ROUND(295.0,2)</f>
        <v/>
      </c>
      <c r="GJ32" s="4">
        <f>IFERROR((GD32/GC32),0)</f>
        <v/>
      </c>
      <c r="GK32" s="4">
        <f>IFERROR(((0+GB11+GB12+GB13+GB14+GB15+GB16+GB17+GB19+GB20+GB21+GB22+GB23+GB24+GB25+GB27+GB28+GB29+GB30+GB31+GB32)/T2),0)</f>
        <v/>
      </c>
      <c r="GL32" s="5">
        <f>IFERROR(ROUND(GB32/GD32,2),0)</f>
        <v/>
      </c>
      <c r="GM32" s="5">
        <f>IFERROR(ROUND(GB32/GE32,2),0)</f>
        <v/>
      </c>
      <c r="GN32" s="2" t="inlineStr">
        <is>
          <t>2023-10-09</t>
        </is>
      </c>
      <c r="GO32" s="5">
        <f>ROUND(7.92,2)</f>
        <v/>
      </c>
      <c r="GP32" s="3">
        <f>ROUND(9762.0,2)</f>
        <v/>
      </c>
      <c r="GQ32" s="3">
        <f>ROUND(477.0,2)</f>
        <v/>
      </c>
      <c r="GR32" s="3">
        <f>ROUND(2956.0,2)</f>
        <v/>
      </c>
      <c r="GS32" s="3">
        <f>ROUND(2588.0,2)</f>
        <v/>
      </c>
      <c r="GT32" s="3">
        <f>ROUND(1265.0,2)</f>
        <v/>
      </c>
      <c r="GU32" s="3">
        <f>ROUND(918.0,2)</f>
        <v/>
      </c>
      <c r="GV32" s="3">
        <f>ROUND(776.0,2)</f>
        <v/>
      </c>
      <c r="GW32" s="4">
        <f>IFERROR((GQ32/GP32),0)</f>
        <v/>
      </c>
      <c r="GX32" s="4">
        <f>IFERROR(((0+GO11+GO12+GO13+GO14+GO15+GO16+GO17+GO19+GO20+GO21+GO22+GO23+GO24+GO25+GO27+GO28+GO29+GO30+GO31+GO32)/T2),0)</f>
        <v/>
      </c>
      <c r="GY32" s="5">
        <f>IFERROR(ROUND(GO32/GQ32,2),0)</f>
        <v/>
      </c>
      <c r="GZ32" s="5">
        <f>IFERROR(ROUND(GO32/GR32,2),0)</f>
        <v/>
      </c>
      <c r="HA32" s="2" t="inlineStr">
        <is>
          <t>2023-10-09</t>
        </is>
      </c>
      <c r="HB32" s="5">
        <f>ROUND(3.98,2)</f>
        <v/>
      </c>
      <c r="HC32" s="3">
        <f>ROUND(3602.0,2)</f>
        <v/>
      </c>
      <c r="HD32" s="3">
        <f>ROUND(253.0,2)</f>
        <v/>
      </c>
      <c r="HE32" s="3">
        <f>ROUND(1484.0,2)</f>
        <v/>
      </c>
      <c r="HF32" s="3">
        <f>ROUND(1232.0,2)</f>
        <v/>
      </c>
      <c r="HG32" s="3">
        <f>ROUND(619.0,2)</f>
        <v/>
      </c>
      <c r="HH32" s="3">
        <f>ROUND(538.0,2)</f>
        <v/>
      </c>
      <c r="HI32" s="3">
        <f>ROUND(70.0,2)</f>
        <v/>
      </c>
      <c r="HJ32" s="4">
        <f>IFERROR((HD32/HC32),0)</f>
        <v/>
      </c>
      <c r="HK32" s="4">
        <f>IFERROR(((0+HB11+HB12+HB13+HB14+HB15+HB16+HB17+HB19+HB20+HB21+HB22+HB23+HB24+HB25+HB27+HB28+HB29+HB30+HB31+HB32)/T2),0)</f>
        <v/>
      </c>
      <c r="HL32" s="5">
        <f>IFERROR(ROUND(HB32/HD32,2),0)</f>
        <v/>
      </c>
      <c r="HM32" s="5">
        <f>IFERROR(ROUND(HB32/HE32,2),0)</f>
        <v/>
      </c>
      <c r="HN32" s="2" t="inlineStr">
        <is>
          <t>2023-10-09</t>
        </is>
      </c>
      <c r="HO32" s="5">
        <f>ROUND(1.77,2)</f>
        <v/>
      </c>
      <c r="HP32" s="3">
        <f>ROUND(1679.0,2)</f>
        <v/>
      </c>
      <c r="HQ32" s="3">
        <f>ROUND(99.0,2)</f>
        <v/>
      </c>
      <c r="HR32" s="3">
        <f>ROUND(634.0,2)</f>
        <v/>
      </c>
      <c r="HS32" s="3">
        <f>ROUND(567.0,2)</f>
        <v/>
      </c>
      <c r="HT32" s="3">
        <f>ROUND(361.0,2)</f>
        <v/>
      </c>
      <c r="HU32" s="3">
        <f>ROUND(309.0,2)</f>
        <v/>
      </c>
      <c r="HV32" s="3">
        <f>ROUND(277.0,2)</f>
        <v/>
      </c>
      <c r="HW32" s="4">
        <f>IFERROR((HQ32/HP32),0)</f>
        <v/>
      </c>
      <c r="HX32" s="4">
        <f>IFERROR(((0+HO11+HO12+HO13+HO14+HO15+HO16+HO17+HO19+HO20+HO21+HO22+HO23+HO24+HO25+HO27+HO28+HO29+HO30+HO31+HO32)/T2),0)</f>
        <v/>
      </c>
      <c r="HY32" s="5">
        <f>IFERROR(ROUND(HO32/HQ32,2),0)</f>
        <v/>
      </c>
      <c r="HZ32" s="5">
        <f>IFERROR(ROUND(HO32/HR32,2),0)</f>
        <v/>
      </c>
      <c r="IA32" s="2" t="inlineStr">
        <is>
          <t>2023-10-09</t>
        </is>
      </c>
      <c r="IB32" s="5">
        <f>ROUND(2.19,2)</f>
        <v/>
      </c>
      <c r="IC32" s="3">
        <f>ROUND(4168.0,2)</f>
        <v/>
      </c>
      <c r="ID32" s="3">
        <f>ROUND(155.0,2)</f>
        <v/>
      </c>
      <c r="IE32" s="3">
        <f>ROUND(713.0,2)</f>
        <v/>
      </c>
      <c r="IF32" s="3">
        <f>ROUND(550.0,2)</f>
        <v/>
      </c>
      <c r="IG32" s="3">
        <f>ROUND(286.0,2)</f>
        <v/>
      </c>
      <c r="IH32" s="3">
        <f>ROUND(216.0,2)</f>
        <v/>
      </c>
      <c r="II32" s="3">
        <f>ROUND(89.0,2)</f>
        <v/>
      </c>
      <c r="IJ32" s="4">
        <f>IFERROR((ID32/IC32),0)</f>
        <v/>
      </c>
      <c r="IK32" s="4">
        <f>IFERROR(((0+IB11+IB12+IB13+IB14+IB15+IB16+IB17+IB19+IB20+IB21+IB22+IB23+IB24+IB25+IB27+IB28+IB29+IB30+IB31+IB32)/T2),0)</f>
        <v/>
      </c>
      <c r="IL32" s="5">
        <f>IFERROR(ROUND(IB32/ID32,2),0)</f>
        <v/>
      </c>
      <c r="IM32" s="5">
        <f>IFERROR(ROUND(IB32/IE32,2),0)</f>
        <v/>
      </c>
      <c r="IN32" s="2" t="inlineStr">
        <is>
          <t>2023-10-09</t>
        </is>
      </c>
      <c r="IO32" s="5">
        <f>ROUND(9.66,2)</f>
        <v/>
      </c>
      <c r="IP32" s="3">
        <f>ROUND(19278.0,2)</f>
        <v/>
      </c>
      <c r="IQ32" s="3">
        <f>ROUND(577.0,2)</f>
        <v/>
      </c>
      <c r="IR32" s="3">
        <f>ROUND(3413.0,2)</f>
        <v/>
      </c>
      <c r="IS32" s="3">
        <f>ROUND(2930.0,2)</f>
        <v/>
      </c>
      <c r="IT32" s="3">
        <f>ROUND(1834.0,2)</f>
        <v/>
      </c>
      <c r="IU32" s="3">
        <f>ROUND(1504.0,2)</f>
        <v/>
      </c>
      <c r="IV32" s="3">
        <f>ROUND(1032.0,2)</f>
        <v/>
      </c>
      <c r="IW32" s="4">
        <f>IFERROR((IQ32/IP32),0)</f>
        <v/>
      </c>
      <c r="IX32" s="4">
        <f>IFERROR(((0+IO11+IO12+IO13+IO14+IO15+IO16+IO17+IO19+IO20+IO21+IO22+IO23+IO24+IO25+IO27+IO28+IO29+IO30+IO31+IO32)/T2),0)</f>
        <v/>
      </c>
      <c r="IY32" s="5">
        <f>IFERROR(ROUND(IO32/IQ32,2),0)</f>
        <v/>
      </c>
      <c r="IZ32" s="5">
        <f>IFERROR(ROUND(IO32/IR32,2),0)</f>
        <v/>
      </c>
      <c r="JA32" s="2" t="inlineStr">
        <is>
          <t>2023-10-09</t>
        </is>
      </c>
      <c r="JB32" s="5">
        <f>ROUND(3.73,2)</f>
        <v/>
      </c>
      <c r="JC32" s="3">
        <f>ROUND(3291.0,2)</f>
        <v/>
      </c>
      <c r="JD32" s="3">
        <f>ROUND(211.0,2)</f>
        <v/>
      </c>
      <c r="JE32" s="3">
        <f>ROUND(1384.0,2)</f>
        <v/>
      </c>
      <c r="JF32" s="3">
        <f>ROUND(1237.0,2)</f>
        <v/>
      </c>
      <c r="JG32" s="3">
        <f>ROUND(653.0,2)</f>
        <v/>
      </c>
      <c r="JH32" s="3">
        <f>ROUND(540.0,2)</f>
        <v/>
      </c>
      <c r="JI32" s="3">
        <f>ROUND(84.0,2)</f>
        <v/>
      </c>
      <c r="JJ32" s="4">
        <f>IFERROR((JD32/JC32),0)</f>
        <v/>
      </c>
      <c r="JK32" s="4">
        <f>IFERROR(((0+JB11+JB12+JB13+JB14+JB15+JB16+JB17+JB19+JB20+JB21+JB22+JB23+JB24+JB25+JB27+JB28+JB29+JB30+JB31+JB32)/T2),0)</f>
        <v/>
      </c>
      <c r="JL32" s="5">
        <f>IFERROR(ROUND(JB32/JD32,2),0)</f>
        <v/>
      </c>
      <c r="JM32" s="5">
        <f>IFERROR(ROUND(JB32/JE32,2),0)</f>
        <v/>
      </c>
    </row>
    <row r="33">
      <c r="A33" s="2" t="inlineStr">
        <is>
          <t>2023-10-10</t>
        </is>
      </c>
      <c r="B33" s="5">
        <f>ROUND(165.96,2)</f>
        <v/>
      </c>
      <c r="C33" s="3">
        <f>ROUND(357130.0,2)</f>
        <v/>
      </c>
      <c r="D33" s="3">
        <f>ROUND(13296.0,2)</f>
        <v/>
      </c>
      <c r="E33" s="3">
        <f>ROUND(86780.0,2)</f>
        <v/>
      </c>
      <c r="F33" s="3">
        <f>ROUND(70363.0,2)</f>
        <v/>
      </c>
      <c r="G33" s="3">
        <f>ROUND(33721.0,2)</f>
        <v/>
      </c>
      <c r="H33" s="3">
        <f>ROUND(23065.0,2)</f>
        <v/>
      </c>
      <c r="I33" s="3">
        <f>ROUND(13213.0,2)</f>
        <v/>
      </c>
      <c r="J33" s="4">
        <f>IFERROR((D33/C33),0)</f>
        <v/>
      </c>
      <c r="K33" s="4">
        <f>IFERROR(((0+B11+B12+B13+B14+B15+B16+B17+B19+B20+B21+B22+B23+B24+B25+B27+B28+B29+B30+B31+B32+B33)/T2),0)</f>
        <v/>
      </c>
      <c r="L33" s="5">
        <f>IFERROR(ROUND(B33/D33,2),0)</f>
        <v/>
      </c>
      <c r="M33" s="5">
        <f>IFERROR(ROUND(B33/E33,2),0)</f>
        <v/>
      </c>
      <c r="N33" s="2" t="inlineStr">
        <is>
          <t>2023-10-10</t>
        </is>
      </c>
      <c r="O33" s="5">
        <f>ROUND(2.75,2)</f>
        <v/>
      </c>
      <c r="P33" s="3">
        <f>ROUND(8905.0,2)</f>
        <v/>
      </c>
      <c r="Q33" s="3">
        <f>ROUND(252.0,2)</f>
        <v/>
      </c>
      <c r="R33" s="3">
        <f>ROUND(1241.0,2)</f>
        <v/>
      </c>
      <c r="S33" s="3">
        <f>ROUND(853.0,2)</f>
        <v/>
      </c>
      <c r="T33" s="3">
        <f>ROUND(364.0,2)</f>
        <v/>
      </c>
      <c r="U33" s="3">
        <f>ROUND(237.0,2)</f>
        <v/>
      </c>
      <c r="V33" s="3">
        <f>ROUND(88.0,2)</f>
        <v/>
      </c>
      <c r="W33" s="4">
        <f>IFERROR((Q33/P33),0)</f>
        <v/>
      </c>
      <c r="X33" s="4">
        <f>IFERROR(((0+O11+O12+O13+O14+O15+O16+O17+O19+O20+O21+O22+O23+O24+O25+O27+O28+O29+O30+O31+O32+O33)/T2),0)</f>
        <v/>
      </c>
      <c r="Y33" s="5">
        <f>IFERROR(ROUND(O33/Q33,2),0)</f>
        <v/>
      </c>
      <c r="Z33" s="5">
        <f>IFERROR(ROUND(O33/R33,2),0)</f>
        <v/>
      </c>
      <c r="AA33" s="2" t="inlineStr">
        <is>
          <t>2023-10-10</t>
        </is>
      </c>
      <c r="AB33" s="5">
        <f>ROUND(2.35,2)</f>
        <v/>
      </c>
      <c r="AC33" s="3">
        <f>ROUND(2465.0,2)</f>
        <v/>
      </c>
      <c r="AD33" s="3">
        <f>ROUND(185.0,2)</f>
        <v/>
      </c>
      <c r="AE33" s="3">
        <f>ROUND(1290.0,2)</f>
        <v/>
      </c>
      <c r="AF33" s="3">
        <f>ROUND(1177.0,2)</f>
        <v/>
      </c>
      <c r="AG33" s="3">
        <f>ROUND(732.0,2)</f>
        <v/>
      </c>
      <c r="AH33" s="3">
        <f>ROUND(631.0,2)</f>
        <v/>
      </c>
      <c r="AI33" s="3">
        <f>ROUND(33.0,2)</f>
        <v/>
      </c>
      <c r="AJ33" s="4">
        <f>IFERROR((AD33/AC33),0)</f>
        <v/>
      </c>
      <c r="AK33" s="4">
        <f>IFERROR(((0+AB11+AB12+AB13+AB14+AB15+AB16+AB17+AB19+AB20+AB21+AB22+AB23+AB24+AB25+AB27+AB28+AB29+AB30+AB31+AB32+AB33)/T2),0)</f>
        <v/>
      </c>
      <c r="AL33" s="5">
        <f>IFERROR(ROUND(AB33/AD33,2),0)</f>
        <v/>
      </c>
      <c r="AM33" s="5">
        <f>IFERROR(ROUND(AB33/AE33,2),0)</f>
        <v/>
      </c>
      <c r="AN33" s="2" t="inlineStr">
        <is>
          <t>2023-10-10</t>
        </is>
      </c>
      <c r="AO33" s="5">
        <f>ROUND(1.04,2)</f>
        <v/>
      </c>
      <c r="AP33" s="3">
        <f>ROUND(1836.0,2)</f>
        <v/>
      </c>
      <c r="AQ33" s="3">
        <f>ROUND(70.0,2)</f>
        <v/>
      </c>
      <c r="AR33" s="3">
        <f>ROUND(542.0,2)</f>
        <v/>
      </c>
      <c r="AS33" s="3">
        <f>ROUND(464.0,2)</f>
        <v/>
      </c>
      <c r="AT33" s="3">
        <f>ROUND(291.0,2)</f>
        <v/>
      </c>
      <c r="AU33" s="3">
        <f>ROUND(248.0,2)</f>
        <v/>
      </c>
      <c r="AV33" s="3">
        <f>ROUND(209.0,2)</f>
        <v/>
      </c>
      <c r="AW33" s="4">
        <f>IFERROR((AQ33/AP33),0)</f>
        <v/>
      </c>
      <c r="AX33" s="4">
        <f>IFERROR(((0+AO11+AO12+AO13+AO14+AO15+AO16+AO17+AO19+AO20+AO21+AO22+AO23+AO24+AO25+AO27+AO28+AO29+AO30+AO31+AO32+AO33)/T2),0)</f>
        <v/>
      </c>
      <c r="AY33" s="5">
        <f>IFERROR(ROUND(AO33/AQ33,2),0)</f>
        <v/>
      </c>
      <c r="AZ33" s="5">
        <f>IFERROR(ROUND(AO33/AR33,2),0)</f>
        <v/>
      </c>
      <c r="BA33" s="2" t="inlineStr">
        <is>
          <t>2023-10-10</t>
        </is>
      </c>
      <c r="BB33" s="5">
        <f>ROUND(20.57,2)</f>
        <v/>
      </c>
      <c r="BC33" s="3">
        <f>ROUND(66098.0,2)</f>
        <v/>
      </c>
      <c r="BD33" s="3">
        <f>ROUND(1951.0,2)</f>
        <v/>
      </c>
      <c r="BE33" s="3">
        <f>ROUND(14839.0,2)</f>
        <v/>
      </c>
      <c r="BF33" s="3">
        <f>ROUND(11114.0,2)</f>
        <v/>
      </c>
      <c r="BG33" s="3">
        <f>ROUND(4707.0,2)</f>
        <v/>
      </c>
      <c r="BH33" s="3">
        <f>ROUND(2698.0,2)</f>
        <v/>
      </c>
      <c r="BI33" s="3">
        <f>ROUND(1398.0,2)</f>
        <v/>
      </c>
      <c r="BJ33" s="4">
        <f>IFERROR((BD33/BC33),0)</f>
        <v/>
      </c>
      <c r="BK33" s="4">
        <f>IFERROR(((0+BB11+BB12+BB13+BB14+BB15+BB16+BB17+BB19+BB20+BB21+BB22+BB23+BB24+BB25+BB27+BB28+BB29+BB30+BB31+BB32+BB33)/T2),0)</f>
        <v/>
      </c>
      <c r="BL33" s="5">
        <f>IFERROR(ROUND(BB33/BD33,2),0)</f>
        <v/>
      </c>
      <c r="BM33" s="5">
        <f>IFERROR(ROUND(BB33/BE33,2),0)</f>
        <v/>
      </c>
      <c r="BN33" s="2" t="inlineStr">
        <is>
          <t>2023-10-10</t>
        </is>
      </c>
      <c r="BO33" s="5">
        <f>ROUND(16.97,2)</f>
        <v/>
      </c>
      <c r="BP33" s="3">
        <f>ROUND(48473.0,2)</f>
        <v/>
      </c>
      <c r="BQ33" s="3">
        <f>ROUND(1474.0,2)</f>
        <v/>
      </c>
      <c r="BR33" s="3">
        <f>ROUND(11036.0,2)</f>
        <v/>
      </c>
      <c r="BS33" s="3">
        <f>ROUND(9365.0,2)</f>
        <v/>
      </c>
      <c r="BT33" s="3">
        <f>ROUND(5245.0,2)</f>
        <v/>
      </c>
      <c r="BU33" s="3">
        <f>ROUND(4237.0,2)</f>
        <v/>
      </c>
      <c r="BV33" s="3">
        <f>ROUND(2501.0,2)</f>
        <v/>
      </c>
      <c r="BW33" s="4">
        <f>IFERROR((BQ33/BP33),0)</f>
        <v/>
      </c>
      <c r="BX33" s="4">
        <f>IFERROR(((0+BO11+BO12+BO13+BO14+BO15+BO16+BO17+BO19+BO20+BO21+BO22+BO23+BO24+BO25+BO27+BO28+BO29+BO30+BO31+BO32+BO33)/T2),0)</f>
        <v/>
      </c>
      <c r="BY33" s="5">
        <f>IFERROR(ROUND(BO33/BQ33,2),0)</f>
        <v/>
      </c>
      <c r="BZ33" s="5">
        <f>IFERROR(ROUND(BO33/BR33,2),0)</f>
        <v/>
      </c>
      <c r="CA33" s="2" t="inlineStr">
        <is>
          <t>2023-10-10</t>
        </is>
      </c>
      <c r="CB33" s="5">
        <f>ROUND(2.2,2)</f>
        <v/>
      </c>
      <c r="CC33" s="3">
        <f>ROUND(5182.0,2)</f>
        <v/>
      </c>
      <c r="CD33" s="3">
        <f>ROUND(197.0,2)</f>
        <v/>
      </c>
      <c r="CE33" s="3">
        <f>ROUND(1417.0,2)</f>
        <v/>
      </c>
      <c r="CF33" s="3">
        <f>ROUND(1021.0,2)</f>
        <v/>
      </c>
      <c r="CG33" s="3">
        <f>ROUND(525.0,2)</f>
        <v/>
      </c>
      <c r="CH33" s="3">
        <f>ROUND(344.0,2)</f>
        <v/>
      </c>
      <c r="CI33" s="3">
        <f>ROUND(113.0,2)</f>
        <v/>
      </c>
      <c r="CJ33" s="4">
        <f>IFERROR((CD33/CC33),0)</f>
        <v/>
      </c>
      <c r="CK33" s="4">
        <f>IFERROR(((0+CB11+CB12+CB13+CB14+CB15+CB16+CB17+CB19+CB20+CB21+CB22+CB23+CB24+CB25+CB27+CB28+CB29+CB30+CB31+CB32+CB33)/T2),0)</f>
        <v/>
      </c>
      <c r="CL33" s="5">
        <f>IFERROR(ROUND(CB33/CD33,2),0)</f>
        <v/>
      </c>
      <c r="CM33" s="5">
        <f>IFERROR(ROUND(CB33/CE33,2),0)</f>
        <v/>
      </c>
      <c r="CN33" s="2" t="inlineStr">
        <is>
          <t>2023-10-10</t>
        </is>
      </c>
      <c r="CO33" s="5">
        <f>ROUND(35.71,2)</f>
        <v/>
      </c>
      <c r="CP33" s="3">
        <f>ROUND(45506.0,2)</f>
        <v/>
      </c>
      <c r="CQ33" s="3">
        <f>ROUND(2786.0,2)</f>
        <v/>
      </c>
      <c r="CR33" s="3">
        <f>ROUND(23911.0,2)</f>
        <v/>
      </c>
      <c r="CS33" s="3">
        <f>ROUND(22523.0,2)</f>
        <v/>
      </c>
      <c r="CT33" s="3">
        <f>ROUND(9570.0,2)</f>
        <v/>
      </c>
      <c r="CU33" s="3">
        <f>ROUND(5934.0,2)</f>
        <v/>
      </c>
      <c r="CV33" s="3">
        <f>ROUND(4180.0,2)</f>
        <v/>
      </c>
      <c r="CW33" s="4">
        <f>IFERROR((CQ33/CP33),0)</f>
        <v/>
      </c>
      <c r="CX33" s="4">
        <f>IFERROR(((0+CO11+CO12+CO13+CO14+CO15+CO16+CO17+CO19+CO20+CO21+CO22+CO23+CO24+CO25+CO27+CO28+CO29+CO30+CO31+CO32+CO33)/T2),0)</f>
        <v/>
      </c>
      <c r="CY33" s="5">
        <f>IFERROR(ROUND(CO33/CQ33,2),0)</f>
        <v/>
      </c>
      <c r="CZ33" s="5">
        <f>IFERROR(ROUND(CO33/CR33,2),0)</f>
        <v/>
      </c>
      <c r="DA33" s="2" t="inlineStr">
        <is>
          <t>2023-10-10</t>
        </is>
      </c>
      <c r="DB33" s="5">
        <f>ROUND(5.78,2)</f>
        <v/>
      </c>
      <c r="DC33" s="3">
        <f>ROUND(17247.0,2)</f>
        <v/>
      </c>
      <c r="DD33" s="3">
        <f>ROUND(557.0,2)</f>
        <v/>
      </c>
      <c r="DE33" s="3">
        <f>ROUND(1846.0,2)</f>
        <v/>
      </c>
      <c r="DF33" s="3">
        <f>ROUND(1006.0,2)</f>
        <v/>
      </c>
      <c r="DG33" s="3">
        <f>ROUND(417.0,2)</f>
        <v/>
      </c>
      <c r="DH33" s="3">
        <f>ROUND(224.0,2)</f>
        <v/>
      </c>
      <c r="DI33" s="3">
        <f>ROUND(110.0,2)</f>
        <v/>
      </c>
      <c r="DJ33" s="4">
        <f>IFERROR((DD33/DC33),0)</f>
        <v/>
      </c>
      <c r="DK33" s="4">
        <f>IFERROR(((0+DB11+DB12+DB13+DB14+DB15+DB16+DB17+DB19+DB20+DB21+DB22+DB23+DB24+DB25+DB27+DB28+DB29+DB30+DB31+DB32+DB33)/T2),0)</f>
        <v/>
      </c>
      <c r="DL33" s="5">
        <f>IFERROR(ROUND(DB33/DD33,2),0)</f>
        <v/>
      </c>
      <c r="DM33" s="5">
        <f>IFERROR(ROUND(DB33/DE33,2),0)</f>
        <v/>
      </c>
      <c r="DN33" s="2" t="inlineStr">
        <is>
          <t>2023-10-10</t>
        </is>
      </c>
      <c r="DO33" s="5">
        <f>ROUND(16.7,2)</f>
        <v/>
      </c>
      <c r="DP33" s="3">
        <f>ROUND(45593.0,2)</f>
        <v/>
      </c>
      <c r="DQ33" s="3">
        <f>ROUND(1520.0,2)</f>
        <v/>
      </c>
      <c r="DR33" s="3">
        <f>ROUND(7093.0,2)</f>
        <v/>
      </c>
      <c r="DS33" s="3">
        <f>ROUND(5266.0,2)</f>
        <v/>
      </c>
      <c r="DT33" s="3">
        <f>ROUND(3138.0,2)</f>
        <v/>
      </c>
      <c r="DU33" s="3">
        <f>ROUND(2057.0,2)</f>
        <v/>
      </c>
      <c r="DV33" s="3">
        <f>ROUND(1181.0,2)</f>
        <v/>
      </c>
      <c r="DW33" s="4">
        <f>IFERROR((DQ33/DP33),0)</f>
        <v/>
      </c>
      <c r="DX33" s="4">
        <f>IFERROR(((0+DO11+DO12+DO13+DO14+DO15+DO16+DO17+DO19+DO20+DO21+DO22+DO23+DO24+DO25+DO27+DO28+DO29+DO30+DO31+DO32+DO33)/T2),0)</f>
        <v/>
      </c>
      <c r="DY33" s="5">
        <f>IFERROR(ROUND(DO33/DQ33,2),0)</f>
        <v/>
      </c>
      <c r="DZ33" s="5">
        <f>IFERROR(ROUND(DO33/DR33,2),0)</f>
        <v/>
      </c>
      <c r="EA33" s="2" t="inlineStr">
        <is>
          <t>2023-10-10</t>
        </is>
      </c>
      <c r="EB33" s="5">
        <f>ROUND(12.53,2)</f>
        <v/>
      </c>
      <c r="EC33" s="3">
        <f>ROUND(35742.0,2)</f>
        <v/>
      </c>
      <c r="ED33" s="3">
        <f>ROUND(1222.0,2)</f>
        <v/>
      </c>
      <c r="EE33" s="3">
        <f>ROUND(6838.0,2)</f>
        <v/>
      </c>
      <c r="EF33" s="3">
        <f>ROUND(3861.0,2)</f>
        <v/>
      </c>
      <c r="EG33" s="3">
        <f>ROUND(1802.0,2)</f>
        <v/>
      </c>
      <c r="EH33" s="3">
        <f>ROUND(1384.0,2)</f>
        <v/>
      </c>
      <c r="EI33" s="3">
        <f>ROUND(568.0,2)</f>
        <v/>
      </c>
      <c r="EJ33" s="4">
        <f>IFERROR((ED33/EC33),0)</f>
        <v/>
      </c>
      <c r="EK33" s="4">
        <f>IFERROR(((0+EB11+EB12+EB13+EB14+EB15+EB16+EB17+EB19+EB20+EB21+EB22+EB23+EB24+EB25+EB27+EB28+EB29+EB30+EB31+EB32+EB33)/T2),0)</f>
        <v/>
      </c>
      <c r="EL33" s="5">
        <f>IFERROR(ROUND(EB33/ED33,2),0)</f>
        <v/>
      </c>
      <c r="EM33" s="5">
        <f>IFERROR(ROUND(EB33/EE33,2),0)</f>
        <v/>
      </c>
      <c r="EN33" s="2" t="inlineStr">
        <is>
          <t>2023-10-10</t>
        </is>
      </c>
      <c r="EO33" s="5">
        <f>ROUND(4.13,2)</f>
        <v/>
      </c>
      <c r="EP33" s="3">
        <f>ROUND(6472.0,2)</f>
        <v/>
      </c>
      <c r="EQ33" s="3">
        <f>ROUND(267.0,2)</f>
        <v/>
      </c>
      <c r="ER33" s="3">
        <f>ROUND(451.0,2)</f>
        <v/>
      </c>
      <c r="ES33" s="3">
        <f>ROUND(293.0,2)</f>
        <v/>
      </c>
      <c r="ET33" s="3">
        <f>ROUND(141.0,2)</f>
        <v/>
      </c>
      <c r="EU33" s="3">
        <f>ROUND(64.0,2)</f>
        <v/>
      </c>
      <c r="EV33" s="3">
        <f>ROUND(37.0,2)</f>
        <v/>
      </c>
      <c r="EW33" s="4">
        <f>IFERROR((EQ33/EP33),0)</f>
        <v/>
      </c>
      <c r="EX33" s="4">
        <f>IFERROR(((0+EO11+EO12+EO13+EO14+EO15+EO16+EO17+EO19+EO20+EO21+EO22+EO23+EO24+EO25+EO27+EO28+EO29+EO30+EO31+EO32+EO33)/T2),0)</f>
        <v/>
      </c>
      <c r="EY33" s="5">
        <f>IFERROR(ROUND(EO33/EQ33,2),0)</f>
        <v/>
      </c>
      <c r="EZ33" s="5">
        <f>IFERROR(ROUND(EO33/ER33,2),0)</f>
        <v/>
      </c>
      <c r="FA33" s="2" t="inlineStr">
        <is>
          <t>2023-10-10</t>
        </is>
      </c>
      <c r="FB33" s="5">
        <f>ROUND(6.44,2)</f>
        <v/>
      </c>
      <c r="FC33" s="3">
        <f>ROUND(9905.0,2)</f>
        <v/>
      </c>
      <c r="FD33" s="3">
        <f>ROUND(433.0,2)</f>
        <v/>
      </c>
      <c r="FE33" s="3">
        <f>ROUND(1305.0,2)</f>
        <v/>
      </c>
      <c r="FF33" s="3">
        <f>ROUND(1083.0,2)</f>
        <v/>
      </c>
      <c r="FG33" s="3">
        <f>ROUND(591.0,2)</f>
        <v/>
      </c>
      <c r="FH33" s="3">
        <f>ROUND(400.0,2)</f>
        <v/>
      </c>
      <c r="FI33" s="3">
        <f>ROUND(215.0,2)</f>
        <v/>
      </c>
      <c r="FJ33" s="4">
        <f>IFERROR((FD33/FC33),0)</f>
        <v/>
      </c>
      <c r="FK33" s="4">
        <f>IFERROR(((0+FB11+FB12+FB13+FB14+FB15+FB16+FB17+FB19+FB20+FB21+FB22+FB23+FB24+FB25+FB27+FB28+FB29+FB30+FB31+FB32+FB33)/T2),0)</f>
        <v/>
      </c>
      <c r="FL33" s="5">
        <f>IFERROR(ROUND(FB33/FD33,2),0)</f>
        <v/>
      </c>
      <c r="FM33" s="5">
        <f>IFERROR(ROUND(FB33/FE33,2),0)</f>
        <v/>
      </c>
      <c r="FN33" s="2" t="inlineStr">
        <is>
          <t>2023-10-10</t>
        </is>
      </c>
      <c r="FO33" s="5">
        <f>ROUND(0.98,2)</f>
        <v/>
      </c>
      <c r="FP33" s="3">
        <f>ROUND(682.0,2)</f>
        <v/>
      </c>
      <c r="FQ33" s="3">
        <f>ROUND(48.0,2)</f>
        <v/>
      </c>
      <c r="FR33" s="3">
        <f>ROUND(339.0,2)</f>
        <v/>
      </c>
      <c r="FS33" s="3">
        <f>ROUND(319.0,2)</f>
        <v/>
      </c>
      <c r="FT33" s="3">
        <f>ROUND(157.0,2)</f>
        <v/>
      </c>
      <c r="FU33" s="3">
        <f>ROUND(116.0,2)</f>
        <v/>
      </c>
      <c r="FV33" s="3">
        <f>ROUND(13.0,2)</f>
        <v/>
      </c>
      <c r="FW33" s="4">
        <f>IFERROR((FQ33/FP33),0)</f>
        <v/>
      </c>
      <c r="FX33" s="4">
        <f>IFERROR(((0+FO11+FO12+FO13+FO14+FO15+FO16+FO17+FO19+FO20+FO21+FO22+FO23+FO24+FO25+FO27+FO28+FO29+FO30+FO31+FO32+FO33)/T2),0)</f>
        <v/>
      </c>
      <c r="FY33" s="5">
        <f>IFERROR(ROUND(FO33/FQ33,2),0)</f>
        <v/>
      </c>
      <c r="FZ33" s="5">
        <f>IFERROR(ROUND(FO33/FR33,2),0)</f>
        <v/>
      </c>
      <c r="GA33" s="2" t="inlineStr">
        <is>
          <t>2023-10-10</t>
        </is>
      </c>
      <c r="GB33" s="5">
        <f>ROUND(8.12,2)</f>
        <v/>
      </c>
      <c r="GC33" s="3">
        <f>ROUND(20045.0,2)</f>
        <v/>
      </c>
      <c r="GD33" s="3">
        <f>ROUND(560.0,2)</f>
        <v/>
      </c>
      <c r="GE33" s="3">
        <f>ROUND(3825.0,2)</f>
        <v/>
      </c>
      <c r="GF33" s="3">
        <f>ROUND(2750.0,2)</f>
        <v/>
      </c>
      <c r="GG33" s="3">
        <f>ROUND(1200.0,2)</f>
        <v/>
      </c>
      <c r="GH33" s="3">
        <f>ROUND(704.0,2)</f>
        <v/>
      </c>
      <c r="GI33" s="3">
        <f>ROUND(313.0,2)</f>
        <v/>
      </c>
      <c r="GJ33" s="4">
        <f>IFERROR((GD33/GC33),0)</f>
        <v/>
      </c>
      <c r="GK33" s="4">
        <f>IFERROR(((0+GB11+GB12+GB13+GB14+GB15+GB16+GB17+GB19+GB20+GB21+GB22+GB23+GB24+GB25+GB27+GB28+GB29+GB30+GB31+GB32+GB33)/T2),0)</f>
        <v/>
      </c>
      <c r="GL33" s="5">
        <f>IFERROR(ROUND(GB33/GD33,2),0)</f>
        <v/>
      </c>
      <c r="GM33" s="5">
        <f>IFERROR(ROUND(GB33/GE33,2),0)</f>
        <v/>
      </c>
      <c r="GN33" s="2" t="inlineStr">
        <is>
          <t>2023-10-10</t>
        </is>
      </c>
      <c r="GO33" s="5">
        <f>ROUND(10.02,2)</f>
        <v/>
      </c>
      <c r="GP33" s="3">
        <f>ROUND(12356.0,2)</f>
        <v/>
      </c>
      <c r="GQ33" s="3">
        <f>ROUND(627.0,2)</f>
        <v/>
      </c>
      <c r="GR33" s="3">
        <f>ROUND(3684.0,2)</f>
        <v/>
      </c>
      <c r="GS33" s="3">
        <f>ROUND(3247.0,2)</f>
        <v/>
      </c>
      <c r="GT33" s="3">
        <f>ROUND(1519.0,2)</f>
        <v/>
      </c>
      <c r="GU33" s="3">
        <f>ROUND(1096.0,2)</f>
        <v/>
      </c>
      <c r="GV33" s="3">
        <f>ROUND(895.0,2)</f>
        <v/>
      </c>
      <c r="GW33" s="4">
        <f>IFERROR((GQ33/GP33),0)</f>
        <v/>
      </c>
      <c r="GX33" s="4">
        <f>IFERROR(((0+GO11+GO12+GO13+GO14+GO15+GO16+GO17+GO19+GO20+GO21+GO22+GO23+GO24+GO25+GO27+GO28+GO29+GO30+GO31+GO32+GO33)/T2),0)</f>
        <v/>
      </c>
      <c r="GY33" s="5">
        <f>IFERROR(ROUND(GO33/GQ33,2),0)</f>
        <v/>
      </c>
      <c r="GZ33" s="5">
        <f>IFERROR(ROUND(GO33/GR33,2),0)</f>
        <v/>
      </c>
      <c r="HA33" s="2" t="inlineStr">
        <is>
          <t>2023-10-10</t>
        </is>
      </c>
      <c r="HB33" s="5">
        <f>ROUND(5.33,2)</f>
        <v/>
      </c>
      <c r="HC33" s="3">
        <f>ROUND(4410.0,2)</f>
        <v/>
      </c>
      <c r="HD33" s="3">
        <f>ROUND(289.0,2)</f>
        <v/>
      </c>
      <c r="HE33" s="3">
        <f>ROUND(1906.0,2)</f>
        <v/>
      </c>
      <c r="HF33" s="3">
        <f>ROUND(1625.0,2)</f>
        <v/>
      </c>
      <c r="HG33" s="3">
        <f>ROUND(776.0,2)</f>
        <v/>
      </c>
      <c r="HH33" s="3">
        <f>ROUND(662.0,2)</f>
        <v/>
      </c>
      <c r="HI33" s="3">
        <f>ROUND(67.0,2)</f>
        <v/>
      </c>
      <c r="HJ33" s="4">
        <f>IFERROR((HD33/HC33),0)</f>
        <v/>
      </c>
      <c r="HK33" s="4">
        <f>IFERROR(((0+HB11+HB12+HB13+HB14+HB15+HB16+HB17+HB19+HB20+HB21+HB22+HB23+HB24+HB25+HB27+HB28+HB29+HB30+HB31+HB32+HB33)/T2),0)</f>
        <v/>
      </c>
      <c r="HL33" s="5">
        <f>IFERROR(ROUND(HB33/HD33,2),0)</f>
        <v/>
      </c>
      <c r="HM33" s="5">
        <f>IFERROR(ROUND(HB33/HE33,2),0)</f>
        <v/>
      </c>
      <c r="HN33" s="2" t="inlineStr">
        <is>
          <t>2023-10-10</t>
        </is>
      </c>
      <c r="HO33" s="5">
        <f>ROUND(1.24,2)</f>
        <v/>
      </c>
      <c r="HP33" s="3">
        <f>ROUND(1293.0,2)</f>
        <v/>
      </c>
      <c r="HQ33" s="3">
        <f>ROUND(67.0,2)</f>
        <v/>
      </c>
      <c r="HR33" s="3">
        <f>ROUND(448.0,2)</f>
        <v/>
      </c>
      <c r="HS33" s="3">
        <f>ROUND(405.0,2)</f>
        <v/>
      </c>
      <c r="HT33" s="3">
        <f>ROUND(257.0,2)</f>
        <v/>
      </c>
      <c r="HU33" s="3">
        <f>ROUND(207.0,2)</f>
        <v/>
      </c>
      <c r="HV33" s="3">
        <f>ROUND(186.0,2)</f>
        <v/>
      </c>
      <c r="HW33" s="4">
        <f>IFERROR((HQ33/HP33),0)</f>
        <v/>
      </c>
      <c r="HX33" s="4">
        <f>IFERROR(((0+HO11+HO12+HO13+HO14+HO15+HO16+HO17+HO19+HO20+HO21+HO22+HO23+HO24+HO25+HO27+HO28+HO29+HO30+HO31+HO32+HO33)/T2),0)</f>
        <v/>
      </c>
      <c r="HY33" s="5">
        <f>IFERROR(ROUND(HO33/HQ33,2),0)</f>
        <v/>
      </c>
      <c r="HZ33" s="5">
        <f>IFERROR(ROUND(HO33/HR33,2),0)</f>
        <v/>
      </c>
      <c r="IA33" s="2" t="inlineStr">
        <is>
          <t>2023-10-10</t>
        </is>
      </c>
      <c r="IB33" s="5">
        <f>ROUND(2.3,2)</f>
        <v/>
      </c>
      <c r="IC33" s="3">
        <f>ROUND(4963.0,2)</f>
        <v/>
      </c>
      <c r="ID33" s="3">
        <f>ROUND(140.0,2)</f>
        <v/>
      </c>
      <c r="IE33" s="3">
        <f>ROUND(976.0,2)</f>
        <v/>
      </c>
      <c r="IF33" s="3">
        <f>ROUND(748.0,2)</f>
        <v/>
      </c>
      <c r="IG33" s="3">
        <f>ROUND(347.0,2)</f>
        <v/>
      </c>
      <c r="IH33" s="3">
        <f>ROUND(241.0,2)</f>
        <v/>
      </c>
      <c r="II33" s="3">
        <f>ROUND(116.0,2)</f>
        <v/>
      </c>
      <c r="IJ33" s="4">
        <f>IFERROR((ID33/IC33),0)</f>
        <v/>
      </c>
      <c r="IK33" s="4">
        <f>IFERROR(((0+IB11+IB12+IB13+IB14+IB15+IB16+IB17+IB19+IB20+IB21+IB22+IB23+IB24+IB25+IB27+IB28+IB29+IB30+IB31+IB32+IB33)/T2),0)</f>
        <v/>
      </c>
      <c r="IL33" s="5">
        <f>IFERROR(ROUND(IB33/ID33,2),0)</f>
        <v/>
      </c>
      <c r="IM33" s="5">
        <f>IFERROR(ROUND(IB33/IE33,2),0)</f>
        <v/>
      </c>
      <c r="IN33" s="2" t="inlineStr">
        <is>
          <t>2023-10-10</t>
        </is>
      </c>
      <c r="IO33" s="5">
        <f>ROUND(8.94,2)</f>
        <v/>
      </c>
      <c r="IP33" s="3">
        <f>ROUND(17774.0,2)</f>
        <v/>
      </c>
      <c r="IQ33" s="3">
        <f>ROUND(555.0,2)</f>
        <v/>
      </c>
      <c r="IR33" s="3">
        <f>ROUND(3079.0,2)</f>
        <v/>
      </c>
      <c r="IS33" s="3">
        <f>ROUND(2635.0,2)</f>
        <v/>
      </c>
      <c r="IT33" s="3">
        <f>ROUND(1623.0,2)</f>
        <v/>
      </c>
      <c r="IU33" s="3">
        <f>ROUND(1323.0,2)</f>
        <v/>
      </c>
      <c r="IV33" s="3">
        <f>ROUND(929.0,2)</f>
        <v/>
      </c>
      <c r="IW33" s="4">
        <f>IFERROR((IQ33/IP33),0)</f>
        <v/>
      </c>
      <c r="IX33" s="4">
        <f>IFERROR(((0+IO11+IO12+IO13+IO14+IO15+IO16+IO17+IO19+IO20+IO21+IO22+IO23+IO24+IO25+IO27+IO28+IO29+IO30+IO31+IO32+IO33)/T2),0)</f>
        <v/>
      </c>
      <c r="IY33" s="5">
        <f>IFERROR(ROUND(IO33/IQ33,2),0)</f>
        <v/>
      </c>
      <c r="IZ33" s="5">
        <f>IFERROR(ROUND(IO33/IR33,2),0)</f>
        <v/>
      </c>
      <c r="JA33" s="2" t="inlineStr">
        <is>
          <t>2023-10-10</t>
        </is>
      </c>
      <c r="JB33" s="5">
        <f>ROUND(1.86,2)</f>
        <v/>
      </c>
      <c r="JC33" s="3">
        <f>ROUND(2183.0,2)</f>
        <v/>
      </c>
      <c r="JD33" s="3">
        <f>ROUND(96.0,2)</f>
        <v/>
      </c>
      <c r="JE33" s="3">
        <f>ROUND(714.0,2)</f>
        <v/>
      </c>
      <c r="JF33" s="3">
        <f>ROUND(608.0,2)</f>
        <v/>
      </c>
      <c r="JG33" s="3">
        <f>ROUND(319.0,2)</f>
        <v/>
      </c>
      <c r="JH33" s="3">
        <f>ROUND(258.0,2)</f>
        <v/>
      </c>
      <c r="JI33" s="3">
        <f>ROUND(61.0,2)</f>
        <v/>
      </c>
      <c r="JJ33" s="4">
        <f>IFERROR((JD33/JC33),0)</f>
        <v/>
      </c>
      <c r="JK33" s="4">
        <f>IFERROR(((0+JB11+JB12+JB13+JB14+JB15+JB16+JB17+JB19+JB20+JB21+JB22+JB23+JB24+JB25+JB27+JB28+JB29+JB30+JB31+JB32+JB33)/T2),0)</f>
        <v/>
      </c>
      <c r="JL33" s="5">
        <f>IFERROR(ROUND(JB33/JD33,2),0)</f>
        <v/>
      </c>
      <c r="JM33" s="5">
        <f>IFERROR(ROUND(JB33/JE33,2),0)</f>
        <v/>
      </c>
    </row>
    <row r="34">
      <c r="A34" s="2" t="inlineStr">
        <is>
          <t>3 Weekly Total</t>
        </is>
      </c>
      <c r="B34" s="5">
        <f>ROUND(1173.47,2)</f>
        <v/>
      </c>
      <c r="C34" s="3">
        <f>ROUND(2302701.0,2)</f>
        <v/>
      </c>
      <c r="D34" s="3">
        <f>ROUND(95951.0,2)</f>
        <v/>
      </c>
      <c r="E34" s="3">
        <f>ROUND(628295.0,2)</f>
        <v/>
      </c>
      <c r="F34" s="3">
        <f>ROUND(528732.0,2)</f>
        <v/>
      </c>
      <c r="G34" s="3">
        <f>ROUND(253972.0,2)</f>
        <v/>
      </c>
      <c r="H34" s="3">
        <f>ROUND(175244.0,2)</f>
        <v/>
      </c>
      <c r="I34" s="3">
        <f>ROUND(96446.0,2)</f>
        <v/>
      </c>
      <c r="J34" s="4">
        <f>IFERROR((D34/C34),0)</f>
        <v/>
      </c>
      <c r="K34" s="4">
        <f>IFERROR(((0+B11+B12+B13+B14+B15+B16+B17+B19+B20+B21+B22+B23+B24+B25+B27+B28+B29+B30+B31+B32+B33)/T2),0)</f>
        <v/>
      </c>
      <c r="L34" s="5">
        <f>IFERROR(ROUND(B34/D34,2),0)</f>
        <v/>
      </c>
      <c r="M34" s="5">
        <f>IFERROR(ROUND(B34/E34,2),0)</f>
        <v/>
      </c>
      <c r="N34" s="2" t="inlineStr">
        <is>
          <t>3 Weekly Total</t>
        </is>
      </c>
      <c r="O34" s="5">
        <f>ROUND(17.92,2)</f>
        <v/>
      </c>
      <c r="P34" s="3">
        <f>ROUND(51100.0,2)</f>
        <v/>
      </c>
      <c r="Q34" s="3">
        <f>ROUND(1588.0,2)</f>
        <v/>
      </c>
      <c r="R34" s="3">
        <f>ROUND(7902.0,2)</f>
        <v/>
      </c>
      <c r="S34" s="3">
        <f>ROUND(5687.0,2)</f>
        <v/>
      </c>
      <c r="T34" s="3">
        <f>ROUND(2551.0,2)</f>
        <v/>
      </c>
      <c r="U34" s="3">
        <f>ROUND(1687.0,2)</f>
        <v/>
      </c>
      <c r="V34" s="3">
        <f>ROUND(539.0,2)</f>
        <v/>
      </c>
      <c r="W34" s="4">
        <f>IFERROR((Q34/P34),0)</f>
        <v/>
      </c>
      <c r="X34" s="4">
        <f>IFERROR(((0+O11+O12+O13+O14+O15+O16+O17+O19+O20+O21+O22+O23+O24+O25+O27+O28+O29+O30+O31+O32+O33)/T2),0)</f>
        <v/>
      </c>
      <c r="Y34" s="5">
        <f>IFERROR(ROUND(O34/Q34,2),0)</f>
        <v/>
      </c>
      <c r="Z34" s="5">
        <f>IFERROR(ROUND(O34/R34,2),0)</f>
        <v/>
      </c>
      <c r="AA34" s="2" t="inlineStr">
        <is>
          <t>3 Weekly Total</t>
        </is>
      </c>
      <c r="AB34" s="5">
        <f>ROUND(37.97,2)</f>
        <v/>
      </c>
      <c r="AC34" s="3">
        <f>ROUND(36733.0,2)</f>
        <v/>
      </c>
      <c r="AD34" s="3">
        <f>ROUND(3106.0,2)</f>
        <v/>
      </c>
      <c r="AE34" s="3">
        <f>ROUND(20211.0,2)</f>
        <v/>
      </c>
      <c r="AF34" s="3">
        <f>ROUND(18646.0,2)</f>
        <v/>
      </c>
      <c r="AG34" s="3">
        <f>ROUND(10560.0,2)</f>
        <v/>
      </c>
      <c r="AH34" s="3">
        <f>ROUND(8747.0,2)</f>
        <v/>
      </c>
      <c r="AI34" s="3">
        <f>ROUND(618.0,2)</f>
        <v/>
      </c>
      <c r="AJ34" s="4">
        <f>IFERROR((AD34/AC34),0)</f>
        <v/>
      </c>
      <c r="AK34" s="4">
        <f>IFERROR(((0+AB11+AB12+AB13+AB14+AB15+AB16+AB17+AB19+AB20+AB21+AB22+AB23+AB24+AB25+AB27+AB28+AB29+AB30+AB31+AB32+AB33)/T2),0)</f>
        <v/>
      </c>
      <c r="AL34" s="5">
        <f>IFERROR(ROUND(AB34/AD34,2),0)</f>
        <v/>
      </c>
      <c r="AM34" s="5">
        <f>IFERROR(ROUND(AB34/AE34,2),0)</f>
        <v/>
      </c>
      <c r="AN34" s="2" t="inlineStr">
        <is>
          <t>3 Weekly Total</t>
        </is>
      </c>
      <c r="AO34" s="5">
        <f>ROUND(11.2,2)</f>
        <v/>
      </c>
      <c r="AP34" s="3">
        <f>ROUND(14900.0,2)</f>
        <v/>
      </c>
      <c r="AQ34" s="3">
        <f>ROUND(905.0,2)</f>
        <v/>
      </c>
      <c r="AR34" s="3">
        <f>ROUND(5970.0,2)</f>
        <v/>
      </c>
      <c r="AS34" s="3">
        <f>ROUND(5352.0,2)</f>
        <v/>
      </c>
      <c r="AT34" s="3">
        <f>ROUND(3175.0,2)</f>
        <v/>
      </c>
      <c r="AU34" s="3">
        <f>ROUND(2597.0,2)</f>
        <v/>
      </c>
      <c r="AV34" s="3">
        <f>ROUND(2226.0,2)</f>
        <v/>
      </c>
      <c r="AW34" s="4">
        <f>IFERROR((AQ34/AP34),0)</f>
        <v/>
      </c>
      <c r="AX34" s="4">
        <f>IFERROR(((0+AO11+AO12+AO13+AO14+AO15+AO16+AO17+AO19+AO20+AO21+AO22+AO23+AO24+AO25+AO27+AO28+AO29+AO30+AO31+AO32+AO33)/T2),0)</f>
        <v/>
      </c>
      <c r="AY34" s="5">
        <f>IFERROR(ROUND(AO34/AQ34,2),0)</f>
        <v/>
      </c>
      <c r="AZ34" s="5">
        <f>IFERROR(ROUND(AO34/AR34,2),0)</f>
        <v/>
      </c>
      <c r="BA34" s="2" t="inlineStr">
        <is>
          <t>3 Weekly Total</t>
        </is>
      </c>
      <c r="BB34" s="5">
        <f>ROUND(150.8,2)</f>
        <v/>
      </c>
      <c r="BC34" s="3">
        <f>ROUND(454530.0,2)</f>
        <v/>
      </c>
      <c r="BD34" s="3">
        <f>ROUND(14746.0,2)</f>
        <v/>
      </c>
      <c r="BE34" s="3">
        <f>ROUND(99925.0,2)</f>
        <v/>
      </c>
      <c r="BF34" s="3">
        <f>ROUND(75176.0,2)</f>
        <v/>
      </c>
      <c r="BG34" s="3">
        <f>ROUND(32759.0,2)</f>
        <v/>
      </c>
      <c r="BH34" s="3">
        <f>ROUND(19340.0,2)</f>
        <v/>
      </c>
      <c r="BI34" s="3">
        <f>ROUND(9659.0,2)</f>
        <v/>
      </c>
      <c r="BJ34" s="4">
        <f>IFERROR((BD34/BC34),0)</f>
        <v/>
      </c>
      <c r="BK34" s="4">
        <f>IFERROR(((0+BB11+BB12+BB13+BB14+BB15+BB16+BB17+BB19+BB20+BB21+BB22+BB23+BB24+BB25+BB27+BB28+BB29+BB30+BB31+BB32+BB33)/T2),0)</f>
        <v/>
      </c>
      <c r="BL34" s="5">
        <f>IFERROR(ROUND(BB34/BD34,2),0)</f>
        <v/>
      </c>
      <c r="BM34" s="5">
        <f>IFERROR(ROUND(BB34/BE34,2),0)</f>
        <v/>
      </c>
      <c r="BN34" s="2" t="inlineStr">
        <is>
          <t>3 Weekly Total</t>
        </is>
      </c>
      <c r="BO34" s="5">
        <f>ROUND(115.01,2)</f>
        <v/>
      </c>
      <c r="BP34" s="3">
        <f>ROUND(324513.0,2)</f>
        <v/>
      </c>
      <c r="BQ34" s="3">
        <f>ROUND(9944.0,2)</f>
        <v/>
      </c>
      <c r="BR34" s="3">
        <f>ROUND(77633.0,2)</f>
        <v/>
      </c>
      <c r="BS34" s="3">
        <f>ROUND(65937.0,2)</f>
        <v/>
      </c>
      <c r="BT34" s="3">
        <f>ROUND(37119.0,2)</f>
        <v/>
      </c>
      <c r="BU34" s="3">
        <f>ROUND(29820.0,2)</f>
        <v/>
      </c>
      <c r="BV34" s="3">
        <f>ROUND(18530.0,2)</f>
        <v/>
      </c>
      <c r="BW34" s="4">
        <f>IFERROR((BQ34/BP34),0)</f>
        <v/>
      </c>
      <c r="BX34" s="4">
        <f>IFERROR(((0+BO11+BO12+BO13+BO14+BO15+BO16+BO17+BO19+BO20+BO21+BO22+BO23+BO24+BO25+BO27+BO28+BO29+BO30+BO31+BO32+BO33)/T2),0)</f>
        <v/>
      </c>
      <c r="BY34" s="5">
        <f>IFERROR(ROUND(BO34/BQ34,2),0)</f>
        <v/>
      </c>
      <c r="BZ34" s="5">
        <f>IFERROR(ROUND(BO34/BR34,2),0)</f>
        <v/>
      </c>
      <c r="CA34" s="2" t="inlineStr">
        <is>
          <t>3 Weekly Total</t>
        </is>
      </c>
      <c r="CB34" s="5">
        <f>ROUND(17.84,2)</f>
        <v/>
      </c>
      <c r="CC34" s="3">
        <f>ROUND(35334.0,2)</f>
        <v/>
      </c>
      <c r="CD34" s="3">
        <f>ROUND(1482.0,2)</f>
        <v/>
      </c>
      <c r="CE34" s="3">
        <f>ROUND(10514.0,2)</f>
        <v/>
      </c>
      <c r="CF34" s="3">
        <f>ROUND(8014.0,2)</f>
        <v/>
      </c>
      <c r="CG34" s="3">
        <f>ROUND(3836.0,2)</f>
        <v/>
      </c>
      <c r="CH34" s="3">
        <f>ROUND(2658.0,2)</f>
        <v/>
      </c>
      <c r="CI34" s="3">
        <f>ROUND(915.0,2)</f>
        <v/>
      </c>
      <c r="CJ34" s="4">
        <f>IFERROR((CD34/CC34),0)</f>
        <v/>
      </c>
      <c r="CK34" s="4">
        <f>IFERROR(((0+CB11+CB12+CB13+CB14+CB15+CB16+CB17+CB19+CB20+CB21+CB22+CB23+CB24+CB25+CB27+CB28+CB29+CB30+CB31+CB32+CB33)/T2),0)</f>
        <v/>
      </c>
      <c r="CL34" s="5">
        <f>IFERROR(ROUND(CB34/CD34,2),0)</f>
        <v/>
      </c>
      <c r="CM34" s="5">
        <f>IFERROR(ROUND(CB34/CE34,2),0)</f>
        <v/>
      </c>
      <c r="CN34" s="2" t="inlineStr">
        <is>
          <t>3 Weekly Total</t>
        </is>
      </c>
      <c r="CO34" s="5">
        <f>ROUND(276.08,2)</f>
        <v/>
      </c>
      <c r="CP34" s="3">
        <f>ROUND(355063.0,2)</f>
        <v/>
      </c>
      <c r="CQ34" s="3">
        <f>ROUND(22783.0,2)</f>
        <v/>
      </c>
      <c r="CR34" s="3">
        <f>ROUND(202322.0,2)</f>
        <v/>
      </c>
      <c r="CS34" s="3">
        <f>ROUND(192231.0,2)</f>
        <v/>
      </c>
      <c r="CT34" s="3">
        <f>ROUND(81415.0,2)</f>
        <v/>
      </c>
      <c r="CU34" s="3">
        <f>ROUND(49700.0,2)</f>
        <v/>
      </c>
      <c r="CV34" s="3">
        <f>ROUND(34796.0,2)</f>
        <v/>
      </c>
      <c r="CW34" s="4">
        <f>IFERROR((CQ34/CP34),0)</f>
        <v/>
      </c>
      <c r="CX34" s="4">
        <f>IFERROR(((0+CO11+CO12+CO13+CO14+CO15+CO16+CO17+CO19+CO20+CO21+CO22+CO23+CO24+CO25+CO27+CO28+CO29+CO30+CO31+CO32+CO33)/T2),0)</f>
        <v/>
      </c>
      <c r="CY34" s="5">
        <f>IFERROR(ROUND(CO34/CQ34,2),0)</f>
        <v/>
      </c>
      <c r="CZ34" s="5">
        <f>IFERROR(ROUND(CO34/CR34,2),0)</f>
        <v/>
      </c>
      <c r="DA34" s="2" t="inlineStr">
        <is>
          <t>3 Weekly Total</t>
        </is>
      </c>
      <c r="DB34" s="5">
        <f>ROUND(37.59,2)</f>
        <v/>
      </c>
      <c r="DC34" s="3">
        <f>ROUND(92647.0,2)</f>
        <v/>
      </c>
      <c r="DD34" s="3">
        <f>ROUND(3501.0,2)</f>
        <v/>
      </c>
      <c r="DE34" s="3">
        <f>ROUND(11376.0,2)</f>
        <v/>
      </c>
      <c r="DF34" s="3">
        <f>ROUND(7191.0,2)</f>
        <v/>
      </c>
      <c r="DG34" s="3">
        <f>ROUND(2983.0,2)</f>
        <v/>
      </c>
      <c r="DH34" s="3">
        <f>ROUND(1451.0,2)</f>
        <v/>
      </c>
      <c r="DI34" s="3">
        <f>ROUND(620.0,2)</f>
        <v/>
      </c>
      <c r="DJ34" s="4">
        <f>IFERROR((DD34/DC34),0)</f>
        <v/>
      </c>
      <c r="DK34" s="4">
        <f>IFERROR(((0+DB11+DB12+DB13+DB14+DB15+DB16+DB17+DB19+DB20+DB21+DB22+DB23+DB24+DB25+DB27+DB28+DB29+DB30+DB31+DB32+DB33)/T2),0)</f>
        <v/>
      </c>
      <c r="DL34" s="5">
        <f>IFERROR(ROUND(DB34/DD34,2),0)</f>
        <v/>
      </c>
      <c r="DM34" s="5">
        <f>IFERROR(ROUND(DB34/DE34,2),0)</f>
        <v/>
      </c>
      <c r="DN34" s="2" t="inlineStr">
        <is>
          <t>3 Weekly Total</t>
        </is>
      </c>
      <c r="DO34" s="5">
        <f>ROUND(98.78,2)</f>
        <v/>
      </c>
      <c r="DP34" s="3">
        <f>ROUND(259728.0,2)</f>
        <v/>
      </c>
      <c r="DQ34" s="3">
        <f>ROUND(9258.0,2)</f>
        <v/>
      </c>
      <c r="DR34" s="3">
        <f>ROUND(38478.0,2)</f>
        <v/>
      </c>
      <c r="DS34" s="3">
        <f>ROUND(28896.0,2)</f>
        <v/>
      </c>
      <c r="DT34" s="3">
        <f>ROUND(17262.0,2)</f>
        <v/>
      </c>
      <c r="DU34" s="3">
        <f>ROUND(11349.0,2)</f>
        <v/>
      </c>
      <c r="DV34" s="3">
        <f>ROUND(6196.0,2)</f>
        <v/>
      </c>
      <c r="DW34" s="4">
        <f>IFERROR((DQ34/DP34),0)</f>
        <v/>
      </c>
      <c r="DX34" s="4">
        <f>IFERROR(((0+DO11+DO12+DO13+DO14+DO15+DO16+DO17+DO19+DO20+DO21+DO22+DO23+DO24+DO25+DO27+DO28+DO29+DO30+DO31+DO32+DO33)/T2),0)</f>
        <v/>
      </c>
      <c r="DY34" s="5">
        <f>IFERROR(ROUND(DO34/DQ34,2),0)</f>
        <v/>
      </c>
      <c r="DZ34" s="5">
        <f>IFERROR(ROUND(DO34/DR34,2),0)</f>
        <v/>
      </c>
      <c r="EA34" s="2" t="inlineStr">
        <is>
          <t>3 Weekly Total</t>
        </is>
      </c>
      <c r="EB34" s="5">
        <f>ROUND(60.79,2)</f>
        <v/>
      </c>
      <c r="EC34" s="3">
        <f>ROUND(142925.0,2)</f>
        <v/>
      </c>
      <c r="ED34" s="3">
        <f>ROUND(5808.0,2)</f>
        <v/>
      </c>
      <c r="EE34" s="3">
        <f>ROUND(31155.0,2)</f>
        <v/>
      </c>
      <c r="EF34" s="3">
        <f>ROUND(19750.0,2)</f>
        <v/>
      </c>
      <c r="EG34" s="3">
        <f>ROUND(9709.0,2)</f>
        <v/>
      </c>
      <c r="EH34" s="3">
        <f>ROUND(7830.0,2)</f>
        <v/>
      </c>
      <c r="EI34" s="3">
        <f>ROUND(2249.0,2)</f>
        <v/>
      </c>
      <c r="EJ34" s="4">
        <f>IFERROR((ED34/EC34),0)</f>
        <v/>
      </c>
      <c r="EK34" s="4">
        <f>IFERROR(((0+EB11+EB12+EB13+EB14+EB15+EB16+EB17+EB19+EB20+EB21+EB22+EB23+EB24+EB25+EB27+EB28+EB29+EB30+EB31+EB32+EB33)/T2),0)</f>
        <v/>
      </c>
      <c r="EL34" s="5">
        <f>IFERROR(ROUND(EB34/ED34,2),0)</f>
        <v/>
      </c>
      <c r="EM34" s="5">
        <f>IFERROR(ROUND(EB34/EE34,2),0)</f>
        <v/>
      </c>
      <c r="EN34" s="2" t="inlineStr">
        <is>
          <t>3 Weekly Total</t>
        </is>
      </c>
      <c r="EO34" s="5">
        <f>ROUND(23.76,2)</f>
        <v/>
      </c>
      <c r="EP34" s="3">
        <f>ROUND(34910.0,2)</f>
        <v/>
      </c>
      <c r="EQ34" s="3">
        <f>ROUND(1749.0,2)</f>
        <v/>
      </c>
      <c r="ER34" s="3">
        <f>ROUND(3199.0,2)</f>
        <v/>
      </c>
      <c r="ES34" s="3">
        <f>ROUND(2182.0,2)</f>
        <v/>
      </c>
      <c r="ET34" s="3">
        <f>ROUND(981.0,2)</f>
        <v/>
      </c>
      <c r="EU34" s="3">
        <f>ROUND(387.0,2)</f>
        <v/>
      </c>
      <c r="EV34" s="3">
        <f>ROUND(194.0,2)</f>
        <v/>
      </c>
      <c r="EW34" s="4">
        <f>IFERROR((EQ34/EP34),0)</f>
        <v/>
      </c>
      <c r="EX34" s="4">
        <f>IFERROR(((0+EO11+EO12+EO13+EO14+EO15+EO16+EO17+EO19+EO20+EO21+EO22+EO23+EO24+EO25+EO27+EO28+EO29+EO30+EO31+EO32+EO33)/T2),0)</f>
        <v/>
      </c>
      <c r="EY34" s="5">
        <f>IFERROR(ROUND(EO34/EQ34,2),0)</f>
        <v/>
      </c>
      <c r="EZ34" s="5">
        <f>IFERROR(ROUND(EO34/ER34,2),0)</f>
        <v/>
      </c>
      <c r="FA34" s="2" t="inlineStr">
        <is>
          <t>3 Weekly Total</t>
        </is>
      </c>
      <c r="FB34" s="5">
        <f>ROUND(42.74,2)</f>
        <v/>
      </c>
      <c r="FC34" s="3">
        <f>ROUND(55565.0,2)</f>
        <v/>
      </c>
      <c r="FD34" s="3">
        <f>ROUND(2863.0,2)</f>
        <v/>
      </c>
      <c r="FE34" s="3">
        <f>ROUND(9318.0,2)</f>
        <v/>
      </c>
      <c r="FF34" s="3">
        <f>ROUND(8153.0,2)</f>
        <v/>
      </c>
      <c r="FG34" s="3">
        <f>ROUND(4196.0,2)</f>
        <v/>
      </c>
      <c r="FH34" s="3">
        <f>ROUND(3041.0,2)</f>
        <v/>
      </c>
      <c r="FI34" s="3">
        <f>ROUND(1219.0,2)</f>
        <v/>
      </c>
      <c r="FJ34" s="4">
        <f>IFERROR((FD34/FC34),0)</f>
        <v/>
      </c>
      <c r="FK34" s="4">
        <f>IFERROR(((0+FB11+FB12+FB13+FB14+FB15+FB16+FB17+FB19+FB20+FB21+FB22+FB23+FB24+FB25+FB27+FB28+FB29+FB30+FB31+FB32+FB33)/T2),0)</f>
        <v/>
      </c>
      <c r="FL34" s="5">
        <f>IFERROR(ROUND(FB34/FD34,2),0)</f>
        <v/>
      </c>
      <c r="FM34" s="5">
        <f>IFERROR(ROUND(FB34/FE34,2),0)</f>
        <v/>
      </c>
      <c r="FN34" s="2" t="inlineStr">
        <is>
          <t>3 Weekly Total</t>
        </is>
      </c>
      <c r="FO34" s="5">
        <f>ROUND(9.89,2)</f>
        <v/>
      </c>
      <c r="FP34" s="3">
        <f>ROUND(6348.0,2)</f>
        <v/>
      </c>
      <c r="FQ34" s="3">
        <f>ROUND(525.0,2)</f>
        <v/>
      </c>
      <c r="FR34" s="3">
        <f>ROUND(3139.0,2)</f>
        <v/>
      </c>
      <c r="FS34" s="3">
        <f>ROUND(2862.0,2)</f>
        <v/>
      </c>
      <c r="FT34" s="3">
        <f>ROUND(1412.0,2)</f>
        <v/>
      </c>
      <c r="FU34" s="3">
        <f>ROUND(1106.0,2)</f>
        <v/>
      </c>
      <c r="FV34" s="3">
        <f>ROUND(116.0,2)</f>
        <v/>
      </c>
      <c r="FW34" s="4">
        <f>IFERROR((FQ34/FP34),0)</f>
        <v/>
      </c>
      <c r="FX34" s="4">
        <f>IFERROR(((0+FO11+FO12+FO13+FO14+FO15+FO16+FO17+FO19+FO20+FO21+FO22+FO23+FO24+FO25+FO27+FO28+FO29+FO30+FO31+FO32+FO33)/T2),0)</f>
        <v/>
      </c>
      <c r="FY34" s="5">
        <f>IFERROR(ROUND(FO34/FQ34,2),0)</f>
        <v/>
      </c>
      <c r="FZ34" s="5">
        <f>IFERROR(ROUND(FO34/FR34,2),0)</f>
        <v/>
      </c>
      <c r="GA34" s="2" t="inlineStr">
        <is>
          <t>3 Weekly Total</t>
        </is>
      </c>
      <c r="GB34" s="5">
        <f>ROUND(54.75,2)</f>
        <v/>
      </c>
      <c r="GC34" s="3">
        <f>ROUND(126825.0,2)</f>
        <v/>
      </c>
      <c r="GD34" s="3">
        <f>ROUND(3918.0,2)</f>
        <v/>
      </c>
      <c r="GE34" s="3">
        <f>ROUND(23960.0,2)</f>
        <v/>
      </c>
      <c r="GF34" s="3">
        <f>ROUND(17653.0,2)</f>
        <v/>
      </c>
      <c r="GG34" s="3">
        <f>ROUND(7551.0,2)</f>
        <v/>
      </c>
      <c r="GH34" s="3">
        <f>ROUND(4495.0,2)</f>
        <v/>
      </c>
      <c r="GI34" s="3">
        <f>ROUND(1851.0,2)</f>
        <v/>
      </c>
      <c r="GJ34" s="4">
        <f>IFERROR((GD34/GC34),0)</f>
        <v/>
      </c>
      <c r="GK34" s="4">
        <f>IFERROR(((0+GB11+GB12+GB13+GB14+GB15+GB16+GB17+GB19+GB20+GB21+GB22+GB23+GB24+GB25+GB27+GB28+GB29+GB30+GB31+GB32+GB33)/T2),0)</f>
        <v/>
      </c>
      <c r="GL34" s="5">
        <f>IFERROR(ROUND(GB34/GD34,2),0)</f>
        <v/>
      </c>
      <c r="GM34" s="5">
        <f>IFERROR(ROUND(GB34/GE34,2),0)</f>
        <v/>
      </c>
      <c r="GN34" s="2" t="inlineStr">
        <is>
          <t>3 Weekly Total</t>
        </is>
      </c>
      <c r="GO34" s="5">
        <f>ROUND(56.48,2)</f>
        <v/>
      </c>
      <c r="GP34" s="3">
        <f>ROUND(83129.0,2)</f>
        <v/>
      </c>
      <c r="GQ34" s="3">
        <f>ROUND(3766.0,2)</f>
        <v/>
      </c>
      <c r="GR34" s="3">
        <f>ROUND(20069.0,2)</f>
        <v/>
      </c>
      <c r="GS34" s="3">
        <f>ROUND(16856.0,2)</f>
        <v/>
      </c>
      <c r="GT34" s="3">
        <f>ROUND(7536.0,2)</f>
        <v/>
      </c>
      <c r="GU34" s="3">
        <f>ROUND(5345.0,2)</f>
        <v/>
      </c>
      <c r="GV34" s="3">
        <f>ROUND(4275.0,2)</f>
        <v/>
      </c>
      <c r="GW34" s="4">
        <f>IFERROR((GQ34/GP34),0)</f>
        <v/>
      </c>
      <c r="GX34" s="4">
        <f>IFERROR(((0+GO11+GO12+GO13+GO14+GO15+GO16+GO17+GO19+GO20+GO21+GO22+GO23+GO24+GO25+GO27+GO28+GO29+GO30+GO31+GO32+GO33)/T2),0)</f>
        <v/>
      </c>
      <c r="GY34" s="5">
        <f>IFERROR(ROUND(GO34/GQ34,2),0)</f>
        <v/>
      </c>
      <c r="GZ34" s="5">
        <f>IFERROR(ROUND(GO34/GR34,2),0)</f>
        <v/>
      </c>
      <c r="HA34" s="2" t="inlineStr">
        <is>
          <t>3 Weekly Total</t>
        </is>
      </c>
      <c r="HB34" s="5">
        <f>ROUND(49.37,2)</f>
        <v/>
      </c>
      <c r="HC34" s="3">
        <f>ROUND(45453.0,2)</f>
        <v/>
      </c>
      <c r="HD34" s="3">
        <f>ROUND(3053.0,2)</f>
        <v/>
      </c>
      <c r="HE34" s="3">
        <f>ROUND(19097.0,2)</f>
        <v/>
      </c>
      <c r="HF34" s="3">
        <f>ROUND(15955.0,2)</f>
        <v/>
      </c>
      <c r="HG34" s="3">
        <f>ROUND(7950.0,2)</f>
        <v/>
      </c>
      <c r="HH34" s="3">
        <f>ROUND(6911.0,2)</f>
        <v/>
      </c>
      <c r="HI34" s="3">
        <f>ROUND(661.0,2)</f>
        <v/>
      </c>
      <c r="HJ34" s="4">
        <f>IFERROR((HD34/HC34),0)</f>
        <v/>
      </c>
      <c r="HK34" s="4">
        <f>IFERROR(((0+HB11+HB12+HB13+HB14+HB15+HB16+HB17+HB19+HB20+HB21+HB22+HB23+HB24+HB25+HB27+HB28+HB29+HB30+HB31+HB32+HB33)/T2),0)</f>
        <v/>
      </c>
      <c r="HL34" s="5">
        <f>IFERROR(ROUND(HB34/HD34,2),0)</f>
        <v/>
      </c>
      <c r="HM34" s="5">
        <f>IFERROR(ROUND(HB34/HE34,2),0)</f>
        <v/>
      </c>
      <c r="HN34" s="2" t="inlineStr">
        <is>
          <t>3 Weekly Total</t>
        </is>
      </c>
      <c r="HO34" s="5">
        <f>ROUND(14.88,2)</f>
        <v/>
      </c>
      <c r="HP34" s="3">
        <f>ROUND(12938.0,2)</f>
        <v/>
      </c>
      <c r="HQ34" s="3">
        <f>ROUND(835.0,2)</f>
        <v/>
      </c>
      <c r="HR34" s="3">
        <f>ROUND(5542.0,2)</f>
        <v/>
      </c>
      <c r="HS34" s="3">
        <f>ROUND(5051.0,2)</f>
        <v/>
      </c>
      <c r="HT34" s="3">
        <f>ROUND(3090.0,2)</f>
        <v/>
      </c>
      <c r="HU34" s="3">
        <f>ROUND(2565.0,2)</f>
        <v/>
      </c>
      <c r="HV34" s="3">
        <f>ROUND(2307.0,2)</f>
        <v/>
      </c>
      <c r="HW34" s="4">
        <f>IFERROR((HQ34/HP34),0)</f>
        <v/>
      </c>
      <c r="HX34" s="4">
        <f>IFERROR(((0+HO11+HO12+HO13+HO14+HO15+HO16+HO17+HO19+HO20+HO21+HO22+HO23+HO24+HO25+HO27+HO28+HO29+HO30+HO31+HO32+HO33)/T2),0)</f>
        <v/>
      </c>
      <c r="HY34" s="5">
        <f>IFERROR(ROUND(HO34/HQ34,2),0)</f>
        <v/>
      </c>
      <c r="HZ34" s="5">
        <f>IFERROR(ROUND(HO34/HR34,2),0)</f>
        <v/>
      </c>
      <c r="IA34" s="2" t="inlineStr">
        <is>
          <t>3 Weekly Total</t>
        </is>
      </c>
      <c r="IB34" s="5">
        <f>ROUND(15.46,2)</f>
        <v/>
      </c>
      <c r="IC34" s="3">
        <f>ROUND(24774.0,2)</f>
        <v/>
      </c>
      <c r="ID34" s="3">
        <f>ROUND(1022.0,2)</f>
        <v/>
      </c>
      <c r="IE34" s="3">
        <f>ROUND(5663.0,2)</f>
        <v/>
      </c>
      <c r="IF34" s="3">
        <f>ROUND(4625.0,2)</f>
        <v/>
      </c>
      <c r="IG34" s="3">
        <f>ROUND(2443.0,2)</f>
        <v/>
      </c>
      <c r="IH34" s="3">
        <f>ROUND(1868.0,2)</f>
        <v/>
      </c>
      <c r="II34" s="3">
        <f>ROUND(533.0,2)</f>
        <v/>
      </c>
      <c r="IJ34" s="4">
        <f>IFERROR((ID34/IC34),0)</f>
        <v/>
      </c>
      <c r="IK34" s="4">
        <f>IFERROR(((0+IB11+IB12+IB13+IB14+IB15+IB16+IB17+IB19+IB20+IB21+IB22+IB23+IB24+IB25+IB27+IB28+IB29+IB30+IB31+IB32+IB33)/T2),0)</f>
        <v/>
      </c>
      <c r="IL34" s="5">
        <f>IFERROR(ROUND(IB34/ID34,2),0)</f>
        <v/>
      </c>
      <c r="IM34" s="5">
        <f>IFERROR(ROUND(IB34/IE34,2),0)</f>
        <v/>
      </c>
      <c r="IN34" s="2" t="inlineStr">
        <is>
          <t>3 Weekly Total</t>
        </is>
      </c>
      <c r="IO34" s="5">
        <f>ROUND(63.51,2)</f>
        <v/>
      </c>
      <c r="IP34" s="3">
        <f>ROUND(125795.0,2)</f>
        <v/>
      </c>
      <c r="IQ34" s="3">
        <f>ROUND(4051.0,2)</f>
        <v/>
      </c>
      <c r="IR34" s="3">
        <f>ROUND(25507.0,2)</f>
        <v/>
      </c>
      <c r="IS34" s="3">
        <f>ROUND(22103.0,2)</f>
        <v/>
      </c>
      <c r="IT34" s="3">
        <f>ROUND(14067.0,2)</f>
        <v/>
      </c>
      <c r="IU34" s="3">
        <f>ROUND(11576.0,2)</f>
        <v/>
      </c>
      <c r="IV34" s="3">
        <f>ROUND(8310.0,2)</f>
        <v/>
      </c>
      <c r="IW34" s="4">
        <f>IFERROR((IQ34/IP34),0)</f>
        <v/>
      </c>
      <c r="IX34" s="4">
        <f>IFERROR(((0+IO11+IO12+IO13+IO14+IO15+IO16+IO17+IO19+IO20+IO21+IO22+IO23+IO24+IO25+IO27+IO28+IO29+IO30+IO31+IO32+IO33)/T2),0)</f>
        <v/>
      </c>
      <c r="IY34" s="5">
        <f>IFERROR(ROUND(IO34/IQ34,2),0)</f>
        <v/>
      </c>
      <c r="IZ34" s="5">
        <f>IFERROR(ROUND(IO34/IR34,2),0)</f>
        <v/>
      </c>
      <c r="JA34" s="2" t="inlineStr">
        <is>
          <t>3 Weekly Total</t>
        </is>
      </c>
      <c r="JB34" s="5">
        <f>ROUND(18.65,2)</f>
        <v/>
      </c>
      <c r="JC34" s="3">
        <f>ROUND(19491.0,2)</f>
        <v/>
      </c>
      <c r="JD34" s="3">
        <f>ROUND(1048.0,2)</f>
        <v/>
      </c>
      <c r="JE34" s="3">
        <f>ROUND(7315.0,2)</f>
        <v/>
      </c>
      <c r="JF34" s="3">
        <f>ROUND(6412.0,2)</f>
        <v/>
      </c>
      <c r="JG34" s="3">
        <f>ROUND(3377.0,2)</f>
        <v/>
      </c>
      <c r="JH34" s="3">
        <f>ROUND(2771.0,2)</f>
        <v/>
      </c>
      <c r="JI34" s="3">
        <f>ROUND(632.0,2)</f>
        <v/>
      </c>
      <c r="JJ34" s="4">
        <f>IFERROR((JD34/JC34),0)</f>
        <v/>
      </c>
      <c r="JK34" s="4">
        <f>IFERROR(((0+JB11+JB12+JB13+JB14+JB15+JB16+JB17+JB19+JB20+JB21+JB22+JB23+JB24+JB25+JB27+JB28+JB29+JB30+JB31+JB32+JB33)/T2),0)</f>
        <v/>
      </c>
      <c r="JL34" s="5">
        <f>IFERROR(ROUND(JB34/JD34,2),0)</f>
        <v/>
      </c>
      <c r="JM34" s="5">
        <f>IFERROR(ROUND(JB34/JE34,2),0)</f>
        <v/>
      </c>
    </row>
    <row r="35">
      <c r="A35" s="2" t="inlineStr">
        <is>
          <t>2023-10-11</t>
        </is>
      </c>
      <c r="B35" s="5">
        <f>ROUND(166.04,2)</f>
        <v/>
      </c>
      <c r="C35" s="3">
        <f>ROUND(343251.0,2)</f>
        <v/>
      </c>
      <c r="D35" s="3">
        <f>ROUND(12661.0,2)</f>
        <v/>
      </c>
      <c r="E35" s="3">
        <f>ROUND(85342.0,2)</f>
        <v/>
      </c>
      <c r="F35" s="3">
        <f>ROUND(70625.0,2)</f>
        <v/>
      </c>
      <c r="G35" s="3">
        <f>ROUND(33583.0,2)</f>
        <v/>
      </c>
      <c r="H35" s="3">
        <f>ROUND(23212.0,2)</f>
        <v/>
      </c>
      <c r="I35" s="3">
        <f>ROUND(13330.0,2)</f>
        <v/>
      </c>
      <c r="J35" s="4">
        <f>IFERROR((D35/C35),0)</f>
        <v/>
      </c>
      <c r="K35" s="4">
        <f>IFERROR(((0+B11+B12+B13+B14+B15+B16+B17+B19+B20+B21+B22+B23+B24+B25+B27+B28+B29+B30+B31+B32+B33+B35)/T2),0)</f>
        <v/>
      </c>
      <c r="L35" s="5">
        <f>IFERROR(ROUND(B35/D35,2),0)</f>
        <v/>
      </c>
      <c r="M35" s="5">
        <f>IFERROR(ROUND(B35/E35,2),0)</f>
        <v/>
      </c>
      <c r="N35" s="2" t="inlineStr">
        <is>
          <t>2023-10-11</t>
        </is>
      </c>
      <c r="O35" s="5">
        <f>ROUND(3.35,2)</f>
        <v/>
      </c>
      <c r="P35" s="3">
        <f>ROUND(10133.0,2)</f>
        <v/>
      </c>
      <c r="Q35" s="3">
        <f>ROUND(277.0,2)</f>
        <v/>
      </c>
      <c r="R35" s="3">
        <f>ROUND(1423.0,2)</f>
        <v/>
      </c>
      <c r="S35" s="3">
        <f>ROUND(1002.0,2)</f>
        <v/>
      </c>
      <c r="T35" s="3">
        <f>ROUND(469.0,2)</f>
        <v/>
      </c>
      <c r="U35" s="3">
        <f>ROUND(306.0,2)</f>
        <v/>
      </c>
      <c r="V35" s="3">
        <f>ROUND(118.0,2)</f>
        <v/>
      </c>
      <c r="W35" s="4">
        <f>IFERROR((Q35/P35),0)</f>
        <v/>
      </c>
      <c r="X35" s="4">
        <f>IFERROR(((0+O11+O12+O13+O14+O15+O16+O17+O19+O20+O21+O22+O23+O24+O25+O27+O28+O29+O30+O31+O32+O33+O35)/T2),0)</f>
        <v/>
      </c>
      <c r="Y35" s="5">
        <f>IFERROR(ROUND(O35/Q35,2),0)</f>
        <v/>
      </c>
      <c r="Z35" s="5">
        <f>IFERROR(ROUND(O35/R35,2),0)</f>
        <v/>
      </c>
      <c r="AA35" s="2" t="inlineStr">
        <is>
          <t>2023-10-11</t>
        </is>
      </c>
      <c r="AB35" s="5">
        <f>ROUND(2.96,2)</f>
        <v/>
      </c>
      <c r="AC35" s="3">
        <f>ROUND(2982.0,2)</f>
        <v/>
      </c>
      <c r="AD35" s="3">
        <f>ROUND(204.0,2)</f>
        <v/>
      </c>
      <c r="AE35" s="3">
        <f>ROUND(1444.0,2)</f>
        <v/>
      </c>
      <c r="AF35" s="3">
        <f>ROUND(1327.0,2)</f>
        <v/>
      </c>
      <c r="AG35" s="3">
        <f>ROUND(849.0,2)</f>
        <v/>
      </c>
      <c r="AH35" s="3">
        <f>ROUND(756.0,2)</f>
        <v/>
      </c>
      <c r="AI35" s="3">
        <f>ROUND(35.0,2)</f>
        <v/>
      </c>
      <c r="AJ35" s="4">
        <f>IFERROR((AD35/AC35),0)</f>
        <v/>
      </c>
      <c r="AK35" s="4">
        <f>IFERROR(((0+AB11+AB12+AB13+AB14+AB15+AB16+AB17+AB19+AB20+AB21+AB22+AB23+AB24+AB25+AB27+AB28+AB29+AB30+AB31+AB32+AB33+AB35)/T2),0)</f>
        <v/>
      </c>
      <c r="AL35" s="5">
        <f>IFERROR(ROUND(AB35/AD35,2),0)</f>
        <v/>
      </c>
      <c r="AM35" s="5">
        <f>IFERROR(ROUND(AB35/AE35,2),0)</f>
        <v/>
      </c>
      <c r="AN35" s="2" t="inlineStr">
        <is>
          <t>2023-10-11</t>
        </is>
      </c>
      <c r="AO35" s="5">
        <f>ROUND(0.99,2)</f>
        <v/>
      </c>
      <c r="AP35" s="3">
        <f>ROUND(1559.0,2)</f>
        <v/>
      </c>
      <c r="AQ35" s="3">
        <f>ROUND(69.0,2)</f>
        <v/>
      </c>
      <c r="AR35" s="3">
        <f>ROUND(454.0,2)</f>
        <v/>
      </c>
      <c r="AS35" s="3">
        <f>ROUND(388.0,2)</f>
        <v/>
      </c>
      <c r="AT35" s="3">
        <f>ROUND(235.0,2)</f>
        <v/>
      </c>
      <c r="AU35" s="3">
        <f>ROUND(190.0,2)</f>
        <v/>
      </c>
      <c r="AV35" s="3">
        <f>ROUND(163.0,2)</f>
        <v/>
      </c>
      <c r="AW35" s="4">
        <f>IFERROR((AQ35/AP35),0)</f>
        <v/>
      </c>
      <c r="AX35" s="4">
        <f>IFERROR(((0+AO11+AO12+AO13+AO14+AO15+AO16+AO17+AO19+AO20+AO21+AO22+AO23+AO24+AO25+AO27+AO28+AO29+AO30+AO31+AO32+AO33+AO35)/T2),0)</f>
        <v/>
      </c>
      <c r="AY35" s="5">
        <f>IFERROR(ROUND(AO35/AQ35,2),0)</f>
        <v/>
      </c>
      <c r="AZ35" s="5">
        <f>IFERROR(ROUND(AO35/AR35,2),0)</f>
        <v/>
      </c>
      <c r="BA35" s="2" t="inlineStr">
        <is>
          <t>2023-10-11</t>
        </is>
      </c>
      <c r="BB35" s="5">
        <f>ROUND(20.47,2)</f>
        <v/>
      </c>
      <c r="BC35" s="3">
        <f>ROUND(65925.0,2)</f>
        <v/>
      </c>
      <c r="BD35" s="3">
        <f>ROUND(1893.0,2)</f>
        <v/>
      </c>
      <c r="BE35" s="3">
        <f>ROUND(14045.0,2)</f>
        <v/>
      </c>
      <c r="BF35" s="3">
        <f>ROUND(10436.0,2)</f>
        <v/>
      </c>
      <c r="BG35" s="3">
        <f>ROUND(4303.0,2)</f>
        <v/>
      </c>
      <c r="BH35" s="3">
        <f>ROUND(2485.0,2)</f>
        <v/>
      </c>
      <c r="BI35" s="3">
        <f>ROUND(1307.0,2)</f>
        <v/>
      </c>
      <c r="BJ35" s="4">
        <f>IFERROR((BD35/BC35),0)</f>
        <v/>
      </c>
      <c r="BK35" s="4">
        <f>IFERROR(((0+BB11+BB12+BB13+BB14+BB15+BB16+BB17+BB19+BB20+BB21+BB22+BB23+BB24+BB25+BB27+BB28+BB29+BB30+BB31+BB32+BB33+BB35)/T2),0)</f>
        <v/>
      </c>
      <c r="BL35" s="5">
        <f>IFERROR(ROUND(BB35/BD35,2),0)</f>
        <v/>
      </c>
      <c r="BM35" s="5">
        <f>IFERROR(ROUND(BB35/BE35,2),0)</f>
        <v/>
      </c>
      <c r="BN35" s="2" t="inlineStr">
        <is>
          <t>2023-10-11</t>
        </is>
      </c>
      <c r="BO35" s="5">
        <f>ROUND(21.52,2)</f>
        <v/>
      </c>
      <c r="BP35" s="3">
        <f>ROUND(64773.0,2)</f>
        <v/>
      </c>
      <c r="BQ35" s="3">
        <f>ROUND(1786.0,2)</f>
        <v/>
      </c>
      <c r="BR35" s="3">
        <f>ROUND(14674.0,2)</f>
        <v/>
      </c>
      <c r="BS35" s="3">
        <f>ROUND(12292.0,2)</f>
        <v/>
      </c>
      <c r="BT35" s="3">
        <f>ROUND(6749.0,2)</f>
        <v/>
      </c>
      <c r="BU35" s="3">
        <f>ROUND(5415.0,2)</f>
        <v/>
      </c>
      <c r="BV35" s="3">
        <f>ROUND(3144.0,2)</f>
        <v/>
      </c>
      <c r="BW35" s="4">
        <f>IFERROR((BQ35/BP35),0)</f>
        <v/>
      </c>
      <c r="BX35" s="4">
        <f>IFERROR(((0+BO11+BO12+BO13+BO14+BO15+BO16+BO17+BO19+BO20+BO21+BO22+BO23+BO24+BO25+BO27+BO28+BO29+BO30+BO31+BO32+BO33+BO35)/T2),0)</f>
        <v/>
      </c>
      <c r="BY35" s="5">
        <f>IFERROR(ROUND(BO35/BQ35,2),0)</f>
        <v/>
      </c>
      <c r="BZ35" s="5">
        <f>IFERROR(ROUND(BO35/BR35,2),0)</f>
        <v/>
      </c>
      <c r="CA35" s="2" t="inlineStr">
        <is>
          <t>2023-10-11</t>
        </is>
      </c>
      <c r="CB35" s="5">
        <f>ROUND(2.27,2)</f>
        <v/>
      </c>
      <c r="CC35" s="3">
        <f>ROUND(4868.0,2)</f>
        <v/>
      </c>
      <c r="CD35" s="3">
        <f>ROUND(178.0,2)</f>
        <v/>
      </c>
      <c r="CE35" s="3">
        <f>ROUND(1269.0,2)</f>
        <v/>
      </c>
      <c r="CF35" s="3">
        <f>ROUND(963.0,2)</f>
        <v/>
      </c>
      <c r="CG35" s="3">
        <f>ROUND(487.0,2)</f>
        <v/>
      </c>
      <c r="CH35" s="3">
        <f>ROUND(333.0,2)</f>
        <v/>
      </c>
      <c r="CI35" s="3">
        <f>ROUND(118.0,2)</f>
        <v/>
      </c>
      <c r="CJ35" s="4">
        <f>IFERROR((CD35/CC35),0)</f>
        <v/>
      </c>
      <c r="CK35" s="4">
        <f>IFERROR(((0+CB11+CB12+CB13+CB14+CB15+CB16+CB17+CB19+CB20+CB21+CB22+CB23+CB24+CB25+CB27+CB28+CB29+CB30+CB31+CB32+CB33+CB35)/T2),0)</f>
        <v/>
      </c>
      <c r="CL35" s="5">
        <f>IFERROR(ROUND(CB35/CD35,2),0)</f>
        <v/>
      </c>
      <c r="CM35" s="5">
        <f>IFERROR(ROUND(CB35/CE35,2),0)</f>
        <v/>
      </c>
      <c r="CN35" s="2" t="inlineStr">
        <is>
          <t>2023-10-11</t>
        </is>
      </c>
      <c r="CO35" s="5">
        <f>ROUND(36.41,2)</f>
        <v/>
      </c>
      <c r="CP35" s="3">
        <f>ROUND(43586.0,2)</f>
        <v/>
      </c>
      <c r="CQ35" s="3">
        <f>ROUND(2672.0,2)</f>
        <v/>
      </c>
      <c r="CR35" s="3">
        <f>ROUND(24373.0,2)</f>
        <v/>
      </c>
      <c r="CS35" s="3">
        <f>ROUND(23161.0,2)</f>
        <v/>
      </c>
      <c r="CT35" s="3">
        <f>ROUND(9483.0,2)</f>
        <v/>
      </c>
      <c r="CU35" s="3">
        <f>ROUND(5753.0,2)</f>
        <v/>
      </c>
      <c r="CV35" s="3">
        <f>ROUND(4061.0,2)</f>
        <v/>
      </c>
      <c r="CW35" s="4">
        <f>IFERROR((CQ35/CP35),0)</f>
        <v/>
      </c>
      <c r="CX35" s="4">
        <f>IFERROR(((0+CO11+CO12+CO13+CO14+CO15+CO16+CO17+CO19+CO20+CO21+CO22+CO23+CO24+CO25+CO27+CO28+CO29+CO30+CO31+CO32+CO33+CO35)/T2),0)</f>
        <v/>
      </c>
      <c r="CY35" s="5">
        <f>IFERROR(ROUND(CO35/CQ35,2),0)</f>
        <v/>
      </c>
      <c r="CZ35" s="5">
        <f>IFERROR(ROUND(CO35/CR35,2),0)</f>
        <v/>
      </c>
      <c r="DA35" s="2" t="inlineStr">
        <is>
          <t>2023-10-11</t>
        </is>
      </c>
      <c r="DB35" s="5">
        <f>ROUND(6.49,2)</f>
        <v/>
      </c>
      <c r="DC35" s="3">
        <f>ROUND(15988.0,2)</f>
        <v/>
      </c>
      <c r="DD35" s="3">
        <f>ROUND(626.0,2)</f>
        <v/>
      </c>
      <c r="DE35" s="3">
        <f>ROUND(1602.0,2)</f>
        <v/>
      </c>
      <c r="DF35" s="3">
        <f>ROUND(919.0,2)</f>
        <v/>
      </c>
      <c r="DG35" s="3">
        <f>ROUND(425.0,2)</f>
        <v/>
      </c>
      <c r="DH35" s="3">
        <f>ROUND(243.0,2)</f>
        <v/>
      </c>
      <c r="DI35" s="3">
        <f>ROUND(107.0,2)</f>
        <v/>
      </c>
      <c r="DJ35" s="4">
        <f>IFERROR((DD35/DC35),0)</f>
        <v/>
      </c>
      <c r="DK35" s="4">
        <f>IFERROR(((0+DB11+DB12+DB13+DB14+DB15+DB16+DB17+DB19+DB20+DB21+DB22+DB23+DB24+DB25+DB27+DB28+DB29+DB30+DB31+DB32+DB33+DB35)/T2),0)</f>
        <v/>
      </c>
      <c r="DL35" s="5">
        <f>IFERROR(ROUND(DB35/DD35,2),0)</f>
        <v/>
      </c>
      <c r="DM35" s="5">
        <f>IFERROR(ROUND(DB35/DE35,2),0)</f>
        <v/>
      </c>
      <c r="DN35" s="2" t="inlineStr">
        <is>
          <t>2023-10-11</t>
        </is>
      </c>
      <c r="DO35" s="5">
        <f>ROUND(13.36,2)</f>
        <v/>
      </c>
      <c r="DP35" s="3">
        <f>ROUND(33484.0,2)</f>
        <v/>
      </c>
      <c r="DQ35" s="3">
        <f>ROUND(1169.0,2)</f>
        <v/>
      </c>
      <c r="DR35" s="3">
        <f>ROUND(5206.0,2)</f>
        <v/>
      </c>
      <c r="DS35" s="3">
        <f>ROUND(3937.0,2)</f>
        <v/>
      </c>
      <c r="DT35" s="3">
        <f>ROUND(2259.0,2)</f>
        <v/>
      </c>
      <c r="DU35" s="3">
        <f>ROUND(1463.0,2)</f>
        <v/>
      </c>
      <c r="DV35" s="3">
        <f>ROUND(819.0,2)</f>
        <v/>
      </c>
      <c r="DW35" s="4">
        <f>IFERROR((DQ35/DP35),0)</f>
        <v/>
      </c>
      <c r="DX35" s="4">
        <f>IFERROR(((0+DO11+DO12+DO13+DO14+DO15+DO16+DO17+DO19+DO20+DO21+DO22+DO23+DO24+DO25+DO27+DO28+DO29+DO30+DO31+DO32+DO33+DO35)/T2),0)</f>
        <v/>
      </c>
      <c r="DY35" s="5">
        <f>IFERROR(ROUND(DO35/DQ35,2),0)</f>
        <v/>
      </c>
      <c r="DZ35" s="5">
        <f>IFERROR(ROUND(DO35/DR35,2),0)</f>
        <v/>
      </c>
      <c r="EA35" s="2" t="inlineStr">
        <is>
          <t>2023-10-11</t>
        </is>
      </c>
      <c r="EB35" s="5">
        <f>ROUND(8.6,2)</f>
        <v/>
      </c>
      <c r="EC35" s="3">
        <f>ROUND(23897.0,2)</f>
        <v/>
      </c>
      <c r="ED35" s="3">
        <f>ROUND(843.0,2)</f>
        <v/>
      </c>
      <c r="EE35" s="3">
        <f>ROUND(4623.0,2)</f>
        <v/>
      </c>
      <c r="EF35" s="3">
        <f>ROUND(2763.0,2)</f>
        <v/>
      </c>
      <c r="EG35" s="3">
        <f>ROUND(1392.0,2)</f>
        <v/>
      </c>
      <c r="EH35" s="3">
        <f>ROUND(1070.0,2)</f>
        <v/>
      </c>
      <c r="EI35" s="3">
        <f>ROUND(374.0,2)</f>
        <v/>
      </c>
      <c r="EJ35" s="4">
        <f>IFERROR((ED35/EC35),0)</f>
        <v/>
      </c>
      <c r="EK35" s="4">
        <f>IFERROR(((0+EB11+EB12+EB13+EB14+EB15+EB16+EB17+EB19+EB20+EB21+EB22+EB23+EB24+EB25+EB27+EB28+EB29+EB30+EB31+EB32+EB33+EB35)/T2),0)</f>
        <v/>
      </c>
      <c r="EL35" s="5">
        <f>IFERROR(ROUND(EB35/ED35,2),0)</f>
        <v/>
      </c>
      <c r="EM35" s="5">
        <f>IFERROR(ROUND(EB35/EE35,2),0)</f>
        <v/>
      </c>
      <c r="EN35" s="2" t="inlineStr">
        <is>
          <t>2023-10-11</t>
        </is>
      </c>
      <c r="EO35" s="5">
        <f>ROUND(3.61,2)</f>
        <v/>
      </c>
      <c r="EP35" s="3">
        <f>ROUND(5278.0,2)</f>
        <v/>
      </c>
      <c r="EQ35" s="3">
        <f>ROUND(245.0,2)</f>
        <v/>
      </c>
      <c r="ER35" s="3">
        <f>ROUND(436.0,2)</f>
        <v/>
      </c>
      <c r="ES35" s="3">
        <f>ROUND(306.0,2)</f>
        <v/>
      </c>
      <c r="ET35" s="3">
        <f>ROUND(159.0,2)</f>
        <v/>
      </c>
      <c r="EU35" s="3">
        <f>ROUND(82.0,2)</f>
        <v/>
      </c>
      <c r="EV35" s="3">
        <f>ROUND(50.0,2)</f>
        <v/>
      </c>
      <c r="EW35" s="4">
        <f>IFERROR((EQ35/EP35),0)</f>
        <v/>
      </c>
      <c r="EX35" s="4">
        <f>IFERROR(((0+EO11+EO12+EO13+EO14+EO15+EO16+EO17+EO19+EO20+EO21+EO22+EO23+EO24+EO25+EO27+EO28+EO29+EO30+EO31+EO32+EO33+EO35)/T2),0)</f>
        <v/>
      </c>
      <c r="EY35" s="5">
        <f>IFERROR(ROUND(EO35/EQ35,2),0)</f>
        <v/>
      </c>
      <c r="EZ35" s="5">
        <f>IFERROR(ROUND(EO35/ER35,2),0)</f>
        <v/>
      </c>
      <c r="FA35" s="2" t="inlineStr">
        <is>
          <t>2023-10-11</t>
        </is>
      </c>
      <c r="FB35" s="5">
        <f>ROUND(7.63,2)</f>
        <v/>
      </c>
      <c r="FC35" s="3">
        <f>ROUND(11611.0,2)</f>
        <v/>
      </c>
      <c r="FD35" s="3">
        <f>ROUND(492.0,2)</f>
        <v/>
      </c>
      <c r="FE35" s="3">
        <f>ROUND(1515.0,2)</f>
        <v/>
      </c>
      <c r="FF35" s="3">
        <f>ROUND(1245.0,2)</f>
        <v/>
      </c>
      <c r="FG35" s="3">
        <f>ROUND(689.0,2)</f>
        <v/>
      </c>
      <c r="FH35" s="3">
        <f>ROUND(492.0,2)</f>
        <v/>
      </c>
      <c r="FI35" s="3">
        <f>ROUND(248.0,2)</f>
        <v/>
      </c>
      <c r="FJ35" s="4">
        <f>IFERROR((FD35/FC35),0)</f>
        <v/>
      </c>
      <c r="FK35" s="4">
        <f>IFERROR(((0+FB11+FB12+FB13+FB14+FB15+FB16+FB17+FB19+FB20+FB21+FB22+FB23+FB24+FB25+FB27+FB28+FB29+FB30+FB31+FB32+FB33+FB35)/T2),0)</f>
        <v/>
      </c>
      <c r="FL35" s="5">
        <f>IFERROR(ROUND(FB35/FD35,2),0)</f>
        <v/>
      </c>
      <c r="FM35" s="5">
        <f>IFERROR(ROUND(FB35/FE35,2),0)</f>
        <v/>
      </c>
      <c r="FN35" s="2" t="inlineStr">
        <is>
          <t>2023-10-11</t>
        </is>
      </c>
      <c r="FO35" s="5">
        <f>ROUND(0.63,2)</f>
        <v/>
      </c>
      <c r="FP35" s="3">
        <f>ROUND(424.0,2)</f>
        <v/>
      </c>
      <c r="FQ35" s="3">
        <f>ROUND(44.0,2)</f>
        <v/>
      </c>
      <c r="FR35" s="3">
        <f>ROUND(164.0,2)</f>
        <v/>
      </c>
      <c r="FS35" s="3">
        <f>ROUND(149.0,2)</f>
        <v/>
      </c>
      <c r="FT35" s="3">
        <f>ROUND(82.0,2)</f>
        <v/>
      </c>
      <c r="FU35" s="3">
        <f>ROUND(68.0,2)</f>
        <v/>
      </c>
      <c r="FV35" s="3">
        <f>ROUND(15.0,2)</f>
        <v/>
      </c>
      <c r="FW35" s="4">
        <f>IFERROR((FQ35/FP35),0)</f>
        <v/>
      </c>
      <c r="FX35" s="4">
        <f>IFERROR(((0+FO11+FO12+FO13+FO14+FO15+FO16+FO17+FO19+FO20+FO21+FO22+FO23+FO24+FO25+FO27+FO28+FO29+FO30+FO31+FO32+FO33+FO35)/T2),0)</f>
        <v/>
      </c>
      <c r="FY35" s="5">
        <f>IFERROR(ROUND(FO35/FQ35,2),0)</f>
        <v/>
      </c>
      <c r="FZ35" s="5">
        <f>IFERROR(ROUND(FO35/FR35,2),0)</f>
        <v/>
      </c>
      <c r="GA35" s="2" t="inlineStr">
        <is>
          <t>2023-10-11</t>
        </is>
      </c>
      <c r="GB35" s="5">
        <f>ROUND(8.67,2)</f>
        <v/>
      </c>
      <c r="GC35" s="3">
        <f>ROUND(20343.0,2)</f>
        <v/>
      </c>
      <c r="GD35" s="3">
        <f>ROUND(567.0,2)</f>
        <v/>
      </c>
      <c r="GE35" s="3">
        <f>ROUND(3675.0,2)</f>
        <v/>
      </c>
      <c r="GF35" s="3">
        <f>ROUND(2701.0,2)</f>
        <v/>
      </c>
      <c r="GG35" s="3">
        <f>ROUND(1131.0,2)</f>
        <v/>
      </c>
      <c r="GH35" s="3">
        <f>ROUND(653.0,2)</f>
        <v/>
      </c>
      <c r="GI35" s="3">
        <f>ROUND(255.0,2)</f>
        <v/>
      </c>
      <c r="GJ35" s="4">
        <f>IFERROR((GD35/GC35),0)</f>
        <v/>
      </c>
      <c r="GK35" s="4">
        <f>IFERROR(((0+GB11+GB12+GB13+GB14+GB15+GB16+GB17+GB19+GB20+GB21+GB22+GB23+GB24+GB25+GB27+GB28+GB29+GB30+GB31+GB32+GB33+GB35)/T2),0)</f>
        <v/>
      </c>
      <c r="GL35" s="5">
        <f>IFERROR(ROUND(GB35/GD35,2),0)</f>
        <v/>
      </c>
      <c r="GM35" s="5">
        <f>IFERROR(ROUND(GB35/GE35,2),0)</f>
        <v/>
      </c>
      <c r="GN35" s="2" t="inlineStr">
        <is>
          <t>2023-10-11</t>
        </is>
      </c>
      <c r="GO35" s="5">
        <f>ROUND(11.28,2)</f>
        <v/>
      </c>
      <c r="GP35" s="3">
        <f>ROUND(11808.0,2)</f>
        <v/>
      </c>
      <c r="GQ35" s="3">
        <f>ROUND(642.0,2)</f>
        <v/>
      </c>
      <c r="GR35" s="3">
        <f>ROUND(3964.0,2)</f>
        <v/>
      </c>
      <c r="GS35" s="3">
        <f>ROUND(3548.0,2)</f>
        <v/>
      </c>
      <c r="GT35" s="3">
        <f>ROUND(1724.0,2)</f>
        <v/>
      </c>
      <c r="GU35" s="3">
        <f>ROUND(1313.0,2)</f>
        <v/>
      </c>
      <c r="GV35" s="3">
        <f>ROUND(1083.0,2)</f>
        <v/>
      </c>
      <c r="GW35" s="4">
        <f>IFERROR((GQ35/GP35),0)</f>
        <v/>
      </c>
      <c r="GX35" s="4">
        <f>IFERROR(((0+GO11+GO12+GO13+GO14+GO15+GO16+GO17+GO19+GO20+GO21+GO22+GO23+GO24+GO25+GO27+GO28+GO29+GO30+GO31+GO32+GO33+GO35)/T2),0)</f>
        <v/>
      </c>
      <c r="GY35" s="5">
        <f>IFERROR(ROUND(GO35/GQ35,2),0)</f>
        <v/>
      </c>
      <c r="GZ35" s="5">
        <f>IFERROR(ROUND(GO35/GR35,2),0)</f>
        <v/>
      </c>
      <c r="HA35" s="2" t="inlineStr">
        <is>
          <t>2023-10-11</t>
        </is>
      </c>
      <c r="HB35" s="5">
        <f>ROUND(4.28,2)</f>
        <v/>
      </c>
      <c r="HC35" s="3">
        <f>ROUND(3634.0,2)</f>
        <v/>
      </c>
      <c r="HD35" s="3">
        <f>ROUND(219.0,2)</f>
        <v/>
      </c>
      <c r="HE35" s="3">
        <f>ROUND(1494.0,2)</f>
        <v/>
      </c>
      <c r="HF35" s="3">
        <f>ROUND(1274.0,2)</f>
        <v/>
      </c>
      <c r="HG35" s="3">
        <f>ROUND(627.0,2)</f>
        <v/>
      </c>
      <c r="HH35" s="3">
        <f>ROUND(536.0,2)</f>
        <v/>
      </c>
      <c r="HI35" s="3">
        <f>ROUND(40.0,2)</f>
        <v/>
      </c>
      <c r="HJ35" s="4">
        <f>IFERROR((HD35/HC35),0)</f>
        <v/>
      </c>
      <c r="HK35" s="4">
        <f>IFERROR(((0+HB11+HB12+HB13+HB14+HB15+HB16+HB17+HB19+HB20+HB21+HB22+HB23+HB24+HB25+HB27+HB28+HB29+HB30+HB31+HB32+HB33+HB35)/T2),0)</f>
        <v/>
      </c>
      <c r="HL35" s="5">
        <f>IFERROR(ROUND(HB35/HD35,2),0)</f>
        <v/>
      </c>
      <c r="HM35" s="5">
        <f>IFERROR(ROUND(HB35/HE35,2),0)</f>
        <v/>
      </c>
      <c r="HN35" s="2" t="inlineStr">
        <is>
          <t>2023-10-11</t>
        </is>
      </c>
      <c r="HO35" s="5">
        <f>ROUND(1.15,2)</f>
        <v/>
      </c>
      <c r="HP35" s="3">
        <f>ROUND(1411.0,2)</f>
        <v/>
      </c>
      <c r="HQ35" s="3">
        <f>ROUND(66.0,2)</f>
        <v/>
      </c>
      <c r="HR35" s="3">
        <f>ROUND(385.0,2)</f>
        <v/>
      </c>
      <c r="HS35" s="3">
        <f>ROUND(331.0,2)</f>
        <v/>
      </c>
      <c r="HT35" s="3">
        <f>ROUND(202.0,2)</f>
        <v/>
      </c>
      <c r="HU35" s="3">
        <f>ROUND(174.0,2)</f>
        <v/>
      </c>
      <c r="HV35" s="3">
        <f>ROUND(149.0,2)</f>
        <v/>
      </c>
      <c r="HW35" s="4">
        <f>IFERROR((HQ35/HP35),0)</f>
        <v/>
      </c>
      <c r="HX35" s="4">
        <f>IFERROR(((0+HO11+HO12+HO13+HO14+HO15+HO16+HO17+HO19+HO20+HO21+HO22+HO23+HO24+HO25+HO27+HO28+HO29+HO30+HO31+HO32+HO33+HO35)/T2),0)</f>
        <v/>
      </c>
      <c r="HY35" s="5">
        <f>IFERROR(ROUND(HO35/HQ35,2),0)</f>
        <v/>
      </c>
      <c r="HZ35" s="5">
        <f>IFERROR(ROUND(HO35/HR35,2),0)</f>
        <v/>
      </c>
      <c r="IA35" s="2" t="inlineStr">
        <is>
          <t>2023-10-11</t>
        </is>
      </c>
      <c r="IB35" s="5">
        <f>ROUND(2.22,2)</f>
        <v/>
      </c>
      <c r="IC35" s="3">
        <f>ROUND(4693.0,2)</f>
        <v/>
      </c>
      <c r="ID35" s="3">
        <f>ROUND(114.0,2)</f>
        <v/>
      </c>
      <c r="IE35" s="3">
        <f>ROUND(840.0,2)</f>
        <v/>
      </c>
      <c r="IF35" s="3">
        <f>ROUND(641.0,2)</f>
        <v/>
      </c>
      <c r="IG35" s="3">
        <f>ROUND(318.0,2)</f>
        <v/>
      </c>
      <c r="IH35" s="3">
        <f>ROUND(229.0,2)</f>
        <v/>
      </c>
      <c r="II35" s="3">
        <f>ROUND(110.0,2)</f>
        <v/>
      </c>
      <c r="IJ35" s="4">
        <f>IFERROR((ID35/IC35),0)</f>
        <v/>
      </c>
      <c r="IK35" s="4">
        <f>IFERROR(((0+IB11+IB12+IB13+IB14+IB15+IB16+IB17+IB19+IB20+IB21+IB22+IB23+IB24+IB25+IB27+IB28+IB29+IB30+IB31+IB32+IB33+IB35)/T2),0)</f>
        <v/>
      </c>
      <c r="IL35" s="5">
        <f>IFERROR(ROUND(IB35/ID35,2),0)</f>
        <v/>
      </c>
      <c r="IM35" s="5">
        <f>IFERROR(ROUND(IB35/IE35,2),0)</f>
        <v/>
      </c>
      <c r="IN35" s="2" t="inlineStr">
        <is>
          <t>2023-10-11</t>
        </is>
      </c>
      <c r="IO35" s="5">
        <f>ROUND(8.64,2)</f>
        <v/>
      </c>
      <c r="IP35" s="3">
        <f>ROUND(15117.0,2)</f>
        <v/>
      </c>
      <c r="IQ35" s="3">
        <f>ROUND(468.0,2)</f>
        <v/>
      </c>
      <c r="IR35" s="3">
        <f>ROUND(3224.0,2)</f>
        <v/>
      </c>
      <c r="IS35" s="3">
        <f>ROUND(2778.0,2)</f>
        <v/>
      </c>
      <c r="IT35" s="3">
        <f>ROUND(1767.0,2)</f>
        <v/>
      </c>
      <c r="IU35" s="3">
        <f>ROUND(1458.0,2)</f>
        <v/>
      </c>
      <c r="IV35" s="3">
        <f>ROUND(1089.0,2)</f>
        <v/>
      </c>
      <c r="IW35" s="4">
        <f>IFERROR((IQ35/IP35),0)</f>
        <v/>
      </c>
      <c r="IX35" s="4">
        <f>IFERROR(((0+IO11+IO12+IO13+IO14+IO15+IO16+IO17+IO19+IO20+IO21+IO22+IO23+IO24+IO25+IO27+IO28+IO29+IO30+IO31+IO32+IO33+IO35)/T2),0)</f>
        <v/>
      </c>
      <c r="IY35" s="5">
        <f>IFERROR(ROUND(IO35/IQ35,2),0)</f>
        <v/>
      </c>
      <c r="IZ35" s="5">
        <f>IFERROR(ROUND(IO35/IR35,2),0)</f>
        <v/>
      </c>
      <c r="JA35" s="2" t="inlineStr">
        <is>
          <t>2023-10-11</t>
        </is>
      </c>
      <c r="JB35" s="5">
        <f>ROUND(1.51,2)</f>
        <v/>
      </c>
      <c r="JC35" s="3">
        <f>ROUND(1737.0,2)</f>
        <v/>
      </c>
      <c r="JD35" s="3">
        <f>ROUND(87.0,2)</f>
        <v/>
      </c>
      <c r="JE35" s="3">
        <f>ROUND(532.0,2)</f>
        <v/>
      </c>
      <c r="JF35" s="3">
        <f>ROUND(464.0,2)</f>
        <v/>
      </c>
      <c r="JG35" s="3">
        <f>ROUND(233.0,2)</f>
        <v/>
      </c>
      <c r="JH35" s="3">
        <f>ROUND(193.0,2)</f>
        <v/>
      </c>
      <c r="JI35" s="3">
        <f>ROUND(45.0,2)</f>
        <v/>
      </c>
      <c r="JJ35" s="4">
        <f>IFERROR((JD35/JC35),0)</f>
        <v/>
      </c>
      <c r="JK35" s="4">
        <f>IFERROR(((0+JB11+JB12+JB13+JB14+JB15+JB16+JB17+JB19+JB20+JB21+JB22+JB23+JB24+JB25+JB27+JB28+JB29+JB30+JB31+JB32+JB33+JB35)/T2),0)</f>
        <v/>
      </c>
      <c r="JL35" s="5">
        <f>IFERROR(ROUND(JB35/JD35,2),0)</f>
        <v/>
      </c>
      <c r="JM35" s="5">
        <f>IFERROR(ROUND(JB35/JE35,2),0)</f>
        <v/>
      </c>
    </row>
    <row r="36">
      <c r="A36" s="2" t="inlineStr">
        <is>
          <t>2023-10-12</t>
        </is>
      </c>
      <c r="B36" s="5">
        <f>ROUND(166.68,2)</f>
        <v/>
      </c>
      <c r="C36" s="3">
        <f>ROUND(346507.0,2)</f>
        <v/>
      </c>
      <c r="D36" s="3">
        <f>ROUND(12719.0,2)</f>
        <v/>
      </c>
      <c r="E36" s="3">
        <f>ROUND(83383.0,2)</f>
        <v/>
      </c>
      <c r="F36" s="3">
        <f>ROUND(68356.0,2)</f>
        <v/>
      </c>
      <c r="G36" s="3">
        <f>ROUND(32852.0,2)</f>
        <v/>
      </c>
      <c r="H36" s="3">
        <f>ROUND(22674.0,2)</f>
        <v/>
      </c>
      <c r="I36" s="3">
        <f>ROUND(13368.0,2)</f>
        <v/>
      </c>
      <c r="J36" s="4">
        <f>IFERROR((D36/C36),0)</f>
        <v/>
      </c>
      <c r="K36" s="4">
        <f>IFERROR(((0+B11+B12+B13+B14+B15+B16+B17+B19+B20+B21+B22+B23+B24+B25+B27+B28+B29+B30+B31+B32+B33+B35+B36)/T2),0)</f>
        <v/>
      </c>
      <c r="L36" s="5">
        <f>IFERROR(ROUND(B36/D36,2),0)</f>
        <v/>
      </c>
      <c r="M36" s="5">
        <f>IFERROR(ROUND(B36/E36,2),0)</f>
        <v/>
      </c>
      <c r="N36" s="2" t="inlineStr">
        <is>
          <t>2023-10-12</t>
        </is>
      </c>
      <c r="O36" s="5">
        <f>ROUND(3.13,2)</f>
        <v/>
      </c>
      <c r="P36" s="3">
        <f>ROUND(9153.0,2)</f>
        <v/>
      </c>
      <c r="Q36" s="3">
        <f>ROUND(220.0,2)</f>
        <v/>
      </c>
      <c r="R36" s="3">
        <f>ROUND(1441.0,2)</f>
        <v/>
      </c>
      <c r="S36" s="3">
        <f>ROUND(1016.0,2)</f>
        <v/>
      </c>
      <c r="T36" s="3">
        <f>ROUND(499.0,2)</f>
        <v/>
      </c>
      <c r="U36" s="3">
        <f>ROUND(328.0,2)</f>
        <v/>
      </c>
      <c r="V36" s="3">
        <f>ROUND(137.0,2)</f>
        <v/>
      </c>
      <c r="W36" s="4">
        <f>IFERROR((Q36/P36),0)</f>
        <v/>
      </c>
      <c r="X36" s="4">
        <f>IFERROR(((0+O11+O12+O13+O14+O15+O16+O17+O19+O20+O21+O22+O23+O24+O25+O27+O28+O29+O30+O31+O32+O33+O35+O36)/T2),0)</f>
        <v/>
      </c>
      <c r="Y36" s="5">
        <f>IFERROR(ROUND(O36/Q36,2),0)</f>
        <v/>
      </c>
      <c r="Z36" s="5">
        <f>IFERROR(ROUND(O36/R36,2),0)</f>
        <v/>
      </c>
      <c r="AA36" s="2" t="inlineStr">
        <is>
          <t>2023-10-12</t>
        </is>
      </c>
      <c r="AB36" s="5">
        <f>ROUND(2.51,2)</f>
        <v/>
      </c>
      <c r="AC36" s="3">
        <f>ROUND(2618.0,2)</f>
        <v/>
      </c>
      <c r="AD36" s="3">
        <f>ROUND(176.0,2)</f>
        <v/>
      </c>
      <c r="AE36" s="3">
        <f>ROUND(1218.0,2)</f>
        <v/>
      </c>
      <c r="AF36" s="3">
        <f>ROUND(1095.0,2)</f>
        <v/>
      </c>
      <c r="AG36" s="3">
        <f>ROUND(688.0,2)</f>
        <v/>
      </c>
      <c r="AH36" s="3">
        <f>ROUND(611.0,2)</f>
        <v/>
      </c>
      <c r="AI36" s="3">
        <f>ROUND(40.0,2)</f>
        <v/>
      </c>
      <c r="AJ36" s="4">
        <f>IFERROR((AD36/AC36),0)</f>
        <v/>
      </c>
      <c r="AK36" s="4">
        <f>IFERROR(((0+AB11+AB12+AB13+AB14+AB15+AB16+AB17+AB19+AB20+AB21+AB22+AB23+AB24+AB25+AB27+AB28+AB29+AB30+AB31+AB32+AB33+AB35+AB36)/T2),0)</f>
        <v/>
      </c>
      <c r="AL36" s="5">
        <f>IFERROR(ROUND(AB36/AD36,2),0)</f>
        <v/>
      </c>
      <c r="AM36" s="5">
        <f>IFERROR(ROUND(AB36/AE36,2),0)</f>
        <v/>
      </c>
      <c r="AN36" s="2" t="inlineStr">
        <is>
          <t>2023-10-12</t>
        </is>
      </c>
      <c r="AO36" s="5">
        <f>ROUND(0.7,2)</f>
        <v/>
      </c>
      <c r="AP36" s="3">
        <f>ROUND(1197.0,2)</f>
        <v/>
      </c>
      <c r="AQ36" s="3">
        <f>ROUND(44.0,2)</f>
        <v/>
      </c>
      <c r="AR36" s="3">
        <f>ROUND(319.0,2)</f>
        <v/>
      </c>
      <c r="AS36" s="3">
        <f>ROUND(271.0,2)</f>
        <v/>
      </c>
      <c r="AT36" s="3">
        <f>ROUND(167.0,2)</f>
        <v/>
      </c>
      <c r="AU36" s="3">
        <f>ROUND(132.0,2)</f>
        <v/>
      </c>
      <c r="AV36" s="3">
        <f>ROUND(105.0,2)</f>
        <v/>
      </c>
      <c r="AW36" s="4">
        <f>IFERROR((AQ36/AP36),0)</f>
        <v/>
      </c>
      <c r="AX36" s="4">
        <f>IFERROR(((0+AO11+AO12+AO13+AO14+AO15+AO16+AO17+AO19+AO20+AO21+AO22+AO23+AO24+AO25+AO27+AO28+AO29+AO30+AO31+AO32+AO33+AO35+AO36)/T2),0)</f>
        <v/>
      </c>
      <c r="AY36" s="5">
        <f>IFERROR(ROUND(AO36/AQ36,2),0)</f>
        <v/>
      </c>
      <c r="AZ36" s="5">
        <f>IFERROR(ROUND(AO36/AR36,2),0)</f>
        <v/>
      </c>
      <c r="BA36" s="2" t="inlineStr">
        <is>
          <t>2023-10-12</t>
        </is>
      </c>
      <c r="BB36" s="5">
        <f>ROUND(20.34,2)</f>
        <v/>
      </c>
      <c r="BC36" s="3">
        <f>ROUND(62757.0,2)</f>
        <v/>
      </c>
      <c r="BD36" s="3">
        <f>ROUND(1857.0,2)</f>
        <v/>
      </c>
      <c r="BE36" s="3">
        <f>ROUND(13224.0,2)</f>
        <v/>
      </c>
      <c r="BF36" s="3">
        <f>ROUND(9663.0,2)</f>
        <v/>
      </c>
      <c r="BG36" s="3">
        <f>ROUND(4025.0,2)</f>
        <v/>
      </c>
      <c r="BH36" s="3">
        <f>ROUND(2296.0,2)</f>
        <v/>
      </c>
      <c r="BI36" s="3">
        <f>ROUND(1197.0,2)</f>
        <v/>
      </c>
      <c r="BJ36" s="4">
        <f>IFERROR((BD36/BC36),0)</f>
        <v/>
      </c>
      <c r="BK36" s="4">
        <f>IFERROR(((0+BB11+BB12+BB13+BB14+BB15+BB16+BB17+BB19+BB20+BB21+BB22+BB23+BB24+BB25+BB27+BB28+BB29+BB30+BB31+BB32+BB33+BB35+BB36)/T2),0)</f>
        <v/>
      </c>
      <c r="BL36" s="5">
        <f>IFERROR(ROUND(BB36/BD36,2),0)</f>
        <v/>
      </c>
      <c r="BM36" s="5">
        <f>IFERROR(ROUND(BB36/BE36,2),0)</f>
        <v/>
      </c>
      <c r="BN36" s="2" t="inlineStr">
        <is>
          <t>2023-10-12</t>
        </is>
      </c>
      <c r="BO36" s="5">
        <f>ROUND(22.09,2)</f>
        <v/>
      </c>
      <c r="BP36" s="3">
        <f>ROUND(65221.0,2)</f>
        <v/>
      </c>
      <c r="BQ36" s="3">
        <f>ROUND(1778.0,2)</f>
        <v/>
      </c>
      <c r="BR36" s="3">
        <f>ROUND(15198.0,2)</f>
        <v/>
      </c>
      <c r="BS36" s="3">
        <f>ROUND(12747.0,2)</f>
        <v/>
      </c>
      <c r="BT36" s="3">
        <f>ROUND(6945.0,2)</f>
        <v/>
      </c>
      <c r="BU36" s="3">
        <f>ROUND(5584.0,2)</f>
        <v/>
      </c>
      <c r="BV36" s="3">
        <f>ROUND(3339.0,2)</f>
        <v/>
      </c>
      <c r="BW36" s="4">
        <f>IFERROR((BQ36/BP36),0)</f>
        <v/>
      </c>
      <c r="BX36" s="4">
        <f>IFERROR(((0+BO11+BO12+BO13+BO14+BO15+BO16+BO17+BO19+BO20+BO21+BO22+BO23+BO24+BO25+BO27+BO28+BO29+BO30+BO31+BO32+BO33+BO35+BO36)/T2),0)</f>
        <v/>
      </c>
      <c r="BY36" s="5">
        <f>IFERROR(ROUND(BO36/BQ36,2),0)</f>
        <v/>
      </c>
      <c r="BZ36" s="5">
        <f>IFERROR(ROUND(BO36/BR36,2),0)</f>
        <v/>
      </c>
      <c r="CA36" s="2" t="inlineStr">
        <is>
          <t>2023-10-12</t>
        </is>
      </c>
      <c r="CB36" s="5">
        <f>ROUND(2.82,2)</f>
        <v/>
      </c>
      <c r="CC36" s="3">
        <f>ROUND(6156.0,2)</f>
        <v/>
      </c>
      <c r="CD36" s="3">
        <f>ROUND(209.0,2)</f>
        <v/>
      </c>
      <c r="CE36" s="3">
        <f>ROUND(1514.0,2)</f>
        <v/>
      </c>
      <c r="CF36" s="3">
        <f>ROUND(1100.0,2)</f>
        <v/>
      </c>
      <c r="CG36" s="3">
        <f>ROUND(557.0,2)</f>
        <v/>
      </c>
      <c r="CH36" s="3">
        <f>ROUND(384.0,2)</f>
        <v/>
      </c>
      <c r="CI36" s="3">
        <f>ROUND(138.0,2)</f>
        <v/>
      </c>
      <c r="CJ36" s="4">
        <f>IFERROR((CD36/CC36),0)</f>
        <v/>
      </c>
      <c r="CK36" s="4">
        <f>IFERROR(((0+CB11+CB12+CB13+CB14+CB15+CB16+CB17+CB19+CB20+CB21+CB22+CB23+CB24+CB25+CB27+CB28+CB29+CB30+CB31+CB32+CB33+CB35+CB36)/T2),0)</f>
        <v/>
      </c>
      <c r="CL36" s="5">
        <f>IFERROR(ROUND(CB36/CD36,2),0)</f>
        <v/>
      </c>
      <c r="CM36" s="5">
        <f>IFERROR(ROUND(CB36/CE36,2),0)</f>
        <v/>
      </c>
      <c r="CN36" s="2" t="inlineStr">
        <is>
          <t>2023-10-12</t>
        </is>
      </c>
      <c r="CO36" s="5">
        <f>ROUND(33.05,2)</f>
        <v/>
      </c>
      <c r="CP36" s="3">
        <f>ROUND(41096.0,2)</f>
        <v/>
      </c>
      <c r="CQ36" s="3">
        <f>ROUND(2452.0,2)</f>
        <v/>
      </c>
      <c r="CR36" s="3">
        <f>ROUND(22193.0,2)</f>
        <v/>
      </c>
      <c r="CS36" s="3">
        <f>ROUND(21025.0,2)</f>
        <v/>
      </c>
      <c r="CT36" s="3">
        <f>ROUND(8669.0,2)</f>
        <v/>
      </c>
      <c r="CU36" s="3">
        <f>ROUND(5156.0,2)</f>
        <v/>
      </c>
      <c r="CV36" s="3">
        <f>ROUND(3627.0,2)</f>
        <v/>
      </c>
      <c r="CW36" s="4">
        <f>IFERROR((CQ36/CP36),0)</f>
        <v/>
      </c>
      <c r="CX36" s="4">
        <f>IFERROR(((0+CO11+CO12+CO13+CO14+CO15+CO16+CO17+CO19+CO20+CO21+CO22+CO23+CO24+CO25+CO27+CO28+CO29+CO30+CO31+CO32+CO33+CO35+CO36)/T2),0)</f>
        <v/>
      </c>
      <c r="CY36" s="5">
        <f>IFERROR(ROUND(CO36/CQ36,2),0)</f>
        <v/>
      </c>
      <c r="CZ36" s="5">
        <f>IFERROR(ROUND(CO36/CR36,2),0)</f>
        <v/>
      </c>
      <c r="DA36" s="2" t="inlineStr">
        <is>
          <t>2023-10-12</t>
        </is>
      </c>
      <c r="DB36" s="5">
        <f>ROUND(8.7,2)</f>
        <v/>
      </c>
      <c r="DC36" s="3">
        <f>ROUND(19896.0,2)</f>
        <v/>
      </c>
      <c r="DD36" s="3">
        <f>ROUND(779.0,2)</f>
        <v/>
      </c>
      <c r="DE36" s="3">
        <f>ROUND(1771.0,2)</f>
        <v/>
      </c>
      <c r="DF36" s="3">
        <f>ROUND(1009.0,2)</f>
        <v/>
      </c>
      <c r="DG36" s="3">
        <f>ROUND(438.0,2)</f>
        <v/>
      </c>
      <c r="DH36" s="3">
        <f>ROUND(250.0,2)</f>
        <v/>
      </c>
      <c r="DI36" s="3">
        <f>ROUND(111.0,2)</f>
        <v/>
      </c>
      <c r="DJ36" s="4">
        <f>IFERROR((DD36/DC36),0)</f>
        <v/>
      </c>
      <c r="DK36" s="4">
        <f>IFERROR(((0+DB11+DB12+DB13+DB14+DB15+DB16+DB17+DB19+DB20+DB21+DB22+DB23+DB24+DB25+DB27+DB28+DB29+DB30+DB31+DB32+DB33+DB35+DB36)/T2),0)</f>
        <v/>
      </c>
      <c r="DL36" s="5">
        <f>IFERROR(ROUND(DB36/DD36,2),0)</f>
        <v/>
      </c>
      <c r="DM36" s="5">
        <f>IFERROR(ROUND(DB36/DE36,2),0)</f>
        <v/>
      </c>
      <c r="DN36" s="2" t="inlineStr">
        <is>
          <t>2023-10-12</t>
        </is>
      </c>
      <c r="DO36" s="5">
        <f>ROUND(14.83,2)</f>
        <v/>
      </c>
      <c r="DP36" s="3">
        <f>ROUND(35882.0,2)</f>
        <v/>
      </c>
      <c r="DQ36" s="3">
        <f>ROUND(1283.0,2)</f>
        <v/>
      </c>
      <c r="DR36" s="3">
        <f>ROUND(5467.0,2)</f>
        <v/>
      </c>
      <c r="DS36" s="3">
        <f>ROUND(4055.0,2)</f>
        <v/>
      </c>
      <c r="DT36" s="3">
        <f>ROUND(2376.0,2)</f>
        <v/>
      </c>
      <c r="DU36" s="3">
        <f>ROUND(1585.0,2)</f>
        <v/>
      </c>
      <c r="DV36" s="3">
        <f>ROUND(932.0,2)</f>
        <v/>
      </c>
      <c r="DW36" s="4">
        <f>IFERROR((DQ36/DP36),0)</f>
        <v/>
      </c>
      <c r="DX36" s="4">
        <f>IFERROR(((0+DO11+DO12+DO13+DO14+DO15+DO16+DO17+DO19+DO20+DO21+DO22+DO23+DO24+DO25+DO27+DO28+DO29+DO30+DO31+DO32+DO33+DO35+DO36)/T2),0)</f>
        <v/>
      </c>
      <c r="DY36" s="5">
        <f>IFERROR(ROUND(DO36/DQ36,2),0)</f>
        <v/>
      </c>
      <c r="DZ36" s="5">
        <f>IFERROR(ROUND(DO36/DR36,2),0)</f>
        <v/>
      </c>
      <c r="EA36" s="2" t="inlineStr">
        <is>
          <t>2023-10-12</t>
        </is>
      </c>
      <c r="EB36" s="5">
        <f>ROUND(8.44,2)</f>
        <v/>
      </c>
      <c r="EC36" s="3">
        <f>ROUND(23465.0,2)</f>
        <v/>
      </c>
      <c r="ED36" s="3">
        <f>ROUND(806.0,2)</f>
        <v/>
      </c>
      <c r="EE36" s="3">
        <f>ROUND(4563.0,2)</f>
        <v/>
      </c>
      <c r="EF36" s="3">
        <f>ROUND(2737.0,2)</f>
        <v/>
      </c>
      <c r="EG36" s="3">
        <f>ROUND(1376.0,2)</f>
        <v/>
      </c>
      <c r="EH36" s="3">
        <f>ROUND(1052.0,2)</f>
        <v/>
      </c>
      <c r="EI36" s="3">
        <f>ROUND(433.0,2)</f>
        <v/>
      </c>
      <c r="EJ36" s="4">
        <f>IFERROR((ED36/EC36),0)</f>
        <v/>
      </c>
      <c r="EK36" s="4">
        <f>IFERROR(((0+EB11+EB12+EB13+EB14+EB15+EB16+EB17+EB19+EB20+EB21+EB22+EB23+EB24+EB25+EB27+EB28+EB29+EB30+EB31+EB32+EB33+EB35+EB36)/T2),0)</f>
        <v/>
      </c>
      <c r="EL36" s="5">
        <f>IFERROR(ROUND(EB36/ED36,2),0)</f>
        <v/>
      </c>
      <c r="EM36" s="5">
        <f>IFERROR(ROUND(EB36/EE36,2),0)</f>
        <v/>
      </c>
      <c r="EN36" s="2" t="inlineStr">
        <is>
          <t>2023-10-12</t>
        </is>
      </c>
      <c r="EO36" s="5">
        <f>ROUND(2.78,2)</f>
        <v/>
      </c>
      <c r="EP36" s="3">
        <f>ROUND(3929.0,2)</f>
        <v/>
      </c>
      <c r="EQ36" s="3">
        <f>ROUND(180.0,2)</f>
        <v/>
      </c>
      <c r="ER36" s="3">
        <f>ROUND(407.0,2)</f>
        <v/>
      </c>
      <c r="ES36" s="3">
        <f>ROUND(287.0,2)</f>
        <v/>
      </c>
      <c r="ET36" s="3">
        <f>ROUND(155.0,2)</f>
        <v/>
      </c>
      <c r="EU36" s="3">
        <f>ROUND(67.0,2)</f>
        <v/>
      </c>
      <c r="EV36" s="3">
        <f>ROUND(38.0,2)</f>
        <v/>
      </c>
      <c r="EW36" s="4">
        <f>IFERROR((EQ36/EP36),0)</f>
        <v/>
      </c>
      <c r="EX36" s="4">
        <f>IFERROR(((0+EO11+EO12+EO13+EO14+EO15+EO16+EO17+EO19+EO20+EO21+EO22+EO23+EO24+EO25+EO27+EO28+EO29+EO30+EO31+EO32+EO33+EO35+EO36)/T2),0)</f>
        <v/>
      </c>
      <c r="EY36" s="5">
        <f>IFERROR(ROUND(EO36/EQ36,2),0)</f>
        <v/>
      </c>
      <c r="EZ36" s="5">
        <f>IFERROR(ROUND(EO36/ER36,2),0)</f>
        <v/>
      </c>
      <c r="FA36" s="2" t="inlineStr">
        <is>
          <t>2023-10-12</t>
        </is>
      </c>
      <c r="FB36" s="5">
        <f>ROUND(7.22,2)</f>
        <v/>
      </c>
      <c r="FC36" s="3">
        <f>ROUND(10973.0,2)</f>
        <v/>
      </c>
      <c r="FD36" s="3">
        <f>ROUND(458.0,2)</f>
        <v/>
      </c>
      <c r="FE36" s="3">
        <f>ROUND(1250.0,2)</f>
        <v/>
      </c>
      <c r="FF36" s="3">
        <f>ROUND(1003.0,2)</f>
        <v/>
      </c>
      <c r="FG36" s="3">
        <f>ROUND(553.0,2)</f>
        <v/>
      </c>
      <c r="FH36" s="3">
        <f>ROUND(383.0,2)</f>
        <v/>
      </c>
      <c r="FI36" s="3">
        <f>ROUND(212.0,2)</f>
        <v/>
      </c>
      <c r="FJ36" s="4">
        <f>IFERROR((FD36/FC36),0)</f>
        <v/>
      </c>
      <c r="FK36" s="4">
        <f>IFERROR(((0+FB11+FB12+FB13+FB14+FB15+FB16+FB17+FB19+FB20+FB21+FB22+FB23+FB24+FB25+FB27+FB28+FB29+FB30+FB31+FB32+FB33+FB35+FB36)/T2),0)</f>
        <v/>
      </c>
      <c r="FL36" s="5">
        <f>IFERROR(ROUND(FB36/FD36,2),0)</f>
        <v/>
      </c>
      <c r="FM36" s="5">
        <f>IFERROR(ROUND(FB36/FE36,2),0)</f>
        <v/>
      </c>
      <c r="FN36" s="2" t="inlineStr">
        <is>
          <t>2023-10-12</t>
        </is>
      </c>
      <c r="FO36" s="5">
        <f>ROUND(0.45,2)</f>
        <v/>
      </c>
      <c r="FP36" s="3">
        <f>ROUND(335.0,2)</f>
        <v/>
      </c>
      <c r="FQ36" s="3">
        <f>ROUND(26.0,2)</f>
        <v/>
      </c>
      <c r="FR36" s="3">
        <f>ROUND(125.0,2)</f>
        <v/>
      </c>
      <c r="FS36" s="3">
        <f>ROUND(111.0,2)</f>
        <v/>
      </c>
      <c r="FT36" s="3">
        <f>ROUND(62.0,2)</f>
        <v/>
      </c>
      <c r="FU36" s="3">
        <f>ROUND(49.0,2)</f>
        <v/>
      </c>
      <c r="FV36" s="3">
        <f>ROUND(6.0,2)</f>
        <v/>
      </c>
      <c r="FW36" s="4">
        <f>IFERROR((FQ36/FP36),0)</f>
        <v/>
      </c>
      <c r="FX36" s="4">
        <f>IFERROR(((0+FO11+FO12+FO13+FO14+FO15+FO16+FO17+FO19+FO20+FO21+FO22+FO23+FO24+FO25+FO27+FO28+FO29+FO30+FO31+FO32+FO33+FO35+FO36)/T2),0)</f>
        <v/>
      </c>
      <c r="FY36" s="5">
        <f>IFERROR(ROUND(FO36/FQ36,2),0)</f>
        <v/>
      </c>
      <c r="FZ36" s="5">
        <f>IFERROR(ROUND(FO36/FR36,2),0)</f>
        <v/>
      </c>
      <c r="GA36" s="2" t="inlineStr">
        <is>
          <t>2023-10-12</t>
        </is>
      </c>
      <c r="GB36" s="5">
        <f>ROUND(9.56,2)</f>
        <v/>
      </c>
      <c r="GC36" s="3">
        <f>ROUND(21857.0,2)</f>
        <v/>
      </c>
      <c r="GD36" s="3">
        <f>ROUND(596.0,2)</f>
        <v/>
      </c>
      <c r="GE36" s="3">
        <f>ROUND(3944.0,2)</f>
        <v/>
      </c>
      <c r="GF36" s="3">
        <f>ROUND(2886.0,2)</f>
        <v/>
      </c>
      <c r="GG36" s="3">
        <f>ROUND(1194.0,2)</f>
        <v/>
      </c>
      <c r="GH36" s="3">
        <f>ROUND(690.0,2)</f>
        <v/>
      </c>
      <c r="GI36" s="3">
        <f>ROUND(309.0,2)</f>
        <v/>
      </c>
      <c r="GJ36" s="4">
        <f>IFERROR((GD36/GC36),0)</f>
        <v/>
      </c>
      <c r="GK36" s="4">
        <f>IFERROR(((0+GB11+GB12+GB13+GB14+GB15+GB16+GB17+GB19+GB20+GB21+GB22+GB23+GB24+GB25+GB27+GB28+GB29+GB30+GB31+GB32+GB33+GB35+GB36)/T2),0)</f>
        <v/>
      </c>
      <c r="GL36" s="5">
        <f>IFERROR(ROUND(GB36/GD36,2),0)</f>
        <v/>
      </c>
      <c r="GM36" s="5">
        <f>IFERROR(ROUND(GB36/GE36,2),0)</f>
        <v/>
      </c>
      <c r="GN36" s="2" t="inlineStr">
        <is>
          <t>2023-10-12</t>
        </is>
      </c>
      <c r="GO36" s="5">
        <f>ROUND(12.58,2)</f>
        <v/>
      </c>
      <c r="GP36" s="3">
        <f>ROUND(13455.0,2)</f>
        <v/>
      </c>
      <c r="GQ36" s="3">
        <f>ROUND(763.0,2)</f>
        <v/>
      </c>
      <c r="GR36" s="3">
        <f>ROUND(4040.0,2)</f>
        <v/>
      </c>
      <c r="GS36" s="3">
        <f>ROUND(3655.0,2)</f>
        <v/>
      </c>
      <c r="GT36" s="3">
        <f>ROUND(1712.0,2)</f>
        <v/>
      </c>
      <c r="GU36" s="3">
        <f>ROUND(1287.0,2)</f>
        <v/>
      </c>
      <c r="GV36" s="3">
        <f>ROUND(1075.0,2)</f>
        <v/>
      </c>
      <c r="GW36" s="4">
        <f>IFERROR((GQ36/GP36),0)</f>
        <v/>
      </c>
      <c r="GX36" s="4">
        <f>IFERROR(((0+GO11+GO12+GO13+GO14+GO15+GO16+GO17+GO19+GO20+GO21+GO22+GO23+GO24+GO25+GO27+GO28+GO29+GO30+GO31+GO32+GO33+GO35+GO36)/T2),0)</f>
        <v/>
      </c>
      <c r="GY36" s="5">
        <f>IFERROR(ROUND(GO36/GQ36,2),0)</f>
        <v/>
      </c>
      <c r="GZ36" s="5">
        <f>IFERROR(ROUND(GO36/GR36,2),0)</f>
        <v/>
      </c>
      <c r="HA36" s="2" t="inlineStr">
        <is>
          <t>2023-10-12</t>
        </is>
      </c>
      <c r="HB36" s="5">
        <f>ROUND(3.91,2)</f>
        <v/>
      </c>
      <c r="HC36" s="3">
        <f>ROUND(3023.0,2)</f>
        <v/>
      </c>
      <c r="HD36" s="3">
        <f>ROUND(250.0,2)</f>
        <v/>
      </c>
      <c r="HE36" s="3">
        <f>ROUND(1275.0,2)</f>
        <v/>
      </c>
      <c r="HF36" s="3">
        <f>ROUND(1085.0,2)</f>
        <v/>
      </c>
      <c r="HG36" s="3">
        <f>ROUND(570.0,2)</f>
        <v/>
      </c>
      <c r="HH36" s="3">
        <f>ROUND(484.0,2)</f>
        <v/>
      </c>
      <c r="HI36" s="3">
        <f>ROUND(45.0,2)</f>
        <v/>
      </c>
      <c r="HJ36" s="4">
        <f>IFERROR((HD36/HC36),0)</f>
        <v/>
      </c>
      <c r="HK36" s="4">
        <f>IFERROR(((0+HB11+HB12+HB13+HB14+HB15+HB16+HB17+HB19+HB20+HB21+HB22+HB23+HB24+HB25+HB27+HB28+HB29+HB30+HB31+HB32+HB33+HB35+HB36)/T2),0)</f>
        <v/>
      </c>
      <c r="HL36" s="5">
        <f>IFERROR(ROUND(HB36/HD36,2),0)</f>
        <v/>
      </c>
      <c r="HM36" s="5">
        <f>IFERROR(ROUND(HB36/HE36,2),0)</f>
        <v/>
      </c>
      <c r="HN36" s="2" t="inlineStr">
        <is>
          <t>2023-10-12</t>
        </is>
      </c>
      <c r="HO36" s="5">
        <f>ROUND(0.84,2)</f>
        <v/>
      </c>
      <c r="HP36" s="3">
        <f>ROUND(1325.0,2)</f>
        <v/>
      </c>
      <c r="HQ36" s="3">
        <f>ROUND(39.0,2)</f>
        <v/>
      </c>
      <c r="HR36" s="3">
        <f>ROUND(292.0,2)</f>
        <v/>
      </c>
      <c r="HS36" s="3">
        <f>ROUND(234.0,2)</f>
        <v/>
      </c>
      <c r="HT36" s="3">
        <f>ROUND(143.0,2)</f>
        <v/>
      </c>
      <c r="HU36" s="3">
        <f>ROUND(113.0,2)</f>
        <v/>
      </c>
      <c r="HV36" s="3">
        <f>ROUND(94.0,2)</f>
        <v/>
      </c>
      <c r="HW36" s="4">
        <f>IFERROR((HQ36/HP36),0)</f>
        <v/>
      </c>
      <c r="HX36" s="4">
        <f>IFERROR(((0+HO11+HO12+HO13+HO14+HO15+HO16+HO17+HO19+HO20+HO21+HO22+HO23+HO24+HO25+HO27+HO28+HO29+HO30+HO31+HO32+HO33+HO35+HO36)/T2),0)</f>
        <v/>
      </c>
      <c r="HY36" s="5">
        <f>IFERROR(ROUND(HO36/HQ36,2),0)</f>
        <v/>
      </c>
      <c r="HZ36" s="5">
        <f>IFERROR(ROUND(HO36/HR36,2),0)</f>
        <v/>
      </c>
      <c r="IA36" s="2" t="inlineStr">
        <is>
          <t>2023-10-12</t>
        </is>
      </c>
      <c r="IB36" s="5">
        <f>ROUND(2.0,2)</f>
        <v/>
      </c>
      <c r="IC36" s="3">
        <f>ROUND(4217.0,2)</f>
        <v/>
      </c>
      <c r="ID36" s="3">
        <f>ROUND(129.0,2)</f>
        <v/>
      </c>
      <c r="IE36" s="3">
        <f>ROUND(842.0,2)</f>
        <v/>
      </c>
      <c r="IF36" s="3">
        <f>ROUND(629.0,2)</f>
        <v/>
      </c>
      <c r="IG36" s="3">
        <f>ROUND(302.0,2)</f>
        <v/>
      </c>
      <c r="IH36" s="3">
        <f>ROUND(204.0,2)</f>
        <v/>
      </c>
      <c r="II36" s="3">
        <f>ROUND(105.0,2)</f>
        <v/>
      </c>
      <c r="IJ36" s="4">
        <f>IFERROR((ID36/IC36),0)</f>
        <v/>
      </c>
      <c r="IK36" s="4">
        <f>IFERROR(((0+IB11+IB12+IB13+IB14+IB15+IB16+IB17+IB19+IB20+IB21+IB22+IB23+IB24+IB25+IB27+IB28+IB29+IB30+IB31+IB32+IB33+IB35+IB36)/T2),0)</f>
        <v/>
      </c>
      <c r="IL36" s="5">
        <f>IFERROR(ROUND(IB36/ID36,2),0)</f>
        <v/>
      </c>
      <c r="IM36" s="5">
        <f>IFERROR(ROUND(IB36/IE36,2),0)</f>
        <v/>
      </c>
      <c r="IN36" s="2" t="inlineStr">
        <is>
          <t>2023-10-12</t>
        </is>
      </c>
      <c r="IO36" s="5">
        <f>ROUND(9.64,2)</f>
        <v/>
      </c>
      <c r="IP36" s="3">
        <f>ROUND(18498.0,2)</f>
        <v/>
      </c>
      <c r="IQ36" s="3">
        <f>ROUND(614.0,2)</f>
        <v/>
      </c>
      <c r="IR36" s="3">
        <f>ROUND(3904.0,2)</f>
        <v/>
      </c>
      <c r="IS36" s="3">
        <f>ROUND(3421.0,2)</f>
        <v/>
      </c>
      <c r="IT36" s="3">
        <f>ROUND(2249.0,2)</f>
        <v/>
      </c>
      <c r="IU36" s="3">
        <f>ROUND(1878.0,2)</f>
        <v/>
      </c>
      <c r="IV36" s="3">
        <f>ROUND(1386.0,2)</f>
        <v/>
      </c>
      <c r="IW36" s="4">
        <f>IFERROR((IQ36/IP36),0)</f>
        <v/>
      </c>
      <c r="IX36" s="4">
        <f>IFERROR(((0+IO11+IO12+IO13+IO14+IO15+IO16+IO17+IO19+IO20+IO21+IO22+IO23+IO24+IO25+IO27+IO28+IO29+IO30+IO31+IO32+IO33+IO35+IO36)/T2),0)</f>
        <v/>
      </c>
      <c r="IY36" s="5">
        <f>IFERROR(ROUND(IO36/IQ36,2),0)</f>
        <v/>
      </c>
      <c r="IZ36" s="5">
        <f>IFERROR(ROUND(IO36/IR36,2),0)</f>
        <v/>
      </c>
      <c r="JA36" s="2" t="inlineStr">
        <is>
          <t>2023-10-12</t>
        </is>
      </c>
      <c r="JB36" s="5">
        <f>ROUND(1.09,2)</f>
        <v/>
      </c>
      <c r="JC36" s="3">
        <f>ROUND(1454.0,2)</f>
        <v/>
      </c>
      <c r="JD36" s="3">
        <f>ROUND(60.0,2)</f>
        <v/>
      </c>
      <c r="JE36" s="3">
        <f>ROUND(396.0,2)</f>
        <v/>
      </c>
      <c r="JF36" s="3">
        <f>ROUND(327.0,2)</f>
        <v/>
      </c>
      <c r="JG36" s="3">
        <f>ROUND(172.0,2)</f>
        <v/>
      </c>
      <c r="JH36" s="3">
        <f>ROUND(141.0,2)</f>
        <v/>
      </c>
      <c r="JI36" s="3">
        <f>ROUND(39.0,2)</f>
        <v/>
      </c>
      <c r="JJ36" s="4">
        <f>IFERROR((JD36/JC36),0)</f>
        <v/>
      </c>
      <c r="JK36" s="4">
        <f>IFERROR(((0+JB11+JB12+JB13+JB14+JB15+JB16+JB17+JB19+JB20+JB21+JB22+JB23+JB24+JB25+JB27+JB28+JB29+JB30+JB31+JB32+JB33+JB35+JB36)/T2),0)</f>
        <v/>
      </c>
      <c r="JL36" s="5">
        <f>IFERROR(ROUND(JB36/JD36,2),0)</f>
        <v/>
      </c>
      <c r="JM36" s="5">
        <f>IFERROR(ROUND(JB36/JE36,2),0)</f>
        <v/>
      </c>
    </row>
    <row r="37">
      <c r="A37" s="2" t="inlineStr">
        <is>
          <t>2023-10-13</t>
        </is>
      </c>
      <c r="B37" s="5">
        <f>ROUND(168.1,2)</f>
        <v/>
      </c>
      <c r="C37" s="3">
        <f>ROUND(342962.0,2)</f>
        <v/>
      </c>
      <c r="D37" s="3">
        <f>ROUND(12617.0,2)</f>
        <v/>
      </c>
      <c r="E37" s="3">
        <f>ROUND(86890.0,2)</f>
        <v/>
      </c>
      <c r="F37" s="3">
        <f>ROUND(72754.0,2)</f>
        <v/>
      </c>
      <c r="G37" s="3">
        <f>ROUND(33461.0,2)</f>
        <v/>
      </c>
      <c r="H37" s="3">
        <f>ROUND(22753.0,2)</f>
        <v/>
      </c>
      <c r="I37" s="3">
        <f>ROUND(13560.0,2)</f>
        <v/>
      </c>
      <c r="J37" s="4">
        <f>IFERROR((D37/C37),0)</f>
        <v/>
      </c>
      <c r="K37" s="4">
        <f>IFERROR(((0+B11+B12+B13+B14+B15+B16+B17+B19+B20+B21+B22+B23+B24+B25+B27+B28+B29+B30+B31+B32+B33+B35+B36+B37)/T2),0)</f>
        <v/>
      </c>
      <c r="L37" s="5">
        <f>IFERROR(ROUND(B37/D37,2),0)</f>
        <v/>
      </c>
      <c r="M37" s="5">
        <f>IFERROR(ROUND(B37/E37,2),0)</f>
        <v/>
      </c>
      <c r="N37" s="2" t="inlineStr">
        <is>
          <t>2023-10-13</t>
        </is>
      </c>
      <c r="O37" s="5">
        <f>ROUND(1.97,2)</f>
        <v/>
      </c>
      <c r="P37" s="3">
        <f>ROUND(6040.0,2)</f>
        <v/>
      </c>
      <c r="Q37" s="3">
        <f>ROUND(152.0,2)</f>
        <v/>
      </c>
      <c r="R37" s="3">
        <f>ROUND(908.0,2)</f>
        <v/>
      </c>
      <c r="S37" s="3">
        <f>ROUND(635.0,2)</f>
        <v/>
      </c>
      <c r="T37" s="3">
        <f>ROUND(269.0,2)</f>
        <v/>
      </c>
      <c r="U37" s="3">
        <f>ROUND(157.0,2)</f>
        <v/>
      </c>
      <c r="V37" s="3">
        <f>ROUND(75.0,2)</f>
        <v/>
      </c>
      <c r="W37" s="4">
        <f>IFERROR((Q37/P37),0)</f>
        <v/>
      </c>
      <c r="X37" s="4">
        <f>IFERROR(((0+O11+O12+O13+O14+O15+O16+O17+O19+O20+O21+O22+O23+O24+O25+O27+O28+O29+O30+O31+O32+O33+O35+O36+O37)/T2),0)</f>
        <v/>
      </c>
      <c r="Y37" s="5">
        <f>IFERROR(ROUND(O37/Q37,2),0)</f>
        <v/>
      </c>
      <c r="Z37" s="5">
        <f>IFERROR(ROUND(O37/R37,2),0)</f>
        <v/>
      </c>
      <c r="AA37" s="2" t="inlineStr">
        <is>
          <t>2023-10-13</t>
        </is>
      </c>
      <c r="AB37" s="5">
        <f>ROUND(2.82,2)</f>
        <v/>
      </c>
      <c r="AC37" s="3">
        <f>ROUND(2738.0,2)</f>
        <v/>
      </c>
      <c r="AD37" s="3">
        <f>ROUND(178.0,2)</f>
        <v/>
      </c>
      <c r="AE37" s="3">
        <f>ROUND(1388.0,2)</f>
        <v/>
      </c>
      <c r="AF37" s="3">
        <f>ROUND(1276.0,2)</f>
        <v/>
      </c>
      <c r="AG37" s="3">
        <f>ROUND(707.0,2)</f>
        <v/>
      </c>
      <c r="AH37" s="3">
        <f>ROUND(595.0,2)</f>
        <v/>
      </c>
      <c r="AI37" s="3">
        <f>ROUND(37.0,2)</f>
        <v/>
      </c>
      <c r="AJ37" s="4">
        <f>IFERROR((AD37/AC37),0)</f>
        <v/>
      </c>
      <c r="AK37" s="4">
        <f>IFERROR(((0+AB11+AB12+AB13+AB14+AB15+AB16+AB17+AB19+AB20+AB21+AB22+AB23+AB24+AB25+AB27+AB28+AB29+AB30+AB31+AB32+AB33+AB35+AB36+AB37)/T2),0)</f>
        <v/>
      </c>
      <c r="AL37" s="5">
        <f>IFERROR(ROUND(AB37/AD37,2),0)</f>
        <v/>
      </c>
      <c r="AM37" s="5">
        <f>IFERROR(ROUND(AB37/AE37,2),0)</f>
        <v/>
      </c>
      <c r="AN37" s="2" t="inlineStr">
        <is>
          <t>2023-10-13</t>
        </is>
      </c>
      <c r="AO37" s="5">
        <f>ROUND(1.23,2)</f>
        <v/>
      </c>
      <c r="AP37" s="3">
        <f>ROUND(1760.0,2)</f>
        <v/>
      </c>
      <c r="AQ37" s="3">
        <f>ROUND(91.0,2)</f>
        <v/>
      </c>
      <c r="AR37" s="3">
        <f>ROUND(586.0,2)</f>
        <v/>
      </c>
      <c r="AS37" s="3">
        <f>ROUND(515.0,2)</f>
        <v/>
      </c>
      <c r="AT37" s="3">
        <f>ROUND(296.0,2)</f>
        <v/>
      </c>
      <c r="AU37" s="3">
        <f>ROUND(248.0,2)</f>
        <v/>
      </c>
      <c r="AV37" s="3">
        <f>ROUND(204.0,2)</f>
        <v/>
      </c>
      <c r="AW37" s="4">
        <f>IFERROR((AQ37/AP37),0)</f>
        <v/>
      </c>
      <c r="AX37" s="4">
        <f>IFERROR(((0+AO11+AO12+AO13+AO14+AO15+AO16+AO17+AO19+AO20+AO21+AO22+AO23+AO24+AO25+AO27+AO28+AO29+AO30+AO31+AO32+AO33+AO35+AO36+AO37)/T2),0)</f>
        <v/>
      </c>
      <c r="AY37" s="5">
        <f>IFERROR(ROUND(AO37/AQ37,2),0)</f>
        <v/>
      </c>
      <c r="AZ37" s="5">
        <f>IFERROR(ROUND(AO37/AR37,2),0)</f>
        <v/>
      </c>
      <c r="BA37" s="2" t="inlineStr">
        <is>
          <t>2023-10-13</t>
        </is>
      </c>
      <c r="BB37" s="5">
        <f>ROUND(17.09,2)</f>
        <v/>
      </c>
      <c r="BC37" s="3">
        <f>ROUND(51844.0,2)</f>
        <v/>
      </c>
      <c r="BD37" s="3">
        <f>ROUND(1537.0,2)</f>
        <v/>
      </c>
      <c r="BE37" s="3">
        <f>ROUND(10865.0,2)</f>
        <v/>
      </c>
      <c r="BF37" s="3">
        <f>ROUND(8010.0,2)</f>
        <v/>
      </c>
      <c r="BG37" s="3">
        <f>ROUND(3336.0,2)</f>
        <v/>
      </c>
      <c r="BH37" s="3">
        <f>ROUND(1934.0,2)</f>
        <v/>
      </c>
      <c r="BI37" s="3">
        <f>ROUND(1034.0,2)</f>
        <v/>
      </c>
      <c r="BJ37" s="4">
        <f>IFERROR((BD37/BC37),0)</f>
        <v/>
      </c>
      <c r="BK37" s="4">
        <f>IFERROR(((0+BB11+BB12+BB13+BB14+BB15+BB16+BB17+BB19+BB20+BB21+BB22+BB23+BB24+BB25+BB27+BB28+BB29+BB30+BB31+BB32+BB33+BB35+BB36+BB37)/T2),0)</f>
        <v/>
      </c>
      <c r="BL37" s="5">
        <f>IFERROR(ROUND(BB37/BD37,2),0)</f>
        <v/>
      </c>
      <c r="BM37" s="5">
        <f>IFERROR(ROUND(BB37/BE37,2),0)</f>
        <v/>
      </c>
      <c r="BN37" s="2" t="inlineStr">
        <is>
          <t>2023-10-13</t>
        </is>
      </c>
      <c r="BO37" s="5">
        <f>ROUND(20.19,2)</f>
        <v/>
      </c>
      <c r="BP37" s="3">
        <f>ROUND(61161.0,2)</f>
        <v/>
      </c>
      <c r="BQ37" s="3">
        <f>ROUND(1608.0,2)</f>
        <v/>
      </c>
      <c r="BR37" s="3">
        <f>ROUND(13680.0,2)</f>
        <v/>
      </c>
      <c r="BS37" s="3">
        <f>ROUND(11547.0,2)</f>
        <v/>
      </c>
      <c r="BT37" s="3">
        <f>ROUND(6219.0,2)</f>
        <v/>
      </c>
      <c r="BU37" s="3">
        <f>ROUND(4885.0,2)</f>
        <v/>
      </c>
      <c r="BV37" s="3">
        <f>ROUND(2924.0,2)</f>
        <v/>
      </c>
      <c r="BW37" s="4">
        <f>IFERROR((BQ37/BP37),0)</f>
        <v/>
      </c>
      <c r="BX37" s="4">
        <f>IFERROR(((0+BO11+BO12+BO13+BO14+BO15+BO16+BO17+BO19+BO20+BO21+BO22+BO23+BO24+BO25+BO27+BO28+BO29+BO30+BO31+BO32+BO33+BO35+BO36+BO37)/T2),0)</f>
        <v/>
      </c>
      <c r="BY37" s="5">
        <f>IFERROR(ROUND(BO37/BQ37,2),0)</f>
        <v/>
      </c>
      <c r="BZ37" s="5">
        <f>IFERROR(ROUND(BO37/BR37,2),0)</f>
        <v/>
      </c>
      <c r="CA37" s="2" t="inlineStr">
        <is>
          <t>2023-10-13</t>
        </is>
      </c>
      <c r="CB37" s="5">
        <f>ROUND(2.55,2)</f>
        <v/>
      </c>
      <c r="CC37" s="3">
        <f>ROUND(5765.0,2)</f>
        <v/>
      </c>
      <c r="CD37" s="3">
        <f>ROUND(201.0,2)</f>
        <v/>
      </c>
      <c r="CE37" s="3">
        <f>ROUND(1379.0,2)</f>
        <v/>
      </c>
      <c r="CF37" s="3">
        <f>ROUND(999.0,2)</f>
        <v/>
      </c>
      <c r="CG37" s="3">
        <f>ROUND(485.0,2)</f>
        <v/>
      </c>
      <c r="CH37" s="3">
        <f>ROUND(329.0,2)</f>
        <v/>
      </c>
      <c r="CI37" s="3">
        <f>ROUND(138.0,2)</f>
        <v/>
      </c>
      <c r="CJ37" s="4">
        <f>IFERROR((CD37/CC37),0)</f>
        <v/>
      </c>
      <c r="CK37" s="4">
        <f>IFERROR(((0+CB11+CB12+CB13+CB14+CB15+CB16+CB17+CB19+CB20+CB21+CB22+CB23+CB24+CB25+CB27+CB28+CB29+CB30+CB31+CB32+CB33+CB35+CB36+CB37)/T2),0)</f>
        <v/>
      </c>
      <c r="CL37" s="5">
        <f>IFERROR(ROUND(CB37/CD37,2),0)</f>
        <v/>
      </c>
      <c r="CM37" s="5">
        <f>IFERROR(ROUND(CB37/CE37,2),0)</f>
        <v/>
      </c>
      <c r="CN37" s="2" t="inlineStr">
        <is>
          <t>2023-10-13</t>
        </is>
      </c>
      <c r="CO37" s="5">
        <f>ROUND(39.52,2)</f>
        <v/>
      </c>
      <c r="CP37" s="3">
        <f>ROUND(50703.0,2)</f>
        <v/>
      </c>
      <c r="CQ37" s="3">
        <f>ROUND(2894.0,2)</f>
        <v/>
      </c>
      <c r="CR37" s="3">
        <f>ROUND(29350.0,2)</f>
        <v/>
      </c>
      <c r="CS37" s="3">
        <f>ROUND(28116.0,2)</f>
        <v/>
      </c>
      <c r="CT37" s="3">
        <f>ROUND(10864.0,2)</f>
        <v/>
      </c>
      <c r="CU37" s="3">
        <f>ROUND(6261.0,2)</f>
        <v/>
      </c>
      <c r="CV37" s="3">
        <f>ROUND(4314.0,2)</f>
        <v/>
      </c>
      <c r="CW37" s="4">
        <f>IFERROR((CQ37/CP37),0)</f>
        <v/>
      </c>
      <c r="CX37" s="4">
        <f>IFERROR(((0+CO11+CO12+CO13+CO14+CO15+CO16+CO17+CO19+CO20+CO21+CO22+CO23+CO24+CO25+CO27+CO28+CO29+CO30+CO31+CO32+CO33+CO35+CO36+CO37)/T2),0)</f>
        <v/>
      </c>
      <c r="CY37" s="5">
        <f>IFERROR(ROUND(CO37/CQ37,2),0)</f>
        <v/>
      </c>
      <c r="CZ37" s="5">
        <f>IFERROR(ROUND(CO37/CR37,2),0)</f>
        <v/>
      </c>
      <c r="DA37" s="2" t="inlineStr">
        <is>
          <t>2023-10-13</t>
        </is>
      </c>
      <c r="DB37" s="5">
        <f>ROUND(8.88,2)</f>
        <v/>
      </c>
      <c r="DC37" s="3">
        <f>ROUND(20449.0,2)</f>
        <v/>
      </c>
      <c r="DD37" s="3">
        <f>ROUND(765.0,2)</f>
        <v/>
      </c>
      <c r="DE37" s="3">
        <f>ROUND(1817.0,2)</f>
        <v/>
      </c>
      <c r="DF37" s="3">
        <f>ROUND(1041.0,2)</f>
        <v/>
      </c>
      <c r="DG37" s="3">
        <f>ROUND(462.0,2)</f>
        <v/>
      </c>
      <c r="DH37" s="3">
        <f>ROUND(283.0,2)</f>
        <v/>
      </c>
      <c r="DI37" s="3">
        <f>ROUND(151.0,2)</f>
        <v/>
      </c>
      <c r="DJ37" s="4">
        <f>IFERROR((DD37/DC37),0)</f>
        <v/>
      </c>
      <c r="DK37" s="4">
        <f>IFERROR(((0+DB11+DB12+DB13+DB14+DB15+DB16+DB17+DB19+DB20+DB21+DB22+DB23+DB24+DB25+DB27+DB28+DB29+DB30+DB31+DB32+DB33+DB35+DB36+DB37)/T2),0)</f>
        <v/>
      </c>
      <c r="DL37" s="5">
        <f>IFERROR(ROUND(DB37/DD37,2),0)</f>
        <v/>
      </c>
      <c r="DM37" s="5">
        <f>IFERROR(ROUND(DB37/DE37,2),0)</f>
        <v/>
      </c>
      <c r="DN37" s="2" t="inlineStr">
        <is>
          <t>2023-10-13</t>
        </is>
      </c>
      <c r="DO37" s="5">
        <f>ROUND(13.83,2)</f>
        <v/>
      </c>
      <c r="DP37" s="3">
        <f>ROUND(35487.0,2)</f>
        <v/>
      </c>
      <c r="DQ37" s="3">
        <f>ROUND(1238.0,2)</f>
        <v/>
      </c>
      <c r="DR37" s="3">
        <f>ROUND(5140.0,2)</f>
        <v/>
      </c>
      <c r="DS37" s="3">
        <f>ROUND(3869.0,2)</f>
        <v/>
      </c>
      <c r="DT37" s="3">
        <f>ROUND(2311.0,2)</f>
        <v/>
      </c>
      <c r="DU37" s="3">
        <f>ROUND(1536.0,2)</f>
        <v/>
      </c>
      <c r="DV37" s="3">
        <f>ROUND(886.0,2)</f>
        <v/>
      </c>
      <c r="DW37" s="4">
        <f>IFERROR((DQ37/DP37),0)</f>
        <v/>
      </c>
      <c r="DX37" s="4">
        <f>IFERROR(((0+DO11+DO12+DO13+DO14+DO15+DO16+DO17+DO19+DO20+DO21+DO22+DO23+DO24+DO25+DO27+DO28+DO29+DO30+DO31+DO32+DO33+DO35+DO36+DO37)/T2),0)</f>
        <v/>
      </c>
      <c r="DY37" s="5">
        <f>IFERROR(ROUND(DO37/DQ37,2),0)</f>
        <v/>
      </c>
      <c r="DZ37" s="5">
        <f>IFERROR(ROUND(DO37/DR37,2),0)</f>
        <v/>
      </c>
      <c r="EA37" s="2" t="inlineStr">
        <is>
          <t>2023-10-13</t>
        </is>
      </c>
      <c r="EB37" s="5">
        <f>ROUND(9.84,2)</f>
        <v/>
      </c>
      <c r="EC37" s="3">
        <f>ROUND(29377.0,2)</f>
        <v/>
      </c>
      <c r="ED37" s="3">
        <f>ROUND(969.0,2)</f>
        <v/>
      </c>
      <c r="EE37" s="3">
        <f>ROUND(5632.0,2)</f>
        <v/>
      </c>
      <c r="EF37" s="3">
        <f>ROUND(3343.0,2)</f>
        <v/>
      </c>
      <c r="EG37" s="3">
        <f>ROUND(1572.0,2)</f>
        <v/>
      </c>
      <c r="EH37" s="3">
        <f>ROUND(1238.0,2)</f>
        <v/>
      </c>
      <c r="EI37" s="3">
        <f>ROUND(572.0,2)</f>
        <v/>
      </c>
      <c r="EJ37" s="4">
        <f>IFERROR((ED37/EC37),0)</f>
        <v/>
      </c>
      <c r="EK37" s="4">
        <f>IFERROR(((0+EB11+EB12+EB13+EB14+EB15+EB16+EB17+EB19+EB20+EB21+EB22+EB23+EB24+EB25+EB27+EB28+EB29+EB30+EB31+EB32+EB33+EB35+EB36+EB37)/T2),0)</f>
        <v/>
      </c>
      <c r="EL37" s="5">
        <f>IFERROR(ROUND(EB37/ED37,2),0)</f>
        <v/>
      </c>
      <c r="EM37" s="5">
        <f>IFERROR(ROUND(EB37/EE37,2),0)</f>
        <v/>
      </c>
      <c r="EN37" s="2" t="inlineStr">
        <is>
          <t>2023-10-13</t>
        </is>
      </c>
      <c r="EO37" s="5">
        <f>ROUND(3.03,2)</f>
        <v/>
      </c>
      <c r="EP37" s="3">
        <f>ROUND(4036.0,2)</f>
        <v/>
      </c>
      <c r="EQ37" s="3">
        <f>ROUND(205.0,2)</f>
        <v/>
      </c>
      <c r="ER37" s="3">
        <f>ROUND(376.0,2)</f>
        <v/>
      </c>
      <c r="ES37" s="3">
        <f>ROUND(266.0,2)</f>
        <v/>
      </c>
      <c r="ET37" s="3">
        <f>ROUND(136.0,2)</f>
        <v/>
      </c>
      <c r="EU37" s="3">
        <f>ROUND(53.0,2)</f>
        <v/>
      </c>
      <c r="EV37" s="3">
        <f>ROUND(21.0,2)</f>
        <v/>
      </c>
      <c r="EW37" s="4">
        <f>IFERROR((EQ37/EP37),0)</f>
        <v/>
      </c>
      <c r="EX37" s="4">
        <f>IFERROR(((0+EO11+EO12+EO13+EO14+EO15+EO16+EO17+EO19+EO20+EO21+EO22+EO23+EO24+EO25+EO27+EO28+EO29+EO30+EO31+EO32+EO33+EO35+EO36+EO37)/T2),0)</f>
        <v/>
      </c>
      <c r="EY37" s="5">
        <f>IFERROR(ROUND(EO37/EQ37,2),0)</f>
        <v/>
      </c>
      <c r="EZ37" s="5">
        <f>IFERROR(ROUND(EO37/ER37,2),0)</f>
        <v/>
      </c>
      <c r="FA37" s="2" t="inlineStr">
        <is>
          <t>2023-10-13</t>
        </is>
      </c>
      <c r="FB37" s="5">
        <f>ROUND(6.5,2)</f>
        <v/>
      </c>
      <c r="FC37" s="3">
        <f>ROUND(9759.0,2)</f>
        <v/>
      </c>
      <c r="FD37" s="3">
        <f>ROUND(392.0,2)</f>
        <v/>
      </c>
      <c r="FE37" s="3">
        <f>ROUND(1041.0,2)</f>
        <v/>
      </c>
      <c r="FF37" s="3">
        <f>ROUND(838.0,2)</f>
        <v/>
      </c>
      <c r="FG37" s="3">
        <f>ROUND(494.0,2)</f>
        <v/>
      </c>
      <c r="FH37" s="3">
        <f>ROUND(338.0,2)</f>
        <v/>
      </c>
      <c r="FI37" s="3">
        <f>ROUND(169.0,2)</f>
        <v/>
      </c>
      <c r="FJ37" s="4">
        <f>IFERROR((FD37/FC37),0)</f>
        <v/>
      </c>
      <c r="FK37" s="4">
        <f>IFERROR(((0+FB11+FB12+FB13+FB14+FB15+FB16+FB17+FB19+FB20+FB21+FB22+FB23+FB24+FB25+FB27+FB28+FB29+FB30+FB31+FB32+FB33+FB35+FB36+FB37)/T2),0)</f>
        <v/>
      </c>
      <c r="FL37" s="5">
        <f>IFERROR(ROUND(FB37/FD37,2),0)</f>
        <v/>
      </c>
      <c r="FM37" s="5">
        <f>IFERROR(ROUND(FB37/FE37,2),0)</f>
        <v/>
      </c>
      <c r="FN37" s="2" t="inlineStr">
        <is>
          <t>2023-10-13</t>
        </is>
      </c>
      <c r="FO37" s="5">
        <f>ROUND(0.42,2)</f>
        <v/>
      </c>
      <c r="FP37" s="3">
        <f>ROUND(335.0,2)</f>
        <v/>
      </c>
      <c r="FQ37" s="3">
        <f>ROUND(18.0,2)</f>
        <v/>
      </c>
      <c r="FR37" s="3">
        <f>ROUND(96.0,2)</f>
        <v/>
      </c>
      <c r="FS37" s="3">
        <f>ROUND(86.0,2)</f>
        <v/>
      </c>
      <c r="FT37" s="3">
        <f>ROUND(44.0,2)</f>
        <v/>
      </c>
      <c r="FU37" s="3">
        <f>ROUND(32.0,2)</f>
        <v/>
      </c>
      <c r="FV37" s="3">
        <f>ROUND(5.0,2)</f>
        <v/>
      </c>
      <c r="FW37" s="4">
        <f>IFERROR((FQ37/FP37),0)</f>
        <v/>
      </c>
      <c r="FX37" s="4">
        <f>IFERROR(((0+FO11+FO12+FO13+FO14+FO15+FO16+FO17+FO19+FO20+FO21+FO22+FO23+FO24+FO25+FO27+FO28+FO29+FO30+FO31+FO32+FO33+FO35+FO36+FO37)/T2),0)</f>
        <v/>
      </c>
      <c r="FY37" s="5">
        <f>IFERROR(ROUND(FO37/FQ37,2),0)</f>
        <v/>
      </c>
      <c r="FZ37" s="5">
        <f>IFERROR(ROUND(FO37/FR37,2),0)</f>
        <v/>
      </c>
      <c r="GA37" s="2" t="inlineStr">
        <is>
          <t>2023-10-13</t>
        </is>
      </c>
      <c r="GB37" s="5">
        <f>ROUND(7.87,2)</f>
        <v/>
      </c>
      <c r="GC37" s="3">
        <f>ROUND(17513.0,2)</f>
        <v/>
      </c>
      <c r="GD37" s="3">
        <f>ROUND(480.0,2)</f>
        <v/>
      </c>
      <c r="GE37" s="3">
        <f>ROUND(3201.0,2)</f>
        <v/>
      </c>
      <c r="GF37" s="3">
        <f>ROUND(2311.0,2)</f>
        <v/>
      </c>
      <c r="GG37" s="3">
        <f>ROUND(969.0,2)</f>
        <v/>
      </c>
      <c r="GH37" s="3">
        <f>ROUND(606.0,2)</f>
        <v/>
      </c>
      <c r="GI37" s="3">
        <f>ROUND(255.0,2)</f>
        <v/>
      </c>
      <c r="GJ37" s="4">
        <f>IFERROR((GD37/GC37),0)</f>
        <v/>
      </c>
      <c r="GK37" s="4">
        <f>IFERROR(((0+GB11+GB12+GB13+GB14+GB15+GB16+GB17+GB19+GB20+GB21+GB22+GB23+GB24+GB25+GB27+GB28+GB29+GB30+GB31+GB32+GB33+GB35+GB36+GB37)/T2),0)</f>
        <v/>
      </c>
      <c r="GL37" s="5">
        <f>IFERROR(ROUND(GB37/GD37,2),0)</f>
        <v/>
      </c>
      <c r="GM37" s="5">
        <f>IFERROR(ROUND(GB37/GE37,2),0)</f>
        <v/>
      </c>
      <c r="GN37" s="2" t="inlineStr">
        <is>
          <t>2023-10-13</t>
        </is>
      </c>
      <c r="GO37" s="5">
        <f>ROUND(12.73,2)</f>
        <v/>
      </c>
      <c r="GP37" s="3">
        <f>ROUND(14308.0,2)</f>
        <v/>
      </c>
      <c r="GQ37" s="3">
        <f>ROUND(754.0,2)</f>
        <v/>
      </c>
      <c r="GR37" s="3">
        <f>ROUND(4262.0,2)</f>
        <v/>
      </c>
      <c r="GS37" s="3">
        <f>ROUND(3848.0,2)</f>
        <v/>
      </c>
      <c r="GT37" s="3">
        <f>ROUND(1776.0,2)</f>
        <v/>
      </c>
      <c r="GU37" s="3">
        <f>ROUND(1353.0,2)</f>
        <v/>
      </c>
      <c r="GV37" s="3">
        <f>ROUND(1122.0,2)</f>
        <v/>
      </c>
      <c r="GW37" s="4">
        <f>IFERROR((GQ37/GP37),0)</f>
        <v/>
      </c>
      <c r="GX37" s="4">
        <f>IFERROR(((0+GO11+GO12+GO13+GO14+GO15+GO16+GO17+GO19+GO20+GO21+GO22+GO23+GO24+GO25+GO27+GO28+GO29+GO30+GO31+GO32+GO33+GO35+GO36+GO37)/T2),0)</f>
        <v/>
      </c>
      <c r="GY37" s="5">
        <f>IFERROR(ROUND(GO37/GQ37,2),0)</f>
        <v/>
      </c>
      <c r="GZ37" s="5">
        <f>IFERROR(ROUND(GO37/GR37,2),0)</f>
        <v/>
      </c>
      <c r="HA37" s="2" t="inlineStr">
        <is>
          <t>2023-10-13</t>
        </is>
      </c>
      <c r="HB37" s="5">
        <f>ROUND(4.67,2)</f>
        <v/>
      </c>
      <c r="HC37" s="3">
        <f>ROUND(3393.0,2)</f>
        <v/>
      </c>
      <c r="HD37" s="3">
        <f>ROUND(239.0,2)</f>
        <v/>
      </c>
      <c r="HE37" s="3">
        <f>ROUND(1397.0,2)</f>
        <v/>
      </c>
      <c r="HF37" s="3">
        <f>ROUND(1175.0,2)</f>
        <v/>
      </c>
      <c r="HG37" s="3">
        <f>ROUND(562.0,2)</f>
        <v/>
      </c>
      <c r="HH37" s="3">
        <f>ROUND(495.0,2)</f>
        <v/>
      </c>
      <c r="HI37" s="3">
        <f>ROUND(41.0,2)</f>
        <v/>
      </c>
      <c r="HJ37" s="4">
        <f>IFERROR((HD37/HC37),0)</f>
        <v/>
      </c>
      <c r="HK37" s="4">
        <f>IFERROR(((0+HB11+HB12+HB13+HB14+HB15+HB16+HB17+HB19+HB20+HB21+HB22+HB23+HB24+HB25+HB27+HB28+HB29+HB30+HB31+HB32+HB33+HB35+HB36+HB37)/T2),0)</f>
        <v/>
      </c>
      <c r="HL37" s="5">
        <f>IFERROR(ROUND(HB37/HD37,2),0)</f>
        <v/>
      </c>
      <c r="HM37" s="5">
        <f>IFERROR(ROUND(HB37/HE37,2),0)</f>
        <v/>
      </c>
      <c r="HN37" s="2" t="inlineStr">
        <is>
          <t>2023-10-13</t>
        </is>
      </c>
      <c r="HO37" s="5">
        <f>ROUND(1.38,2)</f>
        <v/>
      </c>
      <c r="HP37" s="3">
        <f>ROUND(1921.0,2)</f>
        <v/>
      </c>
      <c r="HQ37" s="3">
        <f>ROUND(93.0,2)</f>
        <v/>
      </c>
      <c r="HR37" s="3">
        <f>ROUND(350.0,2)</f>
        <v/>
      </c>
      <c r="HS37" s="3">
        <f>ROUND(294.0,2)</f>
        <v/>
      </c>
      <c r="HT37" s="3">
        <f>ROUND(189.0,2)</f>
        <v/>
      </c>
      <c r="HU37" s="3">
        <f>ROUND(158.0,2)</f>
        <v/>
      </c>
      <c r="HV37" s="3">
        <f>ROUND(137.0,2)</f>
        <v/>
      </c>
      <c r="HW37" s="4">
        <f>IFERROR((HQ37/HP37),0)</f>
        <v/>
      </c>
      <c r="HX37" s="4">
        <f>IFERROR(((0+HO11+HO12+HO13+HO14+HO15+HO16+HO17+HO19+HO20+HO21+HO22+HO23+HO24+HO25+HO27+HO28+HO29+HO30+HO31+HO32+HO33+HO35+HO36+HO37)/T2),0)</f>
        <v/>
      </c>
      <c r="HY37" s="5">
        <f>IFERROR(ROUND(HO37/HQ37,2),0)</f>
        <v/>
      </c>
      <c r="HZ37" s="5">
        <f>IFERROR(ROUND(HO37/HR37,2),0)</f>
        <v/>
      </c>
      <c r="IA37" s="2" t="inlineStr">
        <is>
          <t>2023-10-13</t>
        </is>
      </c>
      <c r="IB37" s="5">
        <f>ROUND(1.89,2)</f>
        <v/>
      </c>
      <c r="IC37" s="3">
        <f>ROUND(3995.0,2)</f>
        <v/>
      </c>
      <c r="ID37" s="3">
        <f>ROUND(113.0,2)</f>
        <v/>
      </c>
      <c r="IE37" s="3">
        <f>ROUND(784.0,2)</f>
        <v/>
      </c>
      <c r="IF37" s="3">
        <f>ROUND(580.0,2)</f>
        <v/>
      </c>
      <c r="IG37" s="3">
        <f>ROUND(271.0,2)</f>
        <v/>
      </c>
      <c r="IH37" s="3">
        <f>ROUND(184.0,2)</f>
        <v/>
      </c>
      <c r="II37" s="3">
        <f>ROUND(94.0,2)</f>
        <v/>
      </c>
      <c r="IJ37" s="4">
        <f>IFERROR((ID37/IC37),0)</f>
        <v/>
      </c>
      <c r="IK37" s="4">
        <f>IFERROR(((0+IB11+IB12+IB13+IB14+IB15+IB16+IB17+IB19+IB20+IB21+IB22+IB23+IB24+IB25+IB27+IB28+IB29+IB30+IB31+IB32+IB33+IB35+IB36+IB37)/T2),0)</f>
        <v/>
      </c>
      <c r="IL37" s="5">
        <f>IFERROR(ROUND(IB37/ID37,2),0)</f>
        <v/>
      </c>
      <c r="IM37" s="5">
        <f>IFERROR(ROUND(IB37/IE37,2),0)</f>
        <v/>
      </c>
      <c r="IN37" s="2" t="inlineStr">
        <is>
          <t>2023-10-13</t>
        </is>
      </c>
      <c r="IO37" s="5">
        <f>ROUND(10.51,2)</f>
        <v/>
      </c>
      <c r="IP37" s="3">
        <f>ROUND(21180.0,2)</f>
        <v/>
      </c>
      <c r="IQ37" s="3">
        <f>ROUND(631.0,2)</f>
        <v/>
      </c>
      <c r="IR37" s="3">
        <f>ROUND(4261.0,2)</f>
        <v/>
      </c>
      <c r="IS37" s="3">
        <f>ROUND(3677.0,2)</f>
        <v/>
      </c>
      <c r="IT37" s="3">
        <f>ROUND(2326.0,2)</f>
        <v/>
      </c>
      <c r="IU37" s="3">
        <f>ROUND(1917.0,2)</f>
        <v/>
      </c>
      <c r="IV37" s="3">
        <f>ROUND(1355.0,2)</f>
        <v/>
      </c>
      <c r="IW37" s="4">
        <f>IFERROR((IQ37/IP37),0)</f>
        <v/>
      </c>
      <c r="IX37" s="4">
        <f>IFERROR(((0+IO11+IO12+IO13+IO14+IO15+IO16+IO17+IO19+IO20+IO21+IO22+IO23+IO24+IO25+IO27+IO28+IO29+IO30+IO31+IO32+IO33+IO35+IO36+IO37)/T2),0)</f>
        <v/>
      </c>
      <c r="IY37" s="5">
        <f>IFERROR(ROUND(IO37/IQ37,2),0)</f>
        <v/>
      </c>
      <c r="IZ37" s="5">
        <f>IFERROR(ROUND(IO37/IR37,2),0)</f>
        <v/>
      </c>
      <c r="JA37" s="2" t="inlineStr">
        <is>
          <t>2023-10-13</t>
        </is>
      </c>
      <c r="JB37" s="5">
        <f>ROUND(1.18,2)</f>
        <v/>
      </c>
      <c r="JC37" s="3">
        <f>ROUND(1198.0,2)</f>
        <v/>
      </c>
      <c r="JD37" s="3">
        <f>ROUND(59.0,2)</f>
        <v/>
      </c>
      <c r="JE37" s="3">
        <f>ROUND(377.0,2)</f>
        <v/>
      </c>
      <c r="JF37" s="3">
        <f>ROUND(328.0,2)</f>
        <v/>
      </c>
      <c r="JG37" s="3">
        <f>ROUND(173.0,2)</f>
        <v/>
      </c>
      <c r="JH37" s="3">
        <f>ROUND(151.0,2)</f>
        <v/>
      </c>
      <c r="JI37" s="3">
        <f>ROUND(26.0,2)</f>
        <v/>
      </c>
      <c r="JJ37" s="4">
        <f>IFERROR((JD37/JC37),0)</f>
        <v/>
      </c>
      <c r="JK37" s="4">
        <f>IFERROR(((0+JB11+JB12+JB13+JB14+JB15+JB16+JB17+JB19+JB20+JB21+JB22+JB23+JB24+JB25+JB27+JB28+JB29+JB30+JB31+JB32+JB33+JB35+JB36+JB37)/T2),0)</f>
        <v/>
      </c>
      <c r="JL37" s="5">
        <f>IFERROR(ROUND(JB37/JD37,2),0)</f>
        <v/>
      </c>
      <c r="JM37" s="5">
        <f>IFERROR(ROUND(JB37/JE37,2),0)</f>
        <v/>
      </c>
    </row>
    <row r="38">
      <c r="A38" s="2" t="inlineStr">
        <is>
          <t>2023-10-14</t>
        </is>
      </c>
      <c r="B38" s="5">
        <f>ROUND(172.43,2)</f>
        <v/>
      </c>
      <c r="C38" s="3">
        <f>ROUND(353494.0,2)</f>
        <v/>
      </c>
      <c r="D38" s="3">
        <f>ROUND(12786.0,2)</f>
        <v/>
      </c>
      <c r="E38" s="3">
        <f>ROUND(87908.0,2)</f>
        <v/>
      </c>
      <c r="F38" s="3">
        <f>ROUND(73263.0,2)</f>
        <v/>
      </c>
      <c r="G38" s="3">
        <f>ROUND(34677.0,2)</f>
        <v/>
      </c>
      <c r="H38" s="3">
        <f>ROUND(23834.0,2)</f>
        <v/>
      </c>
      <c r="I38" s="3">
        <f>ROUND(14224.0,2)</f>
        <v/>
      </c>
      <c r="J38" s="4">
        <f>IFERROR((D38/C38),0)</f>
        <v/>
      </c>
      <c r="K38" s="4">
        <f>IFERROR(((0+B11+B12+B13+B14+B15+B16+B17+B19+B20+B21+B22+B23+B24+B25+B27+B28+B29+B30+B31+B32+B33+B35+B36+B37+B38)/T2),0)</f>
        <v/>
      </c>
      <c r="L38" s="5">
        <f>IFERROR(ROUND(B38/D38,2),0)</f>
        <v/>
      </c>
      <c r="M38" s="5">
        <f>IFERROR(ROUND(B38/E38,2),0)</f>
        <v/>
      </c>
      <c r="N38" s="2" t="inlineStr">
        <is>
          <t>2023-10-14</t>
        </is>
      </c>
      <c r="O38" s="5">
        <f>ROUND(2.02,2)</f>
        <v/>
      </c>
      <c r="P38" s="3">
        <f>ROUND(6353.0,2)</f>
        <v/>
      </c>
      <c r="Q38" s="3">
        <f>ROUND(170.0,2)</f>
        <v/>
      </c>
      <c r="R38" s="3">
        <f>ROUND(1189.0,2)</f>
        <v/>
      </c>
      <c r="S38" s="3">
        <f>ROUND(859.0,2)</f>
        <v/>
      </c>
      <c r="T38" s="3">
        <f>ROUND(386.0,2)</f>
        <v/>
      </c>
      <c r="U38" s="3">
        <f>ROUND(239.0,2)</f>
        <v/>
      </c>
      <c r="V38" s="3">
        <f>ROUND(125.0,2)</f>
        <v/>
      </c>
      <c r="W38" s="4">
        <f>IFERROR((Q38/P38),0)</f>
        <v/>
      </c>
      <c r="X38" s="4">
        <f>IFERROR(((0+O11+O12+O13+O14+O15+O16+O17+O19+O20+O21+O22+O23+O24+O25+O27+O28+O29+O30+O31+O32+O33+O35+O36+O37+O38)/T2),0)</f>
        <v/>
      </c>
      <c r="Y38" s="5">
        <f>IFERROR(ROUND(O38/Q38,2),0)</f>
        <v/>
      </c>
      <c r="Z38" s="5">
        <f>IFERROR(ROUND(O38/R38,2),0)</f>
        <v/>
      </c>
      <c r="AA38" s="2" t="inlineStr">
        <is>
          <t>2023-10-14</t>
        </is>
      </c>
      <c r="AB38" s="5">
        <f>ROUND(2.92,2)</f>
        <v/>
      </c>
      <c r="AC38" s="3">
        <f>ROUND(2674.0,2)</f>
        <v/>
      </c>
      <c r="AD38" s="3">
        <f>ROUND(185.0,2)</f>
        <v/>
      </c>
      <c r="AE38" s="3">
        <f>ROUND(1308.0,2)</f>
        <v/>
      </c>
      <c r="AF38" s="3">
        <f>ROUND(1173.0,2)</f>
        <v/>
      </c>
      <c r="AG38" s="3">
        <f>ROUND(696.0,2)</f>
        <v/>
      </c>
      <c r="AH38" s="3">
        <f>ROUND(569.0,2)</f>
        <v/>
      </c>
      <c r="AI38" s="3">
        <f>ROUND(33.0,2)</f>
        <v/>
      </c>
      <c r="AJ38" s="4">
        <f>IFERROR((AD38/AC38),0)</f>
        <v/>
      </c>
      <c r="AK38" s="4">
        <f>IFERROR(((0+AB11+AB12+AB13+AB14+AB15+AB16+AB17+AB19+AB20+AB21+AB22+AB23+AB24+AB25+AB27+AB28+AB29+AB30+AB31+AB32+AB33+AB35+AB36+AB37+AB38)/T2),0)</f>
        <v/>
      </c>
      <c r="AL38" s="5">
        <f>IFERROR(ROUND(AB38/AD38,2),0)</f>
        <v/>
      </c>
      <c r="AM38" s="5">
        <f>IFERROR(ROUND(AB38/AE38,2),0)</f>
        <v/>
      </c>
      <c r="AN38" s="2" t="inlineStr">
        <is>
          <t>2023-10-14</t>
        </is>
      </c>
      <c r="AO38" s="5">
        <f>ROUND(1.78,2)</f>
        <v/>
      </c>
      <c r="AP38" s="3">
        <f>ROUND(2301.0,2)</f>
        <v/>
      </c>
      <c r="AQ38" s="3">
        <f>ROUND(116.0,2)</f>
        <v/>
      </c>
      <c r="AR38" s="3">
        <f>ROUND(884.0,2)</f>
        <v/>
      </c>
      <c r="AS38" s="3">
        <f>ROUND(790.0,2)</f>
        <v/>
      </c>
      <c r="AT38" s="3">
        <f>ROUND(489.0,2)</f>
        <v/>
      </c>
      <c r="AU38" s="3">
        <f>ROUND(406.0,2)</f>
        <v/>
      </c>
      <c r="AV38" s="3">
        <f>ROUND(337.0,2)</f>
        <v/>
      </c>
      <c r="AW38" s="4">
        <f>IFERROR((AQ38/AP38),0)</f>
        <v/>
      </c>
      <c r="AX38" s="4">
        <f>IFERROR(((0+AO11+AO12+AO13+AO14+AO15+AO16+AO17+AO19+AO20+AO21+AO22+AO23+AO24+AO25+AO27+AO28+AO29+AO30+AO31+AO32+AO33+AO35+AO36+AO37+AO38)/T2),0)</f>
        <v/>
      </c>
      <c r="AY38" s="5">
        <f>IFERROR(ROUND(AO38/AQ38,2),0)</f>
        <v/>
      </c>
      <c r="AZ38" s="5">
        <f>IFERROR(ROUND(AO38/AR38,2),0)</f>
        <v/>
      </c>
      <c r="BA38" s="2" t="inlineStr">
        <is>
          <t>2023-10-14</t>
        </is>
      </c>
      <c r="BB38" s="5">
        <f>ROUND(14.6,2)</f>
        <v/>
      </c>
      <c r="BC38" s="3">
        <f>ROUND(42358.0,2)</f>
        <v/>
      </c>
      <c r="BD38" s="3">
        <f>ROUND(1245.0,2)</f>
        <v/>
      </c>
      <c r="BE38" s="3">
        <f>ROUND(8940.0,2)</f>
        <v/>
      </c>
      <c r="BF38" s="3">
        <f>ROUND(6600.0,2)</f>
        <v/>
      </c>
      <c r="BG38" s="3">
        <f>ROUND(2724.0,2)</f>
        <v/>
      </c>
      <c r="BH38" s="3">
        <f>ROUND(1562.0,2)</f>
        <v/>
      </c>
      <c r="BI38" s="3">
        <f>ROUND(850.0,2)</f>
        <v/>
      </c>
      <c r="BJ38" s="4">
        <f>IFERROR((BD38/BC38),0)</f>
        <v/>
      </c>
      <c r="BK38" s="4">
        <f>IFERROR(((0+BB11+BB12+BB13+BB14+BB15+BB16+BB17+BB19+BB20+BB21+BB22+BB23+BB24+BB25+BB27+BB28+BB29+BB30+BB31+BB32+BB33+BB35+BB36+BB37+BB38)/T2),0)</f>
        <v/>
      </c>
      <c r="BL38" s="5">
        <f>IFERROR(ROUND(BB38/BD38,2),0)</f>
        <v/>
      </c>
      <c r="BM38" s="5">
        <f>IFERROR(ROUND(BB38/BE38,2),0)</f>
        <v/>
      </c>
      <c r="BN38" s="2" t="inlineStr">
        <is>
          <t>2023-10-14</t>
        </is>
      </c>
      <c r="BO38" s="5">
        <f>ROUND(22.89,2)</f>
        <v/>
      </c>
      <c r="BP38" s="3">
        <f>ROUND(70904.0,2)</f>
        <v/>
      </c>
      <c r="BQ38" s="3">
        <f>ROUND(1808.0,2)</f>
        <v/>
      </c>
      <c r="BR38" s="3">
        <f>ROUND(15751.0,2)</f>
        <v/>
      </c>
      <c r="BS38" s="3">
        <f>ROUND(13313.0,2)</f>
        <v/>
      </c>
      <c r="BT38" s="3">
        <f>ROUND(7170.0,2)</f>
        <v/>
      </c>
      <c r="BU38" s="3">
        <f>ROUND(5759.0,2)</f>
        <v/>
      </c>
      <c r="BV38" s="3">
        <f>ROUND(3447.0,2)</f>
        <v/>
      </c>
      <c r="BW38" s="4">
        <f>IFERROR((BQ38/BP38),0)</f>
        <v/>
      </c>
      <c r="BX38" s="4">
        <f>IFERROR(((0+BO11+BO12+BO13+BO14+BO15+BO16+BO17+BO19+BO20+BO21+BO22+BO23+BO24+BO25+BO27+BO28+BO29+BO30+BO31+BO32+BO33+BO35+BO36+BO37+BO38)/T2),0)</f>
        <v/>
      </c>
      <c r="BY38" s="5">
        <f>IFERROR(ROUND(BO38/BQ38,2),0)</f>
        <v/>
      </c>
      <c r="BZ38" s="5">
        <f>IFERROR(ROUND(BO38/BR38,2),0)</f>
        <v/>
      </c>
      <c r="CA38" s="2" t="inlineStr">
        <is>
          <t>2023-10-14</t>
        </is>
      </c>
      <c r="CB38" s="5">
        <f>ROUND(2.85,2)</f>
        <v/>
      </c>
      <c r="CC38" s="3">
        <f>ROUND(6047.0,2)</f>
        <v/>
      </c>
      <c r="CD38" s="3">
        <f>ROUND(244.0,2)</f>
        <v/>
      </c>
      <c r="CE38" s="3">
        <f>ROUND(1489.0,2)</f>
        <v/>
      </c>
      <c r="CF38" s="3">
        <f>ROUND(1117.0,2)</f>
        <v/>
      </c>
      <c r="CG38" s="3">
        <f>ROUND(538.0,2)</f>
        <v/>
      </c>
      <c r="CH38" s="3">
        <f>ROUND(387.0,2)</f>
        <v/>
      </c>
      <c r="CI38" s="3">
        <f>ROUND(139.0,2)</f>
        <v/>
      </c>
      <c r="CJ38" s="4">
        <f>IFERROR((CD38/CC38),0)</f>
        <v/>
      </c>
      <c r="CK38" s="4">
        <f>IFERROR(((0+CB11+CB12+CB13+CB14+CB15+CB16+CB17+CB19+CB20+CB21+CB22+CB23+CB24+CB25+CB27+CB28+CB29+CB30+CB31+CB32+CB33+CB35+CB36+CB37+CB38)/T2),0)</f>
        <v/>
      </c>
      <c r="CL38" s="5">
        <f>IFERROR(ROUND(CB38/CD38,2),0)</f>
        <v/>
      </c>
      <c r="CM38" s="5">
        <f>IFERROR(ROUND(CB38/CE38,2),0)</f>
        <v/>
      </c>
      <c r="CN38" s="2" t="inlineStr">
        <is>
          <t>2023-10-14</t>
        </is>
      </c>
      <c r="CO38" s="5">
        <f>ROUND(40.45,2)</f>
        <v/>
      </c>
      <c r="CP38" s="3">
        <f>ROUND(49152.0,2)</f>
        <v/>
      </c>
      <c r="CQ38" s="3">
        <f>ROUND(2994.0,2)</f>
        <v/>
      </c>
      <c r="CR38" s="3">
        <f>ROUND(27453.0,2)</f>
        <v/>
      </c>
      <c r="CS38" s="3">
        <f>ROUND(26118.0,2)</f>
        <v/>
      </c>
      <c r="CT38" s="3">
        <f>ROUND(10488.0,2)</f>
        <v/>
      </c>
      <c r="CU38" s="3">
        <f>ROUND(6149.0,2)</f>
        <v/>
      </c>
      <c r="CV38" s="3">
        <f>ROUND(4207.0,2)</f>
        <v/>
      </c>
      <c r="CW38" s="4">
        <f>IFERROR((CQ38/CP38),0)</f>
        <v/>
      </c>
      <c r="CX38" s="4">
        <f>IFERROR(((0+CO11+CO12+CO13+CO14+CO15+CO16+CO17+CO19+CO20+CO21+CO22+CO23+CO24+CO25+CO27+CO28+CO29+CO30+CO31+CO32+CO33+CO35+CO36+CO37+CO38)/T2),0)</f>
        <v/>
      </c>
      <c r="CY38" s="5">
        <f>IFERROR(ROUND(CO38/CQ38,2),0)</f>
        <v/>
      </c>
      <c r="CZ38" s="5">
        <f>IFERROR(ROUND(CO38/CR38,2),0)</f>
        <v/>
      </c>
      <c r="DA38" s="2" t="inlineStr">
        <is>
          <t>2023-10-14</t>
        </is>
      </c>
      <c r="DB38" s="5">
        <f>ROUND(7.57,2)</f>
        <v/>
      </c>
      <c r="DC38" s="3">
        <f>ROUND(19864.0,2)</f>
        <v/>
      </c>
      <c r="DD38" s="3">
        <f>ROUND(703.0,2)</f>
        <v/>
      </c>
      <c r="DE38" s="3">
        <f>ROUND(1858.0,2)</f>
        <v/>
      </c>
      <c r="DF38" s="3">
        <f>ROUND(1042.0,2)</f>
        <v/>
      </c>
      <c r="DG38" s="3">
        <f>ROUND(459.0,2)</f>
        <v/>
      </c>
      <c r="DH38" s="3">
        <f>ROUND(290.0,2)</f>
        <v/>
      </c>
      <c r="DI38" s="3">
        <f>ROUND(149.0,2)</f>
        <v/>
      </c>
      <c r="DJ38" s="4">
        <f>IFERROR((DD38/DC38),0)</f>
        <v/>
      </c>
      <c r="DK38" s="4">
        <f>IFERROR(((0+DB11+DB12+DB13+DB14+DB15+DB16+DB17+DB19+DB20+DB21+DB22+DB23+DB24+DB25+DB27+DB28+DB29+DB30+DB31+DB32+DB33+DB35+DB36+DB37+DB38)/T2),0)</f>
        <v/>
      </c>
      <c r="DL38" s="5">
        <f>IFERROR(ROUND(DB38/DD38,2),0)</f>
        <v/>
      </c>
      <c r="DM38" s="5">
        <f>IFERROR(ROUND(DB38/DE38,2),0)</f>
        <v/>
      </c>
      <c r="DN38" s="2" t="inlineStr">
        <is>
          <t>2023-10-14</t>
        </is>
      </c>
      <c r="DO38" s="5">
        <f>ROUND(16.05,2)</f>
        <v/>
      </c>
      <c r="DP38" s="3">
        <f>ROUND(42407.0,2)</f>
        <v/>
      </c>
      <c r="DQ38" s="3">
        <f>ROUND(1459.0,2)</f>
        <v/>
      </c>
      <c r="DR38" s="3">
        <f>ROUND(6461.0,2)</f>
        <v/>
      </c>
      <c r="DS38" s="3">
        <f>ROUND(4889.0,2)</f>
        <v/>
      </c>
      <c r="DT38" s="3">
        <f>ROUND(2925.0,2)</f>
        <v/>
      </c>
      <c r="DU38" s="3">
        <f>ROUND(1886.0,2)</f>
        <v/>
      </c>
      <c r="DV38" s="3">
        <f>ROUND(1044.0,2)</f>
        <v/>
      </c>
      <c r="DW38" s="4">
        <f>IFERROR((DQ38/DP38),0)</f>
        <v/>
      </c>
      <c r="DX38" s="4">
        <f>IFERROR(((0+DO11+DO12+DO13+DO14+DO15+DO16+DO17+DO19+DO20+DO21+DO22+DO23+DO24+DO25+DO27+DO28+DO29+DO30+DO31+DO32+DO33+DO35+DO36+DO37+DO38)/T2),0)</f>
        <v/>
      </c>
      <c r="DY38" s="5">
        <f>IFERROR(ROUND(DO38/DQ38,2),0)</f>
        <v/>
      </c>
      <c r="DZ38" s="5">
        <f>IFERROR(ROUND(DO38/DR38,2),0)</f>
        <v/>
      </c>
      <c r="EA38" s="2" t="inlineStr">
        <is>
          <t>2023-10-14</t>
        </is>
      </c>
      <c r="EB38" s="5">
        <f>ROUND(9.19,2)</f>
        <v/>
      </c>
      <c r="EC38" s="3">
        <f>ROUND(29140.0,2)</f>
        <v/>
      </c>
      <c r="ED38" s="3">
        <f>ROUND(810.0,2)</f>
        <v/>
      </c>
      <c r="EE38" s="3">
        <f>ROUND(5382.0,2)</f>
        <v/>
      </c>
      <c r="EF38" s="3">
        <f>ROUND(3096.0,2)</f>
        <v/>
      </c>
      <c r="EG38" s="3">
        <f>ROUND(1522.0,2)</f>
        <v/>
      </c>
      <c r="EH38" s="3">
        <f>ROUND(1185.0,2)</f>
        <v/>
      </c>
      <c r="EI38" s="3">
        <f>ROUND(554.0,2)</f>
        <v/>
      </c>
      <c r="EJ38" s="4">
        <f>IFERROR((ED38/EC38),0)</f>
        <v/>
      </c>
      <c r="EK38" s="4">
        <f>IFERROR(((0+EB11+EB12+EB13+EB14+EB15+EB16+EB17+EB19+EB20+EB21+EB22+EB23+EB24+EB25+EB27+EB28+EB29+EB30+EB31+EB32+EB33+EB35+EB36+EB37+EB38)/T2),0)</f>
        <v/>
      </c>
      <c r="EL38" s="5">
        <f>IFERROR(ROUND(EB38/ED38,2),0)</f>
        <v/>
      </c>
      <c r="EM38" s="5">
        <f>IFERROR(ROUND(EB38/EE38,2),0)</f>
        <v/>
      </c>
      <c r="EN38" s="2" t="inlineStr">
        <is>
          <t>2023-10-14</t>
        </is>
      </c>
      <c r="EO38" s="5">
        <f>ROUND(3.28,2)</f>
        <v/>
      </c>
      <c r="EP38" s="3">
        <f>ROUND(4636.0,2)</f>
        <v/>
      </c>
      <c r="EQ38" s="3">
        <f>ROUND(215.0,2)</f>
        <v/>
      </c>
      <c r="ER38" s="3">
        <f>ROUND(441.0,2)</f>
        <v/>
      </c>
      <c r="ES38" s="3">
        <f>ROUND(306.0,2)</f>
        <v/>
      </c>
      <c r="ET38" s="3">
        <f>ROUND(163.0,2)</f>
        <v/>
      </c>
      <c r="EU38" s="3">
        <f>ROUND(62.0,2)</f>
        <v/>
      </c>
      <c r="EV38" s="3">
        <f>ROUND(31.0,2)</f>
        <v/>
      </c>
      <c r="EW38" s="4">
        <f>IFERROR((EQ38/EP38),0)</f>
        <v/>
      </c>
      <c r="EX38" s="4">
        <f>IFERROR(((0+EO11+EO12+EO13+EO14+EO15+EO16+EO17+EO19+EO20+EO21+EO22+EO23+EO24+EO25+EO27+EO28+EO29+EO30+EO31+EO32+EO33+EO35+EO36+EO37+EO38)/T2),0)</f>
        <v/>
      </c>
      <c r="EY38" s="5">
        <f>IFERROR(ROUND(EO38/EQ38,2),0)</f>
        <v/>
      </c>
      <c r="EZ38" s="5">
        <f>IFERROR(ROUND(EO38/ER38,2),0)</f>
        <v/>
      </c>
      <c r="FA38" s="2" t="inlineStr">
        <is>
          <t>2023-10-14</t>
        </is>
      </c>
      <c r="FB38" s="5">
        <f>ROUND(6.86,2)</f>
        <v/>
      </c>
      <c r="FC38" s="3">
        <f>ROUND(10191.0,2)</f>
        <v/>
      </c>
      <c r="FD38" s="3">
        <f>ROUND(445.0,2)</f>
        <v/>
      </c>
      <c r="FE38" s="3">
        <f>ROUND(1171.0,2)</f>
        <v/>
      </c>
      <c r="FF38" s="3">
        <f>ROUND(977.0,2)</f>
        <v/>
      </c>
      <c r="FG38" s="3">
        <f>ROUND(537.0,2)</f>
        <v/>
      </c>
      <c r="FH38" s="3">
        <f>ROUND(386.0,2)</f>
        <v/>
      </c>
      <c r="FI38" s="3">
        <f>ROUND(198.0,2)</f>
        <v/>
      </c>
      <c r="FJ38" s="4">
        <f>IFERROR((FD38/FC38),0)</f>
        <v/>
      </c>
      <c r="FK38" s="4">
        <f>IFERROR(((0+FB11+FB12+FB13+FB14+FB15+FB16+FB17+FB19+FB20+FB21+FB22+FB23+FB24+FB25+FB27+FB28+FB29+FB30+FB31+FB32+FB33+FB35+FB36+FB37+FB38)/T2),0)</f>
        <v/>
      </c>
      <c r="FL38" s="5">
        <f>IFERROR(ROUND(FB38/FD38,2),0)</f>
        <v/>
      </c>
      <c r="FM38" s="5">
        <f>IFERROR(ROUND(FB38/FE38,2),0)</f>
        <v/>
      </c>
      <c r="FN38" s="2" t="inlineStr">
        <is>
          <t>2023-10-14</t>
        </is>
      </c>
      <c r="FO38" s="5">
        <f>ROUND(0.19,2)</f>
        <v/>
      </c>
      <c r="FP38" s="3">
        <f>ROUND(223.0,2)</f>
        <v/>
      </c>
      <c r="FQ38" s="3">
        <f>ROUND(19.0,2)</f>
        <v/>
      </c>
      <c r="FR38" s="3">
        <f>ROUND(56.0,2)</f>
        <v/>
      </c>
      <c r="FS38" s="3">
        <f>ROUND(41.0,2)</f>
        <v/>
      </c>
      <c r="FT38" s="3">
        <f>ROUND(20.0,2)</f>
        <v/>
      </c>
      <c r="FU38" s="3">
        <f>ROUND(17.0,2)</f>
        <v/>
      </c>
      <c r="FV38" s="3">
        <f>ROUND(5.0,2)</f>
        <v/>
      </c>
      <c r="FW38" s="4">
        <f>IFERROR((FQ38/FP38),0)</f>
        <v/>
      </c>
      <c r="FX38" s="4">
        <f>IFERROR(((0+FO11+FO12+FO13+FO14+FO15+FO16+FO17+FO19+FO20+FO21+FO22+FO23+FO24+FO25+FO27+FO28+FO29+FO30+FO31+FO32+FO33+FO35+FO36+FO37+FO38)/T2),0)</f>
        <v/>
      </c>
      <c r="FY38" s="5">
        <f>IFERROR(ROUND(FO38/FQ38,2),0)</f>
        <v/>
      </c>
      <c r="FZ38" s="5">
        <f>IFERROR(ROUND(FO38/FR38,2),0)</f>
        <v/>
      </c>
      <c r="GA38" s="2" t="inlineStr">
        <is>
          <t>2023-10-14</t>
        </is>
      </c>
      <c r="GB38" s="5">
        <f>ROUND(9.82,2)</f>
        <v/>
      </c>
      <c r="GC38" s="3">
        <f>ROUND(22789.0,2)</f>
        <v/>
      </c>
      <c r="GD38" s="3">
        <f>ROUND(624.0,2)</f>
        <v/>
      </c>
      <c r="GE38" s="3">
        <f>ROUND(3750.0,2)</f>
        <v/>
      </c>
      <c r="GF38" s="3">
        <f>ROUND(2701.0,2)</f>
        <v/>
      </c>
      <c r="GG38" s="3">
        <f>ROUND(1151.0,2)</f>
        <v/>
      </c>
      <c r="GH38" s="3">
        <f>ROUND(675.0,2)</f>
        <v/>
      </c>
      <c r="GI38" s="3">
        <f>ROUND(316.0,2)</f>
        <v/>
      </c>
      <c r="GJ38" s="4">
        <f>IFERROR((GD38/GC38),0)</f>
        <v/>
      </c>
      <c r="GK38" s="4">
        <f>IFERROR(((0+GB11+GB12+GB13+GB14+GB15+GB16+GB17+GB19+GB20+GB21+GB22+GB23+GB24+GB25+GB27+GB28+GB29+GB30+GB31+GB32+GB33+GB35+GB36+GB37+GB38)/T2),0)</f>
        <v/>
      </c>
      <c r="GL38" s="5">
        <f>IFERROR(ROUND(GB38/GD38,2),0)</f>
        <v/>
      </c>
      <c r="GM38" s="5">
        <f>IFERROR(ROUND(GB38/GE38,2),0)</f>
        <v/>
      </c>
      <c r="GN38" s="2" t="inlineStr">
        <is>
          <t>2023-10-14</t>
        </is>
      </c>
      <c r="GO38" s="5">
        <f>ROUND(13.7,2)</f>
        <v/>
      </c>
      <c r="GP38" s="3">
        <f>ROUND(13819.0,2)</f>
        <v/>
      </c>
      <c r="GQ38" s="3">
        <f>ROUND(756.0,2)</f>
        <v/>
      </c>
      <c r="GR38" s="3">
        <f>ROUND(4805.0,2)</f>
        <v/>
      </c>
      <c r="GS38" s="3">
        <f>ROUND(4401.0,2)</f>
        <v/>
      </c>
      <c r="GT38" s="3">
        <f>ROUND(2073.0,2)</f>
        <v/>
      </c>
      <c r="GU38" s="3">
        <f>ROUND(1526.0,2)</f>
        <v/>
      </c>
      <c r="GV38" s="3">
        <f>ROUND(1281.0,2)</f>
        <v/>
      </c>
      <c r="GW38" s="4">
        <f>IFERROR((GQ38/GP38),0)</f>
        <v/>
      </c>
      <c r="GX38" s="4">
        <f>IFERROR(((0+GO11+GO12+GO13+GO14+GO15+GO16+GO17+GO19+GO20+GO21+GO22+GO23+GO24+GO25+GO27+GO28+GO29+GO30+GO31+GO32+GO33+GO35+GO36+GO37+GO38)/T2),0)</f>
        <v/>
      </c>
      <c r="GY38" s="5">
        <f>IFERROR(ROUND(GO38/GQ38,2),0)</f>
        <v/>
      </c>
      <c r="GZ38" s="5">
        <f>IFERROR(ROUND(GO38/GR38,2),0)</f>
        <v/>
      </c>
      <c r="HA38" s="2" t="inlineStr">
        <is>
          <t>2023-10-14</t>
        </is>
      </c>
      <c r="HB38" s="5">
        <f>ROUND(3.59,2)</f>
        <v/>
      </c>
      <c r="HC38" s="3">
        <f>ROUND(2545.0,2)</f>
        <v/>
      </c>
      <c r="HD38" s="3">
        <f>ROUND(190.0,2)</f>
        <v/>
      </c>
      <c r="HE38" s="3">
        <f>ROUND(1109.0,2)</f>
        <v/>
      </c>
      <c r="HF38" s="3">
        <f>ROUND(925.0,2)</f>
        <v/>
      </c>
      <c r="HG38" s="3">
        <f>ROUND(437.0,2)</f>
        <v/>
      </c>
      <c r="HH38" s="3">
        <f>ROUND(360.0,2)</f>
        <v/>
      </c>
      <c r="HI38" s="3">
        <f>ROUND(36.0,2)</f>
        <v/>
      </c>
      <c r="HJ38" s="4">
        <f>IFERROR((HD38/HC38),0)</f>
        <v/>
      </c>
      <c r="HK38" s="4">
        <f>IFERROR(((0+HB11+HB12+HB13+HB14+HB15+HB16+HB17+HB19+HB20+HB21+HB22+HB23+HB24+HB25+HB27+HB28+HB29+HB30+HB31+HB32+HB33+HB35+HB36+HB37+HB38)/T2),0)</f>
        <v/>
      </c>
      <c r="HL38" s="5">
        <f>IFERROR(ROUND(HB38/HD38,2),0)</f>
        <v/>
      </c>
      <c r="HM38" s="5">
        <f>IFERROR(ROUND(HB38/HE38,2),0)</f>
        <v/>
      </c>
      <c r="HN38" s="2" t="inlineStr">
        <is>
          <t>2023-10-14</t>
        </is>
      </c>
      <c r="HO38" s="5">
        <f>ROUND(1.77,2)</f>
        <v/>
      </c>
      <c r="HP38" s="3">
        <f>ROUND(2650.0,2)</f>
        <v/>
      </c>
      <c r="HQ38" s="3">
        <f>ROUND(101.0,2)</f>
        <v/>
      </c>
      <c r="HR38" s="3">
        <f>ROUND(501.0,2)</f>
        <v/>
      </c>
      <c r="HS38" s="3">
        <f>ROUND(417.0,2)</f>
        <v/>
      </c>
      <c r="HT38" s="3">
        <f>ROUND(248.0,2)</f>
        <v/>
      </c>
      <c r="HU38" s="3">
        <f>ROUND(208.0,2)</f>
        <v/>
      </c>
      <c r="HV38" s="3">
        <f>ROUND(174.0,2)</f>
        <v/>
      </c>
      <c r="HW38" s="4">
        <f>IFERROR((HQ38/HP38),0)</f>
        <v/>
      </c>
      <c r="HX38" s="4">
        <f>IFERROR(((0+HO11+HO12+HO13+HO14+HO15+HO16+HO17+HO19+HO20+HO21+HO22+HO23+HO24+HO25+HO27+HO28+HO29+HO30+HO31+HO32+HO33+HO35+HO36+HO37+HO38)/T2),0)</f>
        <v/>
      </c>
      <c r="HY38" s="5">
        <f>IFERROR(ROUND(HO38/HQ38,2),0)</f>
        <v/>
      </c>
      <c r="HZ38" s="5">
        <f>IFERROR(ROUND(HO38/HR38,2),0)</f>
        <v/>
      </c>
      <c r="IA38" s="2" t="inlineStr">
        <is>
          <t>2023-10-14</t>
        </is>
      </c>
      <c r="IB38" s="5">
        <f>ROUND(2.77,2)</f>
        <v/>
      </c>
      <c r="IC38" s="3">
        <f>ROUND(5114.0,2)</f>
        <v/>
      </c>
      <c r="ID38" s="3">
        <f>ROUND(170.0,2)</f>
        <v/>
      </c>
      <c r="IE38" s="3">
        <f>ROUND(1204.0,2)</f>
        <v/>
      </c>
      <c r="IF38" s="3">
        <f>ROUND(936.0,2)</f>
        <v/>
      </c>
      <c r="IG38" s="3">
        <f>ROUND(486.0,2)</f>
        <v/>
      </c>
      <c r="IH38" s="3">
        <f>ROUND(371.0,2)</f>
        <v/>
      </c>
      <c r="II38" s="3">
        <f>ROUND(120.0,2)</f>
        <v/>
      </c>
      <c r="IJ38" s="4">
        <f>IFERROR((ID38/IC38),0)</f>
        <v/>
      </c>
      <c r="IK38" s="4">
        <f>IFERROR(((0+IB11+IB12+IB13+IB14+IB15+IB16+IB17+IB19+IB20+IB21+IB22+IB23+IB24+IB25+IB27+IB28+IB29+IB30+IB31+IB32+IB33+IB35+IB36+IB37+IB38)/T2),0)</f>
        <v/>
      </c>
      <c r="IL38" s="5">
        <f>IFERROR(ROUND(IB38/ID38,2),0)</f>
        <v/>
      </c>
      <c r="IM38" s="5">
        <f>IFERROR(ROUND(IB38/IE38,2),0)</f>
        <v/>
      </c>
      <c r="IN38" s="2" t="inlineStr">
        <is>
          <t>2023-10-14</t>
        </is>
      </c>
      <c r="IO38" s="5">
        <f>ROUND(8.89,2)</f>
        <v/>
      </c>
      <c r="IP38" s="3">
        <f>ROUND(19007.0,2)</f>
        <v/>
      </c>
      <c r="IQ38" s="3">
        <f>ROUND(457.0,2)</f>
        <v/>
      </c>
      <c r="IR38" s="3">
        <f>ROUND(3765.0,2)</f>
        <v/>
      </c>
      <c r="IS38" s="3">
        <f>ROUND(3230.0,2)</f>
        <v/>
      </c>
      <c r="IT38" s="3">
        <f>ROUND(1969.0,2)</f>
        <v/>
      </c>
      <c r="IU38" s="3">
        <f>ROUND(1627.0,2)</f>
        <v/>
      </c>
      <c r="IV38" s="3">
        <f>ROUND(1153.0,2)</f>
        <v/>
      </c>
      <c r="IW38" s="4">
        <f>IFERROR((IQ38/IP38),0)</f>
        <v/>
      </c>
      <c r="IX38" s="4">
        <f>IFERROR(((0+IO11+IO12+IO13+IO14+IO15+IO16+IO17+IO19+IO20+IO21+IO22+IO23+IO24+IO25+IO27+IO28+IO29+IO30+IO31+IO32+IO33+IO35+IO36+IO37+IO38)/T2),0)</f>
        <v/>
      </c>
      <c r="IY38" s="5">
        <f>IFERROR(ROUND(IO38/IQ38,2),0)</f>
        <v/>
      </c>
      <c r="IZ38" s="5">
        <f>IFERROR(ROUND(IO38/IR38,2),0)</f>
        <v/>
      </c>
      <c r="JA38" s="2" t="inlineStr">
        <is>
          <t>2023-10-14</t>
        </is>
      </c>
      <c r="JB38" s="5">
        <f>ROUND(1.24,2)</f>
        <v/>
      </c>
      <c r="JC38" s="3">
        <f>ROUND(1320.0,2)</f>
        <v/>
      </c>
      <c r="JD38" s="3">
        <f>ROUND(75.0,2)</f>
        <v/>
      </c>
      <c r="JE38" s="3">
        <f>ROUND(391.0,2)</f>
        <v/>
      </c>
      <c r="JF38" s="3">
        <f>ROUND(332.0,2)</f>
        <v/>
      </c>
      <c r="JG38" s="3">
        <f>ROUND(196.0,2)</f>
        <v/>
      </c>
      <c r="JH38" s="3">
        <f>ROUND(170.0,2)</f>
        <v/>
      </c>
      <c r="JI38" s="3">
        <f>ROUND(25.0,2)</f>
        <v/>
      </c>
      <c r="JJ38" s="4">
        <f>IFERROR((JD38/JC38),0)</f>
        <v/>
      </c>
      <c r="JK38" s="4">
        <f>IFERROR(((0+JB11+JB12+JB13+JB14+JB15+JB16+JB17+JB19+JB20+JB21+JB22+JB23+JB24+JB25+JB27+JB28+JB29+JB30+JB31+JB32+JB33+JB35+JB36+JB37+JB38)/T2),0)</f>
        <v/>
      </c>
      <c r="JL38" s="5">
        <f>IFERROR(ROUND(JB38/JD38,2),0)</f>
        <v/>
      </c>
      <c r="JM38" s="5">
        <f>IFERROR(ROUND(JB38/JE38,2),0)</f>
        <v/>
      </c>
    </row>
    <row r="39">
      <c r="A39" s="2" t="inlineStr">
        <is>
          <t>2023-10-15</t>
        </is>
      </c>
      <c r="B39" s="5">
        <f>ROUND(167.7,2)</f>
        <v/>
      </c>
      <c r="C39" s="3">
        <f>ROUND(331072.0,2)</f>
        <v/>
      </c>
      <c r="D39" s="3">
        <f>ROUND(12384.0,2)</f>
        <v/>
      </c>
      <c r="E39" s="3">
        <f>ROUND(83758.0,2)</f>
        <v/>
      </c>
      <c r="F39" s="3">
        <f>ROUND(69948.0,2)</f>
        <v/>
      </c>
      <c r="G39" s="3">
        <f>ROUND(34083.0,2)</f>
        <v/>
      </c>
      <c r="H39" s="3">
        <f>ROUND(23477.0,2)</f>
        <v/>
      </c>
      <c r="I39" s="3">
        <f>ROUND(14319.0,2)</f>
        <v/>
      </c>
      <c r="J39" s="4">
        <f>IFERROR((D39/C39),0)</f>
        <v/>
      </c>
      <c r="K39" s="4">
        <f>IFERROR(((0+B11+B12+B13+B14+B15+B16+B17+B19+B20+B21+B22+B23+B24+B25+B27+B28+B29+B30+B31+B32+B33+B35+B36+B37+B38+B39)/T2),0)</f>
        <v/>
      </c>
      <c r="L39" s="5">
        <f>IFERROR(ROUND(B39/D39,2),0)</f>
        <v/>
      </c>
      <c r="M39" s="5">
        <f>IFERROR(ROUND(B39/E39,2),0)</f>
        <v/>
      </c>
      <c r="N39" s="2" t="inlineStr">
        <is>
          <t>2023-10-15</t>
        </is>
      </c>
      <c r="O39" s="5">
        <f>ROUND(2.12,2)</f>
        <v/>
      </c>
      <c r="P39" s="3">
        <f>ROUND(6249.0,2)</f>
        <v/>
      </c>
      <c r="Q39" s="3">
        <f>ROUND(169.0,2)</f>
        <v/>
      </c>
      <c r="R39" s="3">
        <f>ROUND(1055.0,2)</f>
        <v/>
      </c>
      <c r="S39" s="3">
        <f>ROUND(747.0,2)</f>
        <v/>
      </c>
      <c r="T39" s="3">
        <f>ROUND(368.0,2)</f>
        <v/>
      </c>
      <c r="U39" s="3">
        <f>ROUND(229.0,2)</f>
        <v/>
      </c>
      <c r="V39" s="3">
        <f>ROUND(123.0,2)</f>
        <v/>
      </c>
      <c r="W39" s="4">
        <f>IFERROR((Q39/P39),0)</f>
        <v/>
      </c>
      <c r="X39" s="4">
        <f>IFERROR(((0+O11+O12+O13+O14+O15+O16+O17+O19+O20+O21+O22+O23+O24+O25+O27+O28+O29+O30+O31+O32+O33+O35+O36+O37+O38+O39)/T2),0)</f>
        <v/>
      </c>
      <c r="Y39" s="5">
        <f>IFERROR(ROUND(O39/Q39,2),0)</f>
        <v/>
      </c>
      <c r="Z39" s="5">
        <f>IFERROR(ROUND(O39/R39,2),0)</f>
        <v/>
      </c>
      <c r="AA39" s="2" t="inlineStr">
        <is>
          <t>2023-10-15</t>
        </is>
      </c>
      <c r="AB39" s="5">
        <f>ROUND(3.21,2)</f>
        <v/>
      </c>
      <c r="AC39" s="3">
        <f>ROUND(3084.0,2)</f>
        <v/>
      </c>
      <c r="AD39" s="3">
        <f>ROUND(217.0,2)</f>
        <v/>
      </c>
      <c r="AE39" s="3">
        <f>ROUND(1514.0,2)</f>
        <v/>
      </c>
      <c r="AF39" s="3">
        <f>ROUND(1377.0,2)</f>
        <v/>
      </c>
      <c r="AG39" s="3">
        <f>ROUND(878.0,2)</f>
        <v/>
      </c>
      <c r="AH39" s="3">
        <f>ROUND(775.0,2)</f>
        <v/>
      </c>
      <c r="AI39" s="3">
        <f>ROUND(37.0,2)</f>
        <v/>
      </c>
      <c r="AJ39" s="4">
        <f>IFERROR((AD39/AC39),0)</f>
        <v/>
      </c>
      <c r="AK39" s="4">
        <f>IFERROR(((0+AB11+AB12+AB13+AB14+AB15+AB16+AB17+AB19+AB20+AB21+AB22+AB23+AB24+AB25+AB27+AB28+AB29+AB30+AB31+AB32+AB33+AB35+AB36+AB37+AB38+AB39)/T2),0)</f>
        <v/>
      </c>
      <c r="AL39" s="5">
        <f>IFERROR(ROUND(AB39/AD39,2),0)</f>
        <v/>
      </c>
      <c r="AM39" s="5">
        <f>IFERROR(ROUND(AB39/AE39,2),0)</f>
        <v/>
      </c>
      <c r="AN39" s="2" t="inlineStr">
        <is>
          <t>2023-10-15</t>
        </is>
      </c>
      <c r="AO39" s="5">
        <f>ROUND(1.8,2)</f>
        <v/>
      </c>
      <c r="AP39" s="3">
        <f>ROUND(2310.0,2)</f>
        <v/>
      </c>
      <c r="AQ39" s="3">
        <f>ROUND(134.0,2)</f>
        <v/>
      </c>
      <c r="AR39" s="3">
        <f>ROUND(926.0,2)</f>
        <v/>
      </c>
      <c r="AS39" s="3">
        <f>ROUND(833.0,2)</f>
        <v/>
      </c>
      <c r="AT39" s="3">
        <f>ROUND(556.0,2)</f>
        <v/>
      </c>
      <c r="AU39" s="3">
        <f>ROUND(478.0,2)</f>
        <v/>
      </c>
      <c r="AV39" s="3">
        <f>ROUND(424.0,2)</f>
        <v/>
      </c>
      <c r="AW39" s="4">
        <f>IFERROR((AQ39/AP39),0)</f>
        <v/>
      </c>
      <c r="AX39" s="4">
        <f>IFERROR(((0+AO11+AO12+AO13+AO14+AO15+AO16+AO17+AO19+AO20+AO21+AO22+AO23+AO24+AO25+AO27+AO28+AO29+AO30+AO31+AO32+AO33+AO35+AO36+AO37+AO38+AO39)/T2),0)</f>
        <v/>
      </c>
      <c r="AY39" s="5">
        <f>IFERROR(ROUND(AO39/AQ39,2),0)</f>
        <v/>
      </c>
      <c r="AZ39" s="5">
        <f>IFERROR(ROUND(AO39/AR39,2),0)</f>
        <v/>
      </c>
      <c r="BA39" s="2" t="inlineStr">
        <is>
          <t>2023-10-15</t>
        </is>
      </c>
      <c r="BB39" s="5">
        <f>ROUND(14.17,2)</f>
        <v/>
      </c>
      <c r="BC39" s="3">
        <f>ROUND(41826.0,2)</f>
        <v/>
      </c>
      <c r="BD39" s="3">
        <f>ROUND(1177.0,2)</f>
        <v/>
      </c>
      <c r="BE39" s="3">
        <f>ROUND(9090.0,2)</f>
        <v/>
      </c>
      <c r="BF39" s="3">
        <f>ROUND(6652.0,2)</f>
        <v/>
      </c>
      <c r="BG39" s="3">
        <f>ROUND(2909.0,2)</f>
        <v/>
      </c>
      <c r="BH39" s="3">
        <f>ROUND(1650.0,2)</f>
        <v/>
      </c>
      <c r="BI39" s="3">
        <f>ROUND(913.0,2)</f>
        <v/>
      </c>
      <c r="BJ39" s="4">
        <f>IFERROR((BD39/BC39),0)</f>
        <v/>
      </c>
      <c r="BK39" s="4">
        <f>IFERROR(((0+BB11+BB12+BB13+BB14+BB15+BB16+BB17+BB19+BB20+BB21+BB22+BB23+BB24+BB25+BB27+BB28+BB29+BB30+BB31+BB32+BB33+BB35+BB36+BB37+BB38+BB39)/T2),0)</f>
        <v/>
      </c>
      <c r="BL39" s="5">
        <f>IFERROR(ROUND(BB39/BD39,2),0)</f>
        <v/>
      </c>
      <c r="BM39" s="5">
        <f>IFERROR(ROUND(BB39/BE39,2),0)</f>
        <v/>
      </c>
      <c r="BN39" s="2" t="inlineStr">
        <is>
          <t>2023-10-15</t>
        </is>
      </c>
      <c r="BO39" s="5">
        <f>ROUND(19.75,2)</f>
        <v/>
      </c>
      <c r="BP39" s="3">
        <f>ROUND(54196.0,2)</f>
        <v/>
      </c>
      <c r="BQ39" s="3">
        <f>ROUND(1579.0,2)</f>
        <v/>
      </c>
      <c r="BR39" s="3">
        <f>ROUND(12249.0,2)</f>
        <v/>
      </c>
      <c r="BS39" s="3">
        <f>ROUND(10449.0,2)</f>
        <v/>
      </c>
      <c r="BT39" s="3">
        <f>ROUND(5954.0,2)</f>
        <v/>
      </c>
      <c r="BU39" s="3">
        <f>ROUND(4755.0,2)</f>
        <v/>
      </c>
      <c r="BV39" s="3">
        <f>ROUND(2983.0,2)</f>
        <v/>
      </c>
      <c r="BW39" s="4">
        <f>IFERROR((BQ39/BP39),0)</f>
        <v/>
      </c>
      <c r="BX39" s="4">
        <f>IFERROR(((0+BO11+BO12+BO13+BO14+BO15+BO16+BO17+BO19+BO20+BO21+BO22+BO23+BO24+BO25+BO27+BO28+BO29+BO30+BO31+BO32+BO33+BO35+BO36+BO37+BO38+BO39)/T2),0)</f>
        <v/>
      </c>
      <c r="BY39" s="5">
        <f>IFERROR(ROUND(BO39/BQ39,2),0)</f>
        <v/>
      </c>
      <c r="BZ39" s="5">
        <f>IFERROR(ROUND(BO39/BR39,2),0)</f>
        <v/>
      </c>
      <c r="CA39" s="2" t="inlineStr">
        <is>
          <t>2023-10-15</t>
        </is>
      </c>
      <c r="CB39" s="5">
        <f>ROUND(3.8,2)</f>
        <v/>
      </c>
      <c r="CC39" s="3">
        <f>ROUND(8201.0,2)</f>
        <v/>
      </c>
      <c r="CD39" s="3">
        <f>ROUND(307.0,2)</f>
        <v/>
      </c>
      <c r="CE39" s="3">
        <f>ROUND(1999.0,2)</f>
        <v/>
      </c>
      <c r="CF39" s="3">
        <f>ROUND(1520.0,2)</f>
        <v/>
      </c>
      <c r="CG39" s="3">
        <f>ROUND(803.0,2)</f>
        <v/>
      </c>
      <c r="CH39" s="3">
        <f>ROUND(563.0,2)</f>
        <v/>
      </c>
      <c r="CI39" s="3">
        <f>ROUND(184.0,2)</f>
        <v/>
      </c>
      <c r="CJ39" s="4">
        <f>IFERROR((CD39/CC39),0)</f>
        <v/>
      </c>
      <c r="CK39" s="4">
        <f>IFERROR(((0+CB11+CB12+CB13+CB14+CB15+CB16+CB17+CB19+CB20+CB21+CB22+CB23+CB24+CB25+CB27+CB28+CB29+CB30+CB31+CB32+CB33+CB35+CB36+CB37+CB38+CB39)/T2),0)</f>
        <v/>
      </c>
      <c r="CL39" s="5">
        <f>IFERROR(ROUND(CB39/CD39,2),0)</f>
        <v/>
      </c>
      <c r="CM39" s="5">
        <f>IFERROR(ROUND(CB39/CE39,2),0)</f>
        <v/>
      </c>
      <c r="CN39" s="2" t="inlineStr">
        <is>
          <t>2023-10-15</t>
        </is>
      </c>
      <c r="CO39" s="5">
        <f>ROUND(41.68,2)</f>
        <v/>
      </c>
      <c r="CP39" s="3">
        <f>ROUND(52295.0,2)</f>
        <v/>
      </c>
      <c r="CQ39" s="3">
        <f>ROUND(3022.0,2)</f>
        <v/>
      </c>
      <c r="CR39" s="3">
        <f>ROUND(27180.0,2)</f>
        <v/>
      </c>
      <c r="CS39" s="3">
        <f>ROUND(25708.0,2)</f>
        <v/>
      </c>
      <c r="CT39" s="3">
        <f>ROUND(10652.0,2)</f>
        <v/>
      </c>
      <c r="CU39" s="3">
        <f>ROUND(6402.0,2)</f>
        <v/>
      </c>
      <c r="CV39" s="3">
        <f>ROUND(4512.0,2)</f>
        <v/>
      </c>
      <c r="CW39" s="4">
        <f>IFERROR((CQ39/CP39),0)</f>
        <v/>
      </c>
      <c r="CX39" s="4">
        <f>IFERROR(((0+CO11+CO12+CO13+CO14+CO15+CO16+CO17+CO19+CO20+CO21+CO22+CO23+CO24+CO25+CO27+CO28+CO29+CO30+CO31+CO32+CO33+CO35+CO36+CO37+CO38+CO39)/T2),0)</f>
        <v/>
      </c>
      <c r="CY39" s="5">
        <f>IFERROR(ROUND(CO39/CQ39,2),0)</f>
        <v/>
      </c>
      <c r="CZ39" s="5">
        <f>IFERROR(ROUND(CO39/CR39,2),0)</f>
        <v/>
      </c>
      <c r="DA39" s="2" t="inlineStr">
        <is>
          <t>2023-10-15</t>
        </is>
      </c>
      <c r="DB39" s="5">
        <f>ROUND(6.3,2)</f>
        <v/>
      </c>
      <c r="DC39" s="3">
        <f>ROUND(16633.0,2)</f>
        <v/>
      </c>
      <c r="DD39" s="3">
        <f>ROUND(521.0,2)</f>
        <v/>
      </c>
      <c r="DE39" s="3">
        <f>ROUND(1536.0,2)</f>
        <v/>
      </c>
      <c r="DF39" s="3">
        <f>ROUND(868.0,2)</f>
        <v/>
      </c>
      <c r="DG39" s="3">
        <f>ROUND(386.0,2)</f>
        <v/>
      </c>
      <c r="DH39" s="3">
        <f>ROUND(227.0,2)</f>
        <v/>
      </c>
      <c r="DI39" s="3">
        <f>ROUND(116.0,2)</f>
        <v/>
      </c>
      <c r="DJ39" s="4">
        <f>IFERROR((DD39/DC39),0)</f>
        <v/>
      </c>
      <c r="DK39" s="4">
        <f>IFERROR(((0+DB11+DB12+DB13+DB14+DB15+DB16+DB17+DB19+DB20+DB21+DB22+DB23+DB24+DB25+DB27+DB28+DB29+DB30+DB31+DB32+DB33+DB35+DB36+DB37+DB38+DB39)/T2),0)</f>
        <v/>
      </c>
      <c r="DL39" s="5">
        <f>IFERROR(ROUND(DB39/DD39,2),0)</f>
        <v/>
      </c>
      <c r="DM39" s="5">
        <f>IFERROR(ROUND(DB39/DE39,2),0)</f>
        <v/>
      </c>
      <c r="DN39" s="2" t="inlineStr">
        <is>
          <t>2023-10-15</t>
        </is>
      </c>
      <c r="DO39" s="5">
        <f>ROUND(17.08,2)</f>
        <v/>
      </c>
      <c r="DP39" s="3">
        <f>ROUND(46639.0,2)</f>
        <v/>
      </c>
      <c r="DQ39" s="3">
        <f>ROUND(1588.0,2)</f>
        <v/>
      </c>
      <c r="DR39" s="3">
        <f>ROUND(7128.0,2)</f>
        <v/>
      </c>
      <c r="DS39" s="3">
        <f>ROUND(5396.0,2)</f>
        <v/>
      </c>
      <c r="DT39" s="3">
        <f>ROUND(3165.0,2)</f>
        <v/>
      </c>
      <c r="DU39" s="3">
        <f>ROUND(2101.0,2)</f>
        <v/>
      </c>
      <c r="DV39" s="3">
        <f>ROUND(1184.0,2)</f>
        <v/>
      </c>
      <c r="DW39" s="4">
        <f>IFERROR((DQ39/DP39),0)</f>
        <v/>
      </c>
      <c r="DX39" s="4">
        <f>IFERROR(((0+DO11+DO12+DO13+DO14+DO15+DO16+DO17+DO19+DO20+DO21+DO22+DO23+DO24+DO25+DO27+DO28+DO29+DO30+DO31+DO32+DO33+DO35+DO36+DO37+DO38+DO39)/T2),0)</f>
        <v/>
      </c>
      <c r="DY39" s="5">
        <f>IFERROR(ROUND(DO39/DQ39,2),0)</f>
        <v/>
      </c>
      <c r="DZ39" s="5">
        <f>IFERROR(ROUND(DO39/DR39,2),0)</f>
        <v/>
      </c>
      <c r="EA39" s="2" t="inlineStr">
        <is>
          <t>2023-10-15</t>
        </is>
      </c>
      <c r="EB39" s="5">
        <f>ROUND(7.4,2)</f>
        <v/>
      </c>
      <c r="EC39" s="3">
        <f>ROUND(22265.0,2)</f>
        <v/>
      </c>
      <c r="ED39" s="3">
        <f>ROUND(639.0,2)</f>
        <v/>
      </c>
      <c r="EE39" s="3">
        <f>ROUND(4261.0,2)</f>
        <v/>
      </c>
      <c r="EF39" s="3">
        <f>ROUND(2489.0,2)</f>
        <v/>
      </c>
      <c r="EG39" s="3">
        <f>ROUND(1226.0,2)</f>
        <v/>
      </c>
      <c r="EH39" s="3">
        <f>ROUND(946.0,2)</f>
        <v/>
      </c>
      <c r="EI39" s="3">
        <f>ROUND(396.0,2)</f>
        <v/>
      </c>
      <c r="EJ39" s="4">
        <f>IFERROR((ED39/EC39),0)</f>
        <v/>
      </c>
      <c r="EK39" s="4">
        <f>IFERROR(((0+EB11+EB12+EB13+EB14+EB15+EB16+EB17+EB19+EB20+EB21+EB22+EB23+EB24+EB25+EB27+EB28+EB29+EB30+EB31+EB32+EB33+EB35+EB36+EB37+EB38+EB39)/T2),0)</f>
        <v/>
      </c>
      <c r="EL39" s="5">
        <f>IFERROR(ROUND(EB39/ED39,2),0)</f>
        <v/>
      </c>
      <c r="EM39" s="5">
        <f>IFERROR(ROUND(EB39/EE39,2),0)</f>
        <v/>
      </c>
      <c r="EN39" s="2" t="inlineStr">
        <is>
          <t>2023-10-15</t>
        </is>
      </c>
      <c r="EO39" s="5">
        <f>ROUND(3.5,2)</f>
        <v/>
      </c>
      <c r="EP39" s="3">
        <f>ROUND(4849.0,2)</f>
        <v/>
      </c>
      <c r="EQ39" s="3">
        <f>ROUND(221.0,2)</f>
        <v/>
      </c>
      <c r="ER39" s="3">
        <f>ROUND(422.0,2)</f>
        <v/>
      </c>
      <c r="ES39" s="3">
        <f>ROUND(296.0,2)</f>
        <v/>
      </c>
      <c r="ET39" s="3">
        <f>ROUND(153.0,2)</f>
        <v/>
      </c>
      <c r="EU39" s="3">
        <f>ROUND(66.0,2)</f>
        <v/>
      </c>
      <c r="EV39" s="3">
        <f>ROUND(34.0,2)</f>
        <v/>
      </c>
      <c r="EW39" s="4">
        <f>IFERROR((EQ39/EP39),0)</f>
        <v/>
      </c>
      <c r="EX39" s="4">
        <f>IFERROR(((0+EO11+EO12+EO13+EO14+EO15+EO16+EO17+EO19+EO20+EO21+EO22+EO23+EO24+EO25+EO27+EO28+EO29+EO30+EO31+EO32+EO33+EO35+EO36+EO37+EO38+EO39)/T2),0)</f>
        <v/>
      </c>
      <c r="EY39" s="5">
        <f>IFERROR(ROUND(EO39/EQ39,2),0)</f>
        <v/>
      </c>
      <c r="EZ39" s="5">
        <f>IFERROR(ROUND(EO39/ER39,2),0)</f>
        <v/>
      </c>
      <c r="FA39" s="2" t="inlineStr">
        <is>
          <t>2023-10-15</t>
        </is>
      </c>
      <c r="FB39" s="5">
        <f>ROUND(6.81,2)</f>
        <v/>
      </c>
      <c r="FC39" s="3">
        <f>ROUND(10357.0,2)</f>
        <v/>
      </c>
      <c r="FD39" s="3">
        <f>ROUND(425.0,2)</f>
        <v/>
      </c>
      <c r="FE39" s="3">
        <f>ROUND(1150.0,2)</f>
        <v/>
      </c>
      <c r="FF39" s="3">
        <f>ROUND(942.0,2)</f>
        <v/>
      </c>
      <c r="FG39" s="3">
        <f>ROUND(543.0,2)</f>
        <v/>
      </c>
      <c r="FH39" s="3">
        <f>ROUND(388.0,2)</f>
        <v/>
      </c>
      <c r="FI39" s="3">
        <f>ROUND(213.0,2)</f>
        <v/>
      </c>
      <c r="FJ39" s="4">
        <f>IFERROR((FD39/FC39),0)</f>
        <v/>
      </c>
      <c r="FK39" s="4">
        <f>IFERROR(((0+FB11+FB12+FB13+FB14+FB15+FB16+FB17+FB19+FB20+FB21+FB22+FB23+FB24+FB25+FB27+FB28+FB29+FB30+FB31+FB32+FB33+FB35+FB36+FB37+FB38+FB39)/T2),0)</f>
        <v/>
      </c>
      <c r="FL39" s="5">
        <f>IFERROR(ROUND(FB39/FD39,2),0)</f>
        <v/>
      </c>
      <c r="FM39" s="5">
        <f>IFERROR(ROUND(FB39/FE39,2),0)</f>
        <v/>
      </c>
      <c r="FN39" s="2" t="inlineStr">
        <is>
          <t>2023-10-15</t>
        </is>
      </c>
      <c r="FO39" s="5">
        <f>ROUND(0.38,2)</f>
        <v/>
      </c>
      <c r="FP39" s="3">
        <f>ROUND(473.0,2)</f>
        <v/>
      </c>
      <c r="FQ39" s="3">
        <f>ROUND(36.0,2)</f>
        <v/>
      </c>
      <c r="FR39" s="3">
        <f>ROUND(83.0,2)</f>
        <v/>
      </c>
      <c r="FS39" s="3">
        <f>ROUND(67.0,2)</f>
        <v/>
      </c>
      <c r="FT39" s="3">
        <f>ROUND(34.0,2)</f>
        <v/>
      </c>
      <c r="FU39" s="3">
        <f>ROUND(24.0,2)</f>
        <v/>
      </c>
      <c r="FV39" s="3">
        <f>ROUND(8.0,2)</f>
        <v/>
      </c>
      <c r="FW39" s="4">
        <f>IFERROR((FQ39/FP39),0)</f>
        <v/>
      </c>
      <c r="FX39" s="4">
        <f>IFERROR(((0+FO11+FO12+FO13+FO14+FO15+FO16+FO17+FO19+FO20+FO21+FO22+FO23+FO24+FO25+FO27+FO28+FO29+FO30+FO31+FO32+FO33+FO35+FO36+FO37+FO38+FO39)/T2),0)</f>
        <v/>
      </c>
      <c r="FY39" s="5">
        <f>IFERROR(ROUND(FO39/FQ39,2),0)</f>
        <v/>
      </c>
      <c r="FZ39" s="5">
        <f>IFERROR(ROUND(FO39/FR39,2),0)</f>
        <v/>
      </c>
      <c r="GA39" s="2" t="inlineStr">
        <is>
          <t>2023-10-15</t>
        </is>
      </c>
      <c r="GB39" s="5">
        <f>ROUND(9.22,2)</f>
        <v/>
      </c>
      <c r="GC39" s="3">
        <f>ROUND(22187.0,2)</f>
        <v/>
      </c>
      <c r="GD39" s="3">
        <f>ROUND(595.0,2)</f>
        <v/>
      </c>
      <c r="GE39" s="3">
        <f>ROUND(3690.0,2)</f>
        <v/>
      </c>
      <c r="GF39" s="3">
        <f>ROUND(2628.0,2)</f>
        <v/>
      </c>
      <c r="GG39" s="3">
        <f>ROUND(1082.0,2)</f>
        <v/>
      </c>
      <c r="GH39" s="3">
        <f>ROUND(643.0,2)</f>
        <v/>
      </c>
      <c r="GI39" s="3">
        <f>ROUND(306.0,2)</f>
        <v/>
      </c>
      <c r="GJ39" s="4">
        <f>IFERROR((GD39/GC39),0)</f>
        <v/>
      </c>
      <c r="GK39" s="4">
        <f>IFERROR(((0+GB11+GB12+GB13+GB14+GB15+GB16+GB17+GB19+GB20+GB21+GB22+GB23+GB24+GB25+GB27+GB28+GB29+GB30+GB31+GB32+GB33+GB35+GB36+GB37+GB38+GB39)/T2),0)</f>
        <v/>
      </c>
      <c r="GL39" s="5">
        <f>IFERROR(ROUND(GB39/GD39,2),0)</f>
        <v/>
      </c>
      <c r="GM39" s="5">
        <f>IFERROR(ROUND(GB39/GE39,2),0)</f>
        <v/>
      </c>
      <c r="GN39" s="2" t="inlineStr">
        <is>
          <t>2023-10-15</t>
        </is>
      </c>
      <c r="GO39" s="5">
        <f>ROUND(14.22,2)</f>
        <v/>
      </c>
      <c r="GP39" s="3">
        <f>ROUND(13556.0,2)</f>
        <v/>
      </c>
      <c r="GQ39" s="3">
        <f>ROUND(844.0,2)</f>
        <v/>
      </c>
      <c r="GR39" s="3">
        <f>ROUND(4977.0,2)</f>
        <v/>
      </c>
      <c r="GS39" s="3">
        <f>ROUND(4600.0,2)</f>
        <v/>
      </c>
      <c r="GT39" s="3">
        <f>ROUND(2196.0,2)</f>
        <v/>
      </c>
      <c r="GU39" s="3">
        <f>ROUND(1656.0,2)</f>
        <v/>
      </c>
      <c r="GV39" s="3">
        <f>ROUND(1385.0,2)</f>
        <v/>
      </c>
      <c r="GW39" s="4">
        <f>IFERROR((GQ39/GP39),0)</f>
        <v/>
      </c>
      <c r="GX39" s="4">
        <f>IFERROR(((0+GO11+GO12+GO13+GO14+GO15+GO16+GO17+GO19+GO20+GO21+GO22+GO23+GO24+GO25+GO27+GO28+GO29+GO30+GO31+GO32+GO33+GO35+GO36+GO37+GO38+GO39)/T2),0)</f>
        <v/>
      </c>
      <c r="GY39" s="5">
        <f>IFERROR(ROUND(GO39/GQ39,2),0)</f>
        <v/>
      </c>
      <c r="GZ39" s="5">
        <f>IFERROR(ROUND(GO39/GR39,2),0)</f>
        <v/>
      </c>
      <c r="HA39" s="2" t="inlineStr">
        <is>
          <t>2023-10-15</t>
        </is>
      </c>
      <c r="HB39" s="5">
        <f>ROUND(3.27,2)</f>
        <v/>
      </c>
      <c r="HC39" s="3">
        <f>ROUND(2233.0,2)</f>
        <v/>
      </c>
      <c r="HD39" s="3">
        <f>ROUND(186.0,2)</f>
        <v/>
      </c>
      <c r="HE39" s="3">
        <f>ROUND(1025.0,2)</f>
        <v/>
      </c>
      <c r="HF39" s="3">
        <f>ROUND(870.0,2)</f>
        <v/>
      </c>
      <c r="HG39" s="3">
        <f>ROUND(421.0,2)</f>
        <v/>
      </c>
      <c r="HH39" s="3">
        <f>ROUND(356.0,2)</f>
        <v/>
      </c>
      <c r="HI39" s="3">
        <f>ROUND(26.0,2)</f>
        <v/>
      </c>
      <c r="HJ39" s="4">
        <f>IFERROR((HD39/HC39),0)</f>
        <v/>
      </c>
      <c r="HK39" s="4">
        <f>IFERROR(((0+HB11+HB12+HB13+HB14+HB15+HB16+HB17+HB19+HB20+HB21+HB22+HB23+HB24+HB25+HB27+HB28+HB29+HB30+HB31+HB32+HB33+HB35+HB36+HB37+HB38+HB39)/T2),0)</f>
        <v/>
      </c>
      <c r="HL39" s="5">
        <f>IFERROR(ROUND(HB39/HD39,2),0)</f>
        <v/>
      </c>
      <c r="HM39" s="5">
        <f>IFERROR(ROUND(HB39/HE39,2),0)</f>
        <v/>
      </c>
      <c r="HN39" s="2" t="inlineStr">
        <is>
          <t>2023-10-15</t>
        </is>
      </c>
      <c r="HO39" s="5">
        <f>ROUND(1.2,2)</f>
        <v/>
      </c>
      <c r="HP39" s="3">
        <f>ROUND(1913.0,2)</f>
        <v/>
      </c>
      <c r="HQ39" s="3">
        <f>ROUND(54.0,2)</f>
        <v/>
      </c>
      <c r="HR39" s="3">
        <f>ROUND(317.0,2)</f>
        <v/>
      </c>
      <c r="HS39" s="3">
        <f>ROUND(259.0,2)</f>
        <v/>
      </c>
      <c r="HT39" s="3">
        <f>ROUND(148.0,2)</f>
        <v/>
      </c>
      <c r="HU39" s="3">
        <f>ROUND(122.0,2)</f>
        <v/>
      </c>
      <c r="HV39" s="3">
        <f>ROUND(103.0,2)</f>
        <v/>
      </c>
      <c r="HW39" s="4">
        <f>IFERROR((HQ39/HP39),0)</f>
        <v/>
      </c>
      <c r="HX39" s="4">
        <f>IFERROR(((0+HO11+HO12+HO13+HO14+HO15+HO16+HO17+HO19+HO20+HO21+HO22+HO23+HO24+HO25+HO27+HO28+HO29+HO30+HO31+HO32+HO33+HO35+HO36+HO37+HO38+HO39)/T2),0)</f>
        <v/>
      </c>
      <c r="HY39" s="5">
        <f>IFERROR(ROUND(HO39/HQ39,2),0)</f>
        <v/>
      </c>
      <c r="HZ39" s="5">
        <f>IFERROR(ROUND(HO39/HR39,2),0)</f>
        <v/>
      </c>
      <c r="IA39" s="2" t="inlineStr">
        <is>
          <t>2023-10-15</t>
        </is>
      </c>
      <c r="IB39" s="5">
        <f>ROUND(2.49,2)</f>
        <v/>
      </c>
      <c r="IC39" s="3">
        <f>ROUND(5304.0,2)</f>
        <v/>
      </c>
      <c r="ID39" s="3">
        <f>ROUND(161.0,2)</f>
        <v/>
      </c>
      <c r="IE39" s="3">
        <f>ROUND(1154.0,2)</f>
        <v/>
      </c>
      <c r="IF39" s="3">
        <f>ROUND(830.0,2)</f>
        <v/>
      </c>
      <c r="IG39" s="3">
        <f>ROUND(403.0,2)</f>
        <v/>
      </c>
      <c r="IH39" s="3">
        <f>ROUND(300.0,2)</f>
        <v/>
      </c>
      <c r="II39" s="3">
        <f>ROUND(109.0,2)</f>
        <v/>
      </c>
      <c r="IJ39" s="4">
        <f>IFERROR((ID39/IC39),0)</f>
        <v/>
      </c>
      <c r="IK39" s="4">
        <f>IFERROR(((0+IB11+IB12+IB13+IB14+IB15+IB16+IB17+IB19+IB20+IB21+IB22+IB23+IB24+IB25+IB27+IB28+IB29+IB30+IB31+IB32+IB33+IB35+IB36+IB37+IB38+IB39)/T2),0)</f>
        <v/>
      </c>
      <c r="IL39" s="5">
        <f>IFERROR(ROUND(IB39/ID39,2),0)</f>
        <v/>
      </c>
      <c r="IM39" s="5">
        <f>IFERROR(ROUND(IB39/IE39,2),0)</f>
        <v/>
      </c>
      <c r="IN39" s="2" t="inlineStr">
        <is>
          <t>2023-10-15</t>
        </is>
      </c>
      <c r="IO39" s="5">
        <f>ROUND(7.9,2)</f>
        <v/>
      </c>
      <c r="IP39" s="3">
        <f>ROUND(14931.0,2)</f>
        <v/>
      </c>
      <c r="IQ39" s="3">
        <f>ROUND(441.0,2)</f>
        <v/>
      </c>
      <c r="IR39" s="3">
        <f>ROUND(3579.0,2)</f>
        <v/>
      </c>
      <c r="IS39" s="3">
        <f>ROUND(3078.0,2)</f>
        <v/>
      </c>
      <c r="IT39" s="3">
        <f>ROUND(2009.0,2)</f>
        <v/>
      </c>
      <c r="IU39" s="3">
        <f>ROUND(1632.0,2)</f>
        <v/>
      </c>
      <c r="IV39" s="3">
        <f>ROUND(1220.0,2)</f>
        <v/>
      </c>
      <c r="IW39" s="4">
        <f>IFERROR((IQ39/IP39),0)</f>
        <v/>
      </c>
      <c r="IX39" s="4">
        <f>IFERROR(((0+IO11+IO12+IO13+IO14+IO15+IO16+IO17+IO19+IO20+IO21+IO22+IO23+IO24+IO25+IO27+IO28+IO29+IO30+IO31+IO32+IO33+IO35+IO36+IO37+IO38+IO39)/T2),0)</f>
        <v/>
      </c>
      <c r="IY39" s="5">
        <f>IFERROR(ROUND(IO39/IQ39,2),0)</f>
        <v/>
      </c>
      <c r="IZ39" s="5">
        <f>IFERROR(ROUND(IO39/IR39,2),0)</f>
        <v/>
      </c>
      <c r="JA39" s="2" t="inlineStr">
        <is>
          <t>2023-10-15</t>
        </is>
      </c>
      <c r="JB39" s="5">
        <f>ROUND(1.4,2)</f>
        <v/>
      </c>
      <c r="JC39" s="3">
        <f>ROUND(1571.0,2)</f>
        <v/>
      </c>
      <c r="JD39" s="3">
        <f>ROUND(68.0,2)</f>
        <v/>
      </c>
      <c r="JE39" s="3">
        <f>ROUND(423.0,2)</f>
        <v/>
      </c>
      <c r="JF39" s="3">
        <f>ROUND(339.0,2)</f>
        <v/>
      </c>
      <c r="JG39" s="3">
        <f>ROUND(197.0,2)</f>
        <v/>
      </c>
      <c r="JH39" s="3">
        <f>ROUND(164.0,2)</f>
        <v/>
      </c>
      <c r="JI39" s="3">
        <f>ROUND(43.0,2)</f>
        <v/>
      </c>
      <c r="JJ39" s="4">
        <f>IFERROR((JD39/JC39),0)</f>
        <v/>
      </c>
      <c r="JK39" s="4">
        <f>IFERROR(((0+JB11+JB12+JB13+JB14+JB15+JB16+JB17+JB19+JB20+JB21+JB22+JB23+JB24+JB25+JB27+JB28+JB29+JB30+JB31+JB32+JB33+JB35+JB36+JB37+JB38+JB39)/T2),0)</f>
        <v/>
      </c>
      <c r="JL39" s="5">
        <f>IFERROR(ROUND(JB39/JD39,2),0)</f>
        <v/>
      </c>
      <c r="JM39" s="5">
        <f>IFERROR(ROUND(JB39/JE39,2),0)</f>
        <v/>
      </c>
    </row>
    <row r="40">
      <c r="A40" s="2" t="inlineStr">
        <is>
          <t>2023-10-16</t>
        </is>
      </c>
      <c r="B40" s="5">
        <f>ROUND(169.18,2)</f>
        <v/>
      </c>
      <c r="C40" s="3">
        <f>ROUND(300818.0,2)</f>
        <v/>
      </c>
      <c r="D40" s="3">
        <f>ROUND(12534.0,2)</f>
        <v/>
      </c>
      <c r="E40" s="3">
        <f>ROUND(85049.0,2)</f>
        <v/>
      </c>
      <c r="F40" s="3">
        <f>ROUND(72685.0,2)</f>
        <v/>
      </c>
      <c r="G40" s="3">
        <f>ROUND(34907.0,2)</f>
        <v/>
      </c>
      <c r="H40" s="3">
        <f>ROUND(23901.0,2)</f>
        <v/>
      </c>
      <c r="I40" s="3">
        <f>ROUND(14350.0,2)</f>
        <v/>
      </c>
      <c r="J40" s="4">
        <f>IFERROR((D40/C40),0)</f>
        <v/>
      </c>
      <c r="K40" s="4">
        <f>IFERROR(((0+B11+B12+B13+B14+B15+B16+B17+B19+B20+B21+B22+B23+B24+B25+B27+B28+B29+B30+B31+B32+B33+B35+B36+B37+B38+B39+B40)/T2),0)</f>
        <v/>
      </c>
      <c r="L40" s="5">
        <f>IFERROR(ROUND(B40/D40,2),0)</f>
        <v/>
      </c>
      <c r="M40" s="5">
        <f>IFERROR(ROUND(B40/E40,2),0)</f>
        <v/>
      </c>
      <c r="N40" s="2" t="inlineStr">
        <is>
          <t>2023-10-16</t>
        </is>
      </c>
      <c r="O40" s="5">
        <f>ROUND(2.23,2)</f>
        <v/>
      </c>
      <c r="P40" s="3">
        <f>ROUND(6220.0,2)</f>
        <v/>
      </c>
      <c r="Q40" s="3">
        <f>ROUND(178.0,2)</f>
        <v/>
      </c>
      <c r="R40" s="3">
        <f>ROUND(1117.0,2)</f>
        <v/>
      </c>
      <c r="S40" s="3">
        <f>ROUND(845.0,2)</f>
        <v/>
      </c>
      <c r="T40" s="3">
        <f>ROUND(419.0,2)</f>
        <v/>
      </c>
      <c r="U40" s="3">
        <f>ROUND(273.0,2)</f>
        <v/>
      </c>
      <c r="V40" s="3">
        <f>ROUND(106.0,2)</f>
        <v/>
      </c>
      <c r="W40" s="4">
        <f>IFERROR((Q40/P40),0)</f>
        <v/>
      </c>
      <c r="X40" s="4">
        <f>IFERROR(((0+O11+O12+O13+O14+O15+O16+O17+O19+O20+O21+O22+O23+O24+O25+O27+O28+O29+O30+O31+O32+O33+O35+O36+O37+O38+O39+O40)/T2),0)</f>
        <v/>
      </c>
      <c r="Y40" s="5">
        <f>IFERROR(ROUND(O40/Q40,2),0)</f>
        <v/>
      </c>
      <c r="Z40" s="5">
        <f>IFERROR(ROUND(O40/R40,2),0)</f>
        <v/>
      </c>
      <c r="AA40" s="2" t="inlineStr">
        <is>
          <t>2023-10-16</t>
        </is>
      </c>
      <c r="AB40" s="5">
        <f>ROUND(5.23,2)</f>
        <v/>
      </c>
      <c r="AC40" s="3">
        <f>ROUND(4702.0,2)</f>
        <v/>
      </c>
      <c r="AD40" s="3">
        <f>ROUND(356.0,2)</f>
        <v/>
      </c>
      <c r="AE40" s="3">
        <f>ROUND(2398.0,2)</f>
        <v/>
      </c>
      <c r="AF40" s="3">
        <f>ROUND(2162.0,2)</f>
        <v/>
      </c>
      <c r="AG40" s="3">
        <f>ROUND(1366.0,2)</f>
        <v/>
      </c>
      <c r="AH40" s="3">
        <f>ROUND(1184.0,2)</f>
        <v/>
      </c>
      <c r="AI40" s="3">
        <f>ROUND(71.0,2)</f>
        <v/>
      </c>
      <c r="AJ40" s="4">
        <f>IFERROR((AD40/AC40),0)</f>
        <v/>
      </c>
      <c r="AK40" s="4">
        <f>IFERROR(((0+AB11+AB12+AB13+AB14+AB15+AB16+AB17+AB19+AB20+AB21+AB22+AB23+AB24+AB25+AB27+AB28+AB29+AB30+AB31+AB32+AB33+AB35+AB36+AB37+AB38+AB39+AB40)/T2),0)</f>
        <v/>
      </c>
      <c r="AL40" s="5">
        <f>IFERROR(ROUND(AB40/AD40,2),0)</f>
        <v/>
      </c>
      <c r="AM40" s="5">
        <f>IFERROR(ROUND(AB40/AE40,2),0)</f>
        <v/>
      </c>
      <c r="AN40" s="2" t="inlineStr">
        <is>
          <t>2023-10-16</t>
        </is>
      </c>
      <c r="AO40" s="5">
        <f>ROUND(2.55,2)</f>
        <v/>
      </c>
      <c r="AP40" s="3">
        <f>ROUND(2885.0,2)</f>
        <v/>
      </c>
      <c r="AQ40" s="3">
        <f>ROUND(175.0,2)</f>
        <v/>
      </c>
      <c r="AR40" s="3">
        <f>ROUND(1342.0,2)</f>
        <v/>
      </c>
      <c r="AS40" s="3">
        <f>ROUND(1221.0,2)</f>
        <v/>
      </c>
      <c r="AT40" s="3">
        <f>ROUND(764.0,2)</f>
        <v/>
      </c>
      <c r="AU40" s="3">
        <f>ROUND(654.0,2)</f>
        <v/>
      </c>
      <c r="AV40" s="3">
        <f>ROUND(595.0,2)</f>
        <v/>
      </c>
      <c r="AW40" s="4">
        <f>IFERROR((AQ40/AP40),0)</f>
        <v/>
      </c>
      <c r="AX40" s="4">
        <f>IFERROR(((0+AO11+AO12+AO13+AO14+AO15+AO16+AO17+AO19+AO20+AO21+AO22+AO23+AO24+AO25+AO27+AO28+AO29+AO30+AO31+AO32+AO33+AO35+AO36+AO37+AO38+AO39+AO40)/T2),0)</f>
        <v/>
      </c>
      <c r="AY40" s="5">
        <f>IFERROR(ROUND(AO40/AQ40,2),0)</f>
        <v/>
      </c>
      <c r="AZ40" s="5">
        <f>IFERROR(ROUND(AO40/AR40,2),0)</f>
        <v/>
      </c>
      <c r="BA40" s="2" t="inlineStr">
        <is>
          <t>2023-10-16</t>
        </is>
      </c>
      <c r="BB40" s="5">
        <f>ROUND(13.41,2)</f>
        <v/>
      </c>
      <c r="BC40" s="3">
        <f>ROUND(36547.0,2)</f>
        <v/>
      </c>
      <c r="BD40" s="3">
        <f>ROUND(1210.0,2)</f>
        <v/>
      </c>
      <c r="BE40" s="3">
        <f>ROUND(7785.0,2)</f>
        <v/>
      </c>
      <c r="BF40" s="3">
        <f>ROUND(5658.0,2)</f>
        <v/>
      </c>
      <c r="BG40" s="3">
        <f>ROUND(2487.0,2)</f>
        <v/>
      </c>
      <c r="BH40" s="3">
        <f>ROUND(1444.0,2)</f>
        <v/>
      </c>
      <c r="BI40" s="3">
        <f>ROUND(834.0,2)</f>
        <v/>
      </c>
      <c r="BJ40" s="4">
        <f>IFERROR((BD40/BC40),0)</f>
        <v/>
      </c>
      <c r="BK40" s="4">
        <f>IFERROR(((0+BB11+BB12+BB13+BB14+BB15+BB16+BB17+BB19+BB20+BB21+BB22+BB23+BB24+BB25+BB27+BB28+BB29+BB30+BB31+BB32+BB33+BB35+BB36+BB37+BB38+BB39+BB40)/T2),0)</f>
        <v/>
      </c>
      <c r="BL40" s="5">
        <f>IFERROR(ROUND(BB40/BD40,2),0)</f>
        <v/>
      </c>
      <c r="BM40" s="5">
        <f>IFERROR(ROUND(BB40/BE40,2),0)</f>
        <v/>
      </c>
      <c r="BN40" s="2" t="inlineStr">
        <is>
          <t>2023-10-16</t>
        </is>
      </c>
      <c r="BO40" s="5">
        <f>ROUND(16.2,2)</f>
        <v/>
      </c>
      <c r="BP40" s="3">
        <f>ROUND(42178.0,2)</f>
        <v/>
      </c>
      <c r="BQ40" s="3">
        <f>ROUND(1299.0,2)</f>
        <v/>
      </c>
      <c r="BR40" s="3">
        <f>ROUND(9411.0,2)</f>
        <v/>
      </c>
      <c r="BS40" s="3">
        <f>ROUND(7996.0,2)</f>
        <v/>
      </c>
      <c r="BT40" s="3">
        <f>ROUND(4489.0,2)</f>
        <v/>
      </c>
      <c r="BU40" s="3">
        <f>ROUND(3576.0,2)</f>
        <v/>
      </c>
      <c r="BV40" s="3">
        <f>ROUND(2398.0,2)</f>
        <v/>
      </c>
      <c r="BW40" s="4">
        <f>IFERROR((BQ40/BP40),0)</f>
        <v/>
      </c>
      <c r="BX40" s="4">
        <f>IFERROR(((0+BO11+BO12+BO13+BO14+BO15+BO16+BO17+BO19+BO20+BO21+BO22+BO23+BO24+BO25+BO27+BO28+BO29+BO30+BO31+BO32+BO33+BO35+BO36+BO37+BO38+BO39+BO40)/T2),0)</f>
        <v/>
      </c>
      <c r="BY40" s="5">
        <f>IFERROR(ROUND(BO40/BQ40,2),0)</f>
        <v/>
      </c>
      <c r="BZ40" s="5">
        <f>IFERROR(ROUND(BO40/BR40,2),0)</f>
        <v/>
      </c>
      <c r="CA40" s="2" t="inlineStr">
        <is>
          <t>2023-10-16</t>
        </is>
      </c>
      <c r="CB40" s="5">
        <f>ROUND(3.3,2)</f>
        <v/>
      </c>
      <c r="CC40" s="3">
        <f>ROUND(6654.0,2)</f>
        <v/>
      </c>
      <c r="CD40" s="3">
        <f>ROUND(254.0,2)</f>
        <v/>
      </c>
      <c r="CE40" s="3">
        <f>ROUND(1653.0,2)</f>
        <v/>
      </c>
      <c r="CF40" s="3">
        <f>ROUND(1251.0,2)</f>
        <v/>
      </c>
      <c r="CG40" s="3">
        <f>ROUND(629.0,2)</f>
        <v/>
      </c>
      <c r="CH40" s="3">
        <f>ROUND(454.0,2)</f>
        <v/>
      </c>
      <c r="CI40" s="3">
        <f>ROUND(161.0,2)</f>
        <v/>
      </c>
      <c r="CJ40" s="4">
        <f>IFERROR((CD40/CC40),0)</f>
        <v/>
      </c>
      <c r="CK40" s="4">
        <f>IFERROR(((0+CB11+CB12+CB13+CB14+CB15+CB16+CB17+CB19+CB20+CB21+CB22+CB23+CB24+CB25+CB27+CB28+CB29+CB30+CB31+CB32+CB33+CB35+CB36+CB37+CB38+CB39+CB40)/T2),0)</f>
        <v/>
      </c>
      <c r="CL40" s="5">
        <f>IFERROR(ROUND(CB40/CD40,2),0)</f>
        <v/>
      </c>
      <c r="CM40" s="5">
        <f>IFERROR(ROUND(CB40/CE40,2),0)</f>
        <v/>
      </c>
      <c r="CN40" s="2" t="inlineStr">
        <is>
          <t>2023-10-16</t>
        </is>
      </c>
      <c r="CO40" s="5">
        <f>ROUND(47.8,2)</f>
        <v/>
      </c>
      <c r="CP40" s="3">
        <f>ROUND(56213.0,2)</f>
        <v/>
      </c>
      <c r="CQ40" s="3">
        <f>ROUND(3501.0,2)</f>
        <v/>
      </c>
      <c r="CR40" s="3">
        <f>ROUND(32842.0,2)</f>
        <v/>
      </c>
      <c r="CS40" s="3">
        <f>ROUND(31380.0,2)</f>
        <v/>
      </c>
      <c r="CT40" s="3">
        <f>ROUND(13034.0,2)</f>
        <v/>
      </c>
      <c r="CU40" s="3">
        <f>ROUND(7802.0,2)</f>
        <v/>
      </c>
      <c r="CV40" s="3">
        <f>ROUND(5510.0,2)</f>
        <v/>
      </c>
      <c r="CW40" s="4">
        <f>IFERROR((CQ40/CP40),0)</f>
        <v/>
      </c>
      <c r="CX40" s="4">
        <f>IFERROR(((0+CO11+CO12+CO13+CO14+CO15+CO16+CO17+CO19+CO20+CO21+CO22+CO23+CO24+CO25+CO27+CO28+CO29+CO30+CO31+CO32+CO33+CO35+CO36+CO37+CO38+CO39+CO40)/T2),0)</f>
        <v/>
      </c>
      <c r="CY40" s="5">
        <f>IFERROR(ROUND(CO40/CQ40,2),0)</f>
        <v/>
      </c>
      <c r="CZ40" s="5">
        <f>IFERROR(ROUND(CO40/CR40,2),0)</f>
        <v/>
      </c>
      <c r="DA40" s="2" t="inlineStr">
        <is>
          <t>2023-10-16</t>
        </is>
      </c>
      <c r="DB40" s="5">
        <f>ROUND(5.42,2)</f>
        <v/>
      </c>
      <c r="DC40" s="3">
        <f>ROUND(14946.0,2)</f>
        <v/>
      </c>
      <c r="DD40" s="3">
        <f>ROUND(467.0,2)</f>
        <v/>
      </c>
      <c r="DE40" s="3">
        <f>ROUND(1615.0,2)</f>
        <v/>
      </c>
      <c r="DF40" s="3">
        <f>ROUND(936.0,2)</f>
        <v/>
      </c>
      <c r="DG40" s="3">
        <f>ROUND(424.0,2)</f>
        <v/>
      </c>
      <c r="DH40" s="3">
        <f>ROUND(239.0,2)</f>
        <v/>
      </c>
      <c r="DI40" s="3">
        <f>ROUND(111.0,2)</f>
        <v/>
      </c>
      <c r="DJ40" s="4">
        <f>IFERROR((DD40/DC40),0)</f>
        <v/>
      </c>
      <c r="DK40" s="4">
        <f>IFERROR(((0+DB11+DB12+DB13+DB14+DB15+DB16+DB17+DB19+DB20+DB21+DB22+DB23+DB24+DB25+DB27+DB28+DB29+DB30+DB31+DB32+DB33+DB35+DB36+DB37+DB38+DB39+DB40)/T2),0)</f>
        <v/>
      </c>
      <c r="DL40" s="5">
        <f>IFERROR(ROUND(DB40/DD40,2),0)</f>
        <v/>
      </c>
      <c r="DM40" s="5">
        <f>IFERROR(ROUND(DB40/DE40,2),0)</f>
        <v/>
      </c>
      <c r="DN40" s="2" t="inlineStr">
        <is>
          <t>2023-10-16</t>
        </is>
      </c>
      <c r="DO40" s="5">
        <f>ROUND(16.2,2)</f>
        <v/>
      </c>
      <c r="DP40" s="3">
        <f>ROUND(42955.0,2)</f>
        <v/>
      </c>
      <c r="DQ40" s="3">
        <f>ROUND(1476.0,2)</f>
        <v/>
      </c>
      <c r="DR40" s="3">
        <f>ROUND(6616.0,2)</f>
        <v/>
      </c>
      <c r="DS40" s="3">
        <f>ROUND(5054.0,2)</f>
        <v/>
      </c>
      <c r="DT40" s="3">
        <f>ROUND(2988.0,2)</f>
        <v/>
      </c>
      <c r="DU40" s="3">
        <f>ROUND(2034.0,2)</f>
        <v/>
      </c>
      <c r="DV40" s="3">
        <f>ROUND(1060.0,2)</f>
        <v/>
      </c>
      <c r="DW40" s="4">
        <f>IFERROR((DQ40/DP40),0)</f>
        <v/>
      </c>
      <c r="DX40" s="4">
        <f>IFERROR(((0+DO11+DO12+DO13+DO14+DO15+DO16+DO17+DO19+DO20+DO21+DO22+DO23+DO24+DO25+DO27+DO28+DO29+DO30+DO31+DO32+DO33+DO35+DO36+DO37+DO38+DO39+DO40)/T2),0)</f>
        <v/>
      </c>
      <c r="DY40" s="5">
        <f>IFERROR(ROUND(DO40/DQ40,2),0)</f>
        <v/>
      </c>
      <c r="DZ40" s="5">
        <f>IFERROR(ROUND(DO40/DR40,2),0)</f>
        <v/>
      </c>
      <c r="EA40" s="2" t="inlineStr">
        <is>
          <t>2023-10-16</t>
        </is>
      </c>
      <c r="EB40" s="5">
        <f>ROUND(6.65,2)</f>
        <v/>
      </c>
      <c r="EC40" s="3">
        <f>ROUND(18313.0,2)</f>
        <v/>
      </c>
      <c r="ED40" s="3">
        <f>ROUND(584.0,2)</f>
        <v/>
      </c>
      <c r="EE40" s="3">
        <f>ROUND(3731.0,2)</f>
        <v/>
      </c>
      <c r="EF40" s="3">
        <f>ROUND(2322.0,2)</f>
        <v/>
      </c>
      <c r="EG40" s="3">
        <f>ROUND(1157.0,2)</f>
        <v/>
      </c>
      <c r="EH40" s="3">
        <f>ROUND(899.0,2)</f>
        <v/>
      </c>
      <c r="EI40" s="3">
        <f>ROUND(333.0,2)</f>
        <v/>
      </c>
      <c r="EJ40" s="4">
        <f>IFERROR((ED40/EC40),0)</f>
        <v/>
      </c>
      <c r="EK40" s="4">
        <f>IFERROR(((0+EB11+EB12+EB13+EB14+EB15+EB16+EB17+EB19+EB20+EB21+EB22+EB23+EB24+EB25+EB27+EB28+EB29+EB30+EB31+EB32+EB33+EB35+EB36+EB37+EB38+EB39+EB40)/T2),0)</f>
        <v/>
      </c>
      <c r="EL40" s="5">
        <f>IFERROR(ROUND(EB40/ED40,2),0)</f>
        <v/>
      </c>
      <c r="EM40" s="5">
        <f>IFERROR(ROUND(EB40/EE40,2),0)</f>
        <v/>
      </c>
      <c r="EN40" s="2" t="inlineStr">
        <is>
          <t>2023-10-16</t>
        </is>
      </c>
      <c r="EO40" s="5">
        <f>ROUND(2.72,2)</f>
        <v/>
      </c>
      <c r="EP40" s="3">
        <f>ROUND(3653.0,2)</f>
        <v/>
      </c>
      <c r="EQ40" s="3">
        <f>ROUND(180.0,2)</f>
        <v/>
      </c>
      <c r="ER40" s="3">
        <f>ROUND(354.0,2)</f>
        <v/>
      </c>
      <c r="ES40" s="3">
        <f>ROUND(264.0,2)</f>
        <v/>
      </c>
      <c r="ET40" s="3">
        <f>ROUND(145.0,2)</f>
        <v/>
      </c>
      <c r="EU40" s="3">
        <f>ROUND(48.0,2)</f>
        <v/>
      </c>
      <c r="EV40" s="3">
        <f>ROUND(23.0,2)</f>
        <v/>
      </c>
      <c r="EW40" s="4">
        <f>IFERROR((EQ40/EP40),0)</f>
        <v/>
      </c>
      <c r="EX40" s="4">
        <f>IFERROR(((0+EO11+EO12+EO13+EO14+EO15+EO16+EO17+EO19+EO20+EO21+EO22+EO23+EO24+EO25+EO27+EO28+EO29+EO30+EO31+EO32+EO33+EO35+EO36+EO37+EO38+EO39+EO40)/T2),0)</f>
        <v/>
      </c>
      <c r="EY40" s="5">
        <f>IFERROR(ROUND(EO40/EQ40,2),0)</f>
        <v/>
      </c>
      <c r="EZ40" s="5">
        <f>IFERROR(ROUND(EO40/ER40,2),0)</f>
        <v/>
      </c>
      <c r="FA40" s="2" t="inlineStr">
        <is>
          <t>2023-10-16</t>
        </is>
      </c>
      <c r="FB40" s="5">
        <f>ROUND(6.12,2)</f>
        <v/>
      </c>
      <c r="FC40" s="3">
        <f>ROUND(9035.0,2)</f>
        <v/>
      </c>
      <c r="FD40" s="3">
        <f>ROUND(384.0,2)</f>
        <v/>
      </c>
      <c r="FE40" s="3">
        <f>ROUND(1051.0,2)</f>
        <v/>
      </c>
      <c r="FF40" s="3">
        <f>ROUND(846.0,2)</f>
        <v/>
      </c>
      <c r="FG40" s="3">
        <f>ROUND(475.0,2)</f>
        <v/>
      </c>
      <c r="FH40" s="3">
        <f>ROUND(340.0,2)</f>
        <v/>
      </c>
      <c r="FI40" s="3">
        <f>ROUND(145.0,2)</f>
        <v/>
      </c>
      <c r="FJ40" s="4">
        <f>IFERROR((FD40/FC40),0)</f>
        <v/>
      </c>
      <c r="FK40" s="4">
        <f>IFERROR(((0+FB11+FB12+FB13+FB14+FB15+FB16+FB17+FB19+FB20+FB21+FB22+FB23+FB24+FB25+FB27+FB28+FB29+FB30+FB31+FB32+FB33+FB35+FB36+FB37+FB38+FB39+FB40)/T2),0)</f>
        <v/>
      </c>
      <c r="FL40" s="5">
        <f>IFERROR(ROUND(FB40/FD40,2),0)</f>
        <v/>
      </c>
      <c r="FM40" s="5">
        <f>IFERROR(ROUND(FB40/FE40,2),0)</f>
        <v/>
      </c>
      <c r="FN40" s="2" t="inlineStr">
        <is>
          <t>2023-10-16</t>
        </is>
      </c>
      <c r="FO40" s="5">
        <f>ROUND(0.87,2)</f>
        <v/>
      </c>
      <c r="FP40" s="3">
        <f>ROUND(1306.0,2)</f>
        <v/>
      </c>
      <c r="FQ40" s="3">
        <f>ROUND(75.0,2)</f>
        <v/>
      </c>
      <c r="FR40" s="3">
        <f>ROUND(127.0,2)</f>
        <v/>
      </c>
      <c r="FS40" s="3">
        <f>ROUND(93.0,2)</f>
        <v/>
      </c>
      <c r="FT40" s="3">
        <f>ROUND(46.0,2)</f>
        <v/>
      </c>
      <c r="FU40" s="3">
        <f>ROUND(37.0,2)</f>
        <v/>
      </c>
      <c r="FV40" s="3">
        <f>ROUND(10.0,2)</f>
        <v/>
      </c>
      <c r="FW40" s="4">
        <f>IFERROR((FQ40/FP40),0)</f>
        <v/>
      </c>
      <c r="FX40" s="4">
        <f>IFERROR(((0+FO11+FO12+FO13+FO14+FO15+FO16+FO17+FO19+FO20+FO21+FO22+FO23+FO24+FO25+FO27+FO28+FO29+FO30+FO31+FO32+FO33+FO35+FO36+FO37+FO38+FO39+FO40)/T2),0)</f>
        <v/>
      </c>
      <c r="FY40" s="5">
        <f>IFERROR(ROUND(FO40/FQ40,2),0)</f>
        <v/>
      </c>
      <c r="FZ40" s="5">
        <f>IFERROR(ROUND(FO40/FR40,2),0)</f>
        <v/>
      </c>
      <c r="GA40" s="2" t="inlineStr">
        <is>
          <t>2023-10-16</t>
        </is>
      </c>
      <c r="GB40" s="5">
        <f>ROUND(7.34,2)</f>
        <v/>
      </c>
      <c r="GC40" s="3">
        <f>ROUND(16222.0,2)</f>
        <v/>
      </c>
      <c r="GD40" s="3">
        <f>ROUND(448.0,2)</f>
        <v/>
      </c>
      <c r="GE40" s="3">
        <f>ROUND(2907.0,2)</f>
        <v/>
      </c>
      <c r="GF40" s="3">
        <f>ROUND(2069.0,2)</f>
        <v/>
      </c>
      <c r="GG40" s="3">
        <f>ROUND(854.0,2)</f>
        <v/>
      </c>
      <c r="GH40" s="3">
        <f>ROUND(535.0,2)</f>
        <v/>
      </c>
      <c r="GI40" s="3">
        <f>ROUND(201.0,2)</f>
        <v/>
      </c>
      <c r="GJ40" s="4">
        <f>IFERROR((GD40/GC40),0)</f>
        <v/>
      </c>
      <c r="GK40" s="4">
        <f>IFERROR(((0+GB11+GB12+GB13+GB14+GB15+GB16+GB17+GB19+GB20+GB21+GB22+GB23+GB24+GB25+GB27+GB28+GB29+GB30+GB31+GB32+GB33+GB35+GB36+GB37+GB38+GB39+GB40)/T2),0)</f>
        <v/>
      </c>
      <c r="GL40" s="5">
        <f>IFERROR(ROUND(GB40/GD40,2),0)</f>
        <v/>
      </c>
      <c r="GM40" s="5">
        <f>IFERROR(ROUND(GB40/GE40,2),0)</f>
        <v/>
      </c>
      <c r="GN40" s="2" t="inlineStr">
        <is>
          <t>2023-10-16</t>
        </is>
      </c>
      <c r="GO40" s="5">
        <f>ROUND(18.19,2)</f>
        <v/>
      </c>
      <c r="GP40" s="3">
        <f>ROUND(17237.0,2)</f>
        <v/>
      </c>
      <c r="GQ40" s="3">
        <f>ROUND(1105.0,2)</f>
        <v/>
      </c>
      <c r="GR40" s="3">
        <f>ROUND(6348.0,2)</f>
        <v/>
      </c>
      <c r="GS40" s="3">
        <f>ROUND(5781.0,2)</f>
        <v/>
      </c>
      <c r="GT40" s="3">
        <f>ROUND(2857.0,2)</f>
        <v/>
      </c>
      <c r="GU40" s="3">
        <f>ROUND(2114.0,2)</f>
        <v/>
      </c>
      <c r="GV40" s="3">
        <f>ROUND(1759.0,2)</f>
        <v/>
      </c>
      <c r="GW40" s="4">
        <f>IFERROR((GQ40/GP40),0)</f>
        <v/>
      </c>
      <c r="GX40" s="4">
        <f>IFERROR(((0+GO11+GO12+GO13+GO14+GO15+GO16+GO17+GO19+GO20+GO21+GO22+GO23+GO24+GO25+GO27+GO28+GO29+GO30+GO31+GO32+GO33+GO35+GO36+GO37+GO38+GO39+GO40)/T2),0)</f>
        <v/>
      </c>
      <c r="GY40" s="5">
        <f>IFERROR(ROUND(GO40/GQ40,2),0)</f>
        <v/>
      </c>
      <c r="GZ40" s="5">
        <f>IFERROR(ROUND(GO40/GR40,2),0)</f>
        <v/>
      </c>
      <c r="HA40" s="2" t="inlineStr">
        <is>
          <t>2023-10-16</t>
        </is>
      </c>
      <c r="HB40" s="5">
        <f>ROUND(4.7,2)</f>
        <v/>
      </c>
      <c r="HC40" s="3">
        <f>ROUND(3012.0,2)</f>
        <v/>
      </c>
      <c r="HD40" s="3">
        <f>ROUND(256.0,2)</f>
        <v/>
      </c>
      <c r="HE40" s="3">
        <f>ROUND(1501.0,2)</f>
        <v/>
      </c>
      <c r="HF40" s="3">
        <f>ROUND(1284.0,2)</f>
        <v/>
      </c>
      <c r="HG40" s="3">
        <f>ROUND(678.0,2)</f>
        <v/>
      </c>
      <c r="HH40" s="3">
        <f>ROUND(585.0,2)</f>
        <v/>
      </c>
      <c r="HI40" s="3">
        <f>ROUND(42.0,2)</f>
        <v/>
      </c>
      <c r="HJ40" s="4">
        <f>IFERROR((HD40/HC40),0)</f>
        <v/>
      </c>
      <c r="HK40" s="4">
        <f>IFERROR(((0+HB11+HB12+HB13+HB14+HB15+HB16+HB17+HB19+HB20+HB21+HB22+HB23+HB24+HB25+HB27+HB28+HB29+HB30+HB31+HB32+HB33+HB35+HB36+HB37+HB38+HB39+HB40)/T2),0)</f>
        <v/>
      </c>
      <c r="HL40" s="5">
        <f>IFERROR(ROUND(HB40/HD40,2),0)</f>
        <v/>
      </c>
      <c r="HM40" s="5">
        <f>IFERROR(ROUND(HB40/HE40,2),0)</f>
        <v/>
      </c>
      <c r="HN40" s="2" t="inlineStr">
        <is>
          <t>2023-10-16</t>
        </is>
      </c>
      <c r="HO40" s="5">
        <f>ROUND(0.79,2)</f>
        <v/>
      </c>
      <c r="HP40" s="3">
        <f>ROUND(1370.0,2)</f>
        <v/>
      </c>
      <c r="HQ40" s="3">
        <f>ROUND(44.0,2)</f>
        <v/>
      </c>
      <c r="HR40" s="3">
        <f>ROUND(279.0,2)</f>
        <v/>
      </c>
      <c r="HS40" s="3">
        <f>ROUND(230.0,2)</f>
        <v/>
      </c>
      <c r="HT40" s="3">
        <f>ROUND(145.0,2)</f>
        <v/>
      </c>
      <c r="HU40" s="3">
        <f>ROUND(120.0,2)</f>
        <v/>
      </c>
      <c r="HV40" s="3">
        <f>ROUND(92.0,2)</f>
        <v/>
      </c>
      <c r="HW40" s="4">
        <f>IFERROR((HQ40/HP40),0)</f>
        <v/>
      </c>
      <c r="HX40" s="4">
        <f>IFERROR(((0+HO11+HO12+HO13+HO14+HO15+HO16+HO17+HO19+HO20+HO21+HO22+HO23+HO24+HO25+HO27+HO28+HO29+HO30+HO31+HO32+HO33+HO35+HO36+HO37+HO38+HO39+HO40)/T2),0)</f>
        <v/>
      </c>
      <c r="HY40" s="5">
        <f>IFERROR(ROUND(HO40/HQ40,2),0)</f>
        <v/>
      </c>
      <c r="HZ40" s="5">
        <f>IFERROR(ROUND(HO40/HR40,2),0)</f>
        <v/>
      </c>
      <c r="IA40" s="2" t="inlineStr">
        <is>
          <t>2023-10-16</t>
        </is>
      </c>
      <c r="IB40" s="5">
        <f>ROUND(2.28,2)</f>
        <v/>
      </c>
      <c r="IC40" s="3">
        <f>ROUND(4812.0,2)</f>
        <v/>
      </c>
      <c r="ID40" s="3">
        <f>ROUND(127.0,2)</f>
        <v/>
      </c>
      <c r="IE40" s="3">
        <f>ROUND(1036.0,2)</f>
        <v/>
      </c>
      <c r="IF40" s="3">
        <f>ROUND(746.0,2)</f>
        <v/>
      </c>
      <c r="IG40" s="3">
        <f>ROUND(353.0,2)</f>
        <v/>
      </c>
      <c r="IH40" s="3">
        <f>ROUND(266.0,2)</f>
        <v/>
      </c>
      <c r="II40" s="3">
        <f>ROUND(76.0,2)</f>
        <v/>
      </c>
      <c r="IJ40" s="4">
        <f>IFERROR((ID40/IC40),0)</f>
        <v/>
      </c>
      <c r="IK40" s="4">
        <f>IFERROR(((0+IB11+IB12+IB13+IB14+IB15+IB16+IB17+IB19+IB20+IB21+IB22+IB23+IB24+IB25+IB27+IB28+IB29+IB30+IB31+IB32+IB33+IB35+IB36+IB37+IB38+IB39+IB40)/T2),0)</f>
        <v/>
      </c>
      <c r="IL40" s="5">
        <f>IFERROR(ROUND(IB40/ID40,2),0)</f>
        <v/>
      </c>
      <c r="IM40" s="5">
        <f>IFERROR(ROUND(IB40/IE40,2),0)</f>
        <v/>
      </c>
      <c r="IN40" s="2" t="inlineStr">
        <is>
          <t>2023-10-16</t>
        </is>
      </c>
      <c r="IO40" s="5">
        <f>ROUND(5.82,2)</f>
        <v/>
      </c>
      <c r="IP40" s="3">
        <f>ROUND(11212.0,2)</f>
        <v/>
      </c>
      <c r="IQ40" s="3">
        <f>ROUND(348.0,2)</f>
        <v/>
      </c>
      <c r="IR40" s="3">
        <f>ROUND(2534.0,2)</f>
        <v/>
      </c>
      <c r="IS40" s="3">
        <f>ROUND(2206.0,2)</f>
        <v/>
      </c>
      <c r="IT40" s="3">
        <f>ROUND(1403.0,2)</f>
        <v/>
      </c>
      <c r="IU40" s="3">
        <f>ROUND(1143.0,2)</f>
        <v/>
      </c>
      <c r="IV40" s="3">
        <f>ROUND(801.0,2)</f>
        <v/>
      </c>
      <c r="IW40" s="4">
        <f>IFERROR((IQ40/IP40),0)</f>
        <v/>
      </c>
      <c r="IX40" s="4">
        <f>IFERROR(((0+IO11+IO12+IO13+IO14+IO15+IO16+IO17+IO19+IO20+IO21+IO22+IO23+IO24+IO25+IO27+IO28+IO29+IO30+IO31+IO32+IO33+IO35+IO36+IO37+IO38+IO39+IO40)/T2),0)</f>
        <v/>
      </c>
      <c r="IY40" s="5">
        <f>IFERROR(ROUND(IO40/IQ40,2),0)</f>
        <v/>
      </c>
      <c r="IZ40" s="5">
        <f>IFERROR(ROUND(IO40/IR40,2),0)</f>
        <v/>
      </c>
      <c r="JA40" s="2" t="inlineStr">
        <is>
          <t>2023-10-16</t>
        </is>
      </c>
      <c r="JB40" s="5">
        <f>ROUND(1.36,2)</f>
        <v/>
      </c>
      <c r="JC40" s="3">
        <f>ROUND(1346.0,2)</f>
        <v/>
      </c>
      <c r="JD40" s="3">
        <f>ROUND(67.0,2)</f>
        <v/>
      </c>
      <c r="JE40" s="3">
        <f>ROUND(402.0,2)</f>
        <v/>
      </c>
      <c r="JF40" s="3">
        <f>ROUND(341.0,2)</f>
        <v/>
      </c>
      <c r="JG40" s="3">
        <f>ROUND(194.0,2)</f>
        <v/>
      </c>
      <c r="JH40" s="3">
        <f>ROUND(154.0,2)</f>
        <v/>
      </c>
      <c r="JI40" s="3">
        <f>ROUND(22.0,2)</f>
        <v/>
      </c>
      <c r="JJ40" s="4">
        <f>IFERROR((JD40/JC40),0)</f>
        <v/>
      </c>
      <c r="JK40" s="4">
        <f>IFERROR(((0+JB11+JB12+JB13+JB14+JB15+JB16+JB17+JB19+JB20+JB21+JB22+JB23+JB24+JB25+JB27+JB28+JB29+JB30+JB31+JB32+JB33+JB35+JB36+JB37+JB38+JB39+JB40)/T2),0)</f>
        <v/>
      </c>
      <c r="JL40" s="5">
        <f>IFERROR(ROUND(JB40/JD40,2),0)</f>
        <v/>
      </c>
      <c r="JM40" s="5">
        <f>IFERROR(ROUND(JB40/JE40,2),0)</f>
        <v/>
      </c>
    </row>
    <row r="41">
      <c r="A41" s="2" t="inlineStr">
        <is>
          <t>2023-10-17</t>
        </is>
      </c>
      <c r="B41" s="5">
        <f>ROUND(167.59,2)</f>
        <v/>
      </c>
      <c r="C41" s="3">
        <f>ROUND(298897.0,2)</f>
        <v/>
      </c>
      <c r="D41" s="3">
        <f>ROUND(12357.0,2)</f>
        <v/>
      </c>
      <c r="E41" s="3">
        <f>ROUND(89571.0,2)</f>
        <v/>
      </c>
      <c r="F41" s="3">
        <f>ROUND(77537.0,2)</f>
        <v/>
      </c>
      <c r="G41" s="3">
        <f>ROUND(37902.0,2)</f>
        <v/>
      </c>
      <c r="H41" s="3">
        <f>ROUND(26232.0,2)</f>
        <v/>
      </c>
      <c r="I41" s="3">
        <f>ROUND(16144.0,2)</f>
        <v/>
      </c>
      <c r="J41" s="4">
        <f>IFERROR((D41/C41),0)</f>
        <v/>
      </c>
      <c r="K41" s="4">
        <f>IFERROR(((0+B11+B12+B13+B14+B15+B16+B17+B19+B20+B21+B22+B23+B24+B25+B27+B28+B29+B30+B31+B32+B33+B35+B36+B37+B38+B39+B40+B41)/T2),0)</f>
        <v/>
      </c>
      <c r="L41" s="5">
        <f>IFERROR(ROUND(B41/D41,2),0)</f>
        <v/>
      </c>
      <c r="M41" s="5">
        <f>IFERROR(ROUND(B41/E41,2),0)</f>
        <v/>
      </c>
      <c r="N41" s="2" t="inlineStr">
        <is>
          <t>2023-10-17</t>
        </is>
      </c>
      <c r="O41" s="5">
        <f>ROUND(2.35,2)</f>
        <v/>
      </c>
      <c r="P41" s="3">
        <f>ROUND(6364.0,2)</f>
        <v/>
      </c>
      <c r="Q41" s="3">
        <f>ROUND(171.0,2)</f>
        <v/>
      </c>
      <c r="R41" s="3">
        <f>ROUND(1498.0,2)</f>
        <v/>
      </c>
      <c r="S41" s="3">
        <f>ROUND(1136.0,2)</f>
        <v/>
      </c>
      <c r="T41" s="3">
        <f>ROUND(570.0,2)</f>
        <v/>
      </c>
      <c r="U41" s="3">
        <f>ROUND(367.0,2)</f>
        <v/>
      </c>
      <c r="V41" s="3">
        <f>ROUND(160.0,2)</f>
        <v/>
      </c>
      <c r="W41" s="4">
        <f>IFERROR((Q41/P41),0)</f>
        <v/>
      </c>
      <c r="X41" s="4">
        <f>IFERROR(((0+O11+O12+O13+O14+O15+O16+O17+O19+O20+O21+O22+O23+O24+O25+O27+O28+O29+O30+O31+O32+O33+O35+O36+O37+O38+O39+O40+O41)/T2),0)</f>
        <v/>
      </c>
      <c r="Y41" s="5">
        <f>IFERROR(ROUND(O41/Q41,2),0)</f>
        <v/>
      </c>
      <c r="Z41" s="5">
        <f>IFERROR(ROUND(O41/R41,2),0)</f>
        <v/>
      </c>
      <c r="AA41" s="2" t="inlineStr">
        <is>
          <t>2023-10-17</t>
        </is>
      </c>
      <c r="AB41" s="5">
        <f>ROUND(4.89,2)</f>
        <v/>
      </c>
      <c r="AC41" s="3">
        <f>ROUND(5054.0,2)</f>
        <v/>
      </c>
      <c r="AD41" s="3">
        <f>ROUND(372.0,2)</f>
        <v/>
      </c>
      <c r="AE41" s="3">
        <f>ROUND(2629.0,2)</f>
        <v/>
      </c>
      <c r="AF41" s="3">
        <f>ROUND(2381.0,2)</f>
        <v/>
      </c>
      <c r="AG41" s="3">
        <f>ROUND(1517.0,2)</f>
        <v/>
      </c>
      <c r="AH41" s="3">
        <f>ROUND(1304.0,2)</f>
        <v/>
      </c>
      <c r="AI41" s="3">
        <f>ROUND(90.0,2)</f>
        <v/>
      </c>
      <c r="AJ41" s="4">
        <f>IFERROR((AD41/AC41),0)</f>
        <v/>
      </c>
      <c r="AK41" s="4">
        <f>IFERROR(((0+AB11+AB12+AB13+AB14+AB15+AB16+AB17+AB19+AB20+AB21+AB22+AB23+AB24+AB25+AB27+AB28+AB29+AB30+AB31+AB32+AB33+AB35+AB36+AB37+AB38+AB39+AB40+AB41)/T2),0)</f>
        <v/>
      </c>
      <c r="AL41" s="5">
        <f>IFERROR(ROUND(AB41/AD41,2),0)</f>
        <v/>
      </c>
      <c r="AM41" s="5">
        <f>IFERROR(ROUND(AB41/AE41,2),0)</f>
        <v/>
      </c>
      <c r="AN41" s="2" t="inlineStr">
        <is>
          <t>2023-10-17</t>
        </is>
      </c>
      <c r="AO41" s="5">
        <f>ROUND(2.96,2)</f>
        <v/>
      </c>
      <c r="AP41" s="3">
        <f>ROUND(3369.0,2)</f>
        <v/>
      </c>
      <c r="AQ41" s="3">
        <f>ROUND(205.0,2)</f>
        <v/>
      </c>
      <c r="AR41" s="3">
        <f>ROUND(1662.0,2)</f>
        <v/>
      </c>
      <c r="AS41" s="3">
        <f>ROUND(1541.0,2)</f>
        <v/>
      </c>
      <c r="AT41" s="3">
        <f>ROUND(1027.0,2)</f>
        <v/>
      </c>
      <c r="AU41" s="3">
        <f>ROUND(878.0,2)</f>
        <v/>
      </c>
      <c r="AV41" s="3">
        <f>ROUND(789.0,2)</f>
        <v/>
      </c>
      <c r="AW41" s="4">
        <f>IFERROR((AQ41/AP41),0)</f>
        <v/>
      </c>
      <c r="AX41" s="4">
        <f>IFERROR(((0+AO11+AO12+AO13+AO14+AO15+AO16+AO17+AO19+AO20+AO21+AO22+AO23+AO24+AO25+AO27+AO28+AO29+AO30+AO31+AO32+AO33+AO35+AO36+AO37+AO38+AO39+AO40+AO41)/T2),0)</f>
        <v/>
      </c>
      <c r="AY41" s="5">
        <f>IFERROR(ROUND(AO41/AQ41,2),0)</f>
        <v/>
      </c>
      <c r="AZ41" s="5">
        <f>IFERROR(ROUND(AO41/AR41,2),0)</f>
        <v/>
      </c>
      <c r="BA41" s="2" t="inlineStr">
        <is>
          <t>2023-10-17</t>
        </is>
      </c>
      <c r="BB41" s="5">
        <f>ROUND(13.37,2)</f>
        <v/>
      </c>
      <c r="BC41" s="3">
        <f>ROUND(40167.0,2)</f>
        <v/>
      </c>
      <c r="BD41" s="3">
        <f>ROUND(1169.0,2)</f>
        <v/>
      </c>
      <c r="BE41" s="3">
        <f>ROUND(8052.0,2)</f>
        <v/>
      </c>
      <c r="BF41" s="3">
        <f>ROUND(5931.0,2)</f>
        <v/>
      </c>
      <c r="BG41" s="3">
        <f>ROUND(2515.0,2)</f>
        <v/>
      </c>
      <c r="BH41" s="3">
        <f>ROUND(1440.0,2)</f>
        <v/>
      </c>
      <c r="BI41" s="3">
        <f>ROUND(773.0,2)</f>
        <v/>
      </c>
      <c r="BJ41" s="4">
        <f>IFERROR((BD41/BC41),0)</f>
        <v/>
      </c>
      <c r="BK41" s="4">
        <f>IFERROR(((0+BB11+BB12+BB13+BB14+BB15+BB16+BB17+BB19+BB20+BB21+BB22+BB23+BB24+BB25+BB27+BB28+BB29+BB30+BB31+BB32+BB33+BB35+BB36+BB37+BB38+BB39+BB40+BB41)/T2),0)</f>
        <v/>
      </c>
      <c r="BL41" s="5">
        <f>IFERROR(ROUND(BB41/BD41,2),0)</f>
        <v/>
      </c>
      <c r="BM41" s="5">
        <f>IFERROR(ROUND(BB41/BE41,2),0)</f>
        <v/>
      </c>
      <c r="BN41" s="2" t="inlineStr">
        <is>
          <t>2023-10-17</t>
        </is>
      </c>
      <c r="BO41" s="5">
        <f>ROUND(18.03,2)</f>
        <v/>
      </c>
      <c r="BP41" s="3">
        <f>ROUND(46327.0,2)</f>
        <v/>
      </c>
      <c r="BQ41" s="3">
        <f>ROUND(1495.0,2)</f>
        <v/>
      </c>
      <c r="BR41" s="3">
        <f>ROUND(10874.0,2)</f>
        <v/>
      </c>
      <c r="BS41" s="3">
        <f>ROUND(9348.0,2)</f>
        <v/>
      </c>
      <c r="BT41" s="3">
        <f>ROUND(5382.0,2)</f>
        <v/>
      </c>
      <c r="BU41" s="3">
        <f>ROUND(4355.0,2)</f>
        <v/>
      </c>
      <c r="BV41" s="3">
        <f>ROUND(3008.0,2)</f>
        <v/>
      </c>
      <c r="BW41" s="4">
        <f>IFERROR((BQ41/BP41),0)</f>
        <v/>
      </c>
      <c r="BX41" s="4">
        <f>IFERROR(((0+BO11+BO12+BO13+BO14+BO15+BO16+BO17+BO19+BO20+BO21+BO22+BO23+BO24+BO25+BO27+BO28+BO29+BO30+BO31+BO32+BO33+BO35+BO36+BO37+BO38+BO39+BO40+BO41)/T2),0)</f>
        <v/>
      </c>
      <c r="BY41" s="5">
        <f>IFERROR(ROUND(BO41/BQ41,2),0)</f>
        <v/>
      </c>
      <c r="BZ41" s="5">
        <f>IFERROR(ROUND(BO41/BR41,2),0)</f>
        <v/>
      </c>
      <c r="CA41" s="2" t="inlineStr">
        <is>
          <t>2023-10-17</t>
        </is>
      </c>
      <c r="CB41" s="5">
        <f>ROUND(2.68,2)</f>
        <v/>
      </c>
      <c r="CC41" s="3">
        <f>ROUND(5376.0,2)</f>
        <v/>
      </c>
      <c r="CD41" s="3">
        <f>ROUND(202.0,2)</f>
        <v/>
      </c>
      <c r="CE41" s="3">
        <f>ROUND(1373.0,2)</f>
        <v/>
      </c>
      <c r="CF41" s="3">
        <f>ROUND(1037.0,2)</f>
        <v/>
      </c>
      <c r="CG41" s="3">
        <f>ROUND(496.0,2)</f>
        <v/>
      </c>
      <c r="CH41" s="3">
        <f>ROUND(337.0,2)</f>
        <v/>
      </c>
      <c r="CI41" s="3">
        <f>ROUND(109.0,2)</f>
        <v/>
      </c>
      <c r="CJ41" s="4">
        <f>IFERROR((CD41/CC41),0)</f>
        <v/>
      </c>
      <c r="CK41" s="4">
        <f>IFERROR(((0+CB11+CB12+CB13+CB14+CB15+CB16+CB17+CB19+CB20+CB21+CB22+CB23+CB24+CB25+CB27+CB28+CB29+CB30+CB31+CB32+CB33+CB35+CB36+CB37+CB38+CB39+CB40+CB41)/T2),0)</f>
        <v/>
      </c>
      <c r="CL41" s="5">
        <f>IFERROR(ROUND(CB41/CD41,2),0)</f>
        <v/>
      </c>
      <c r="CM41" s="5">
        <f>IFERROR(ROUND(CB41/CE41,2),0)</f>
        <v/>
      </c>
      <c r="CN41" s="2" t="inlineStr">
        <is>
          <t>2023-10-17</t>
        </is>
      </c>
      <c r="CO41" s="5">
        <f>ROUND(47.4,2)</f>
        <v/>
      </c>
      <c r="CP41" s="3">
        <f>ROUND(54357.0,2)</f>
        <v/>
      </c>
      <c r="CQ41" s="3">
        <f>ROUND(3515.0,2)</f>
        <v/>
      </c>
      <c r="CR41" s="3">
        <f>ROUND(34926.0,2)</f>
        <v/>
      </c>
      <c r="CS41" s="3">
        <f>ROUND(33580.0,2)</f>
        <v/>
      </c>
      <c r="CT41" s="3">
        <f>ROUND(14575.0,2)</f>
        <v/>
      </c>
      <c r="CU41" s="3">
        <f>ROUND(8948.0,2)</f>
        <v/>
      </c>
      <c r="CV41" s="3">
        <f>ROUND(6397.0,2)</f>
        <v/>
      </c>
      <c r="CW41" s="4">
        <f>IFERROR((CQ41/CP41),0)</f>
        <v/>
      </c>
      <c r="CX41" s="4">
        <f>IFERROR(((0+CO11+CO12+CO13+CO14+CO15+CO16+CO17+CO19+CO20+CO21+CO22+CO23+CO24+CO25+CO27+CO28+CO29+CO30+CO31+CO32+CO33+CO35+CO36+CO37+CO38+CO39+CO40+CO41)/T2),0)</f>
        <v/>
      </c>
      <c r="CY41" s="5">
        <f>IFERROR(ROUND(CO41/CQ41,2),0)</f>
        <v/>
      </c>
      <c r="CZ41" s="5">
        <f>IFERROR(ROUND(CO41/CR41,2),0)</f>
        <v/>
      </c>
      <c r="DA41" s="2" t="inlineStr">
        <is>
          <t>2023-10-17</t>
        </is>
      </c>
      <c r="DB41" s="5">
        <f>ROUND(4.63,2)</f>
        <v/>
      </c>
      <c r="DC41" s="3">
        <f>ROUND(12244.0,2)</f>
        <v/>
      </c>
      <c r="DD41" s="3">
        <f>ROUND(399.0,2)</f>
        <v/>
      </c>
      <c r="DE41" s="3">
        <f>ROUND(1431.0,2)</f>
        <v/>
      </c>
      <c r="DF41" s="3">
        <f>ROUND(916.0,2)</f>
        <v/>
      </c>
      <c r="DG41" s="3">
        <f>ROUND(357.0,2)</f>
        <v/>
      </c>
      <c r="DH41" s="3">
        <f>ROUND(172.0,2)</f>
        <v/>
      </c>
      <c r="DI41" s="3">
        <f>ROUND(87.0,2)</f>
        <v/>
      </c>
      <c r="DJ41" s="4">
        <f>IFERROR((DD41/DC41),0)</f>
        <v/>
      </c>
      <c r="DK41" s="4">
        <f>IFERROR(((0+DB11+DB12+DB13+DB14+DB15+DB16+DB17+DB19+DB20+DB21+DB22+DB23+DB24+DB25+DB27+DB28+DB29+DB30+DB31+DB32+DB33+DB35+DB36+DB37+DB38+DB39+DB40+DB41)/T2),0)</f>
        <v/>
      </c>
      <c r="DL41" s="5">
        <f>IFERROR(ROUND(DB41/DD41,2),0)</f>
        <v/>
      </c>
      <c r="DM41" s="5">
        <f>IFERROR(ROUND(DB41/DE41,2),0)</f>
        <v/>
      </c>
      <c r="DN41" s="2" t="inlineStr">
        <is>
          <t>2023-10-17</t>
        </is>
      </c>
      <c r="DO41" s="5">
        <f>ROUND(14.27,2)</f>
        <v/>
      </c>
      <c r="DP41" s="3">
        <f>ROUND(40742.0,2)</f>
        <v/>
      </c>
      <c r="DQ41" s="3">
        <f>ROUND(1297.0,2)</f>
        <v/>
      </c>
      <c r="DR41" s="3">
        <f>ROUND(6331.0,2)</f>
        <v/>
      </c>
      <c r="DS41" s="3">
        <f>ROUND(4814.0,2)</f>
        <v/>
      </c>
      <c r="DT41" s="3">
        <f>ROUND(2754.0,2)</f>
        <v/>
      </c>
      <c r="DU41" s="3">
        <f>ROUND(1829.0,2)</f>
        <v/>
      </c>
      <c r="DV41" s="3">
        <f>ROUND(935.0,2)</f>
        <v/>
      </c>
      <c r="DW41" s="4">
        <f>IFERROR((DQ41/DP41),0)</f>
        <v/>
      </c>
      <c r="DX41" s="4">
        <f>IFERROR(((0+DO11+DO12+DO13+DO14+DO15+DO16+DO17+DO19+DO20+DO21+DO22+DO23+DO24+DO25+DO27+DO28+DO29+DO30+DO31+DO32+DO33+DO35+DO36+DO37+DO38+DO39+DO40+DO41)/T2),0)</f>
        <v/>
      </c>
      <c r="DY41" s="5">
        <f>IFERROR(ROUND(DO41/DQ41,2),0)</f>
        <v/>
      </c>
      <c r="DZ41" s="5">
        <f>IFERROR(ROUND(DO41/DR41,2),0)</f>
        <v/>
      </c>
      <c r="EA41" s="2" t="inlineStr">
        <is>
          <t>2023-10-17</t>
        </is>
      </c>
      <c r="EB41" s="5">
        <f>ROUND(6.28,2)</f>
        <v/>
      </c>
      <c r="EC41" s="3">
        <f>ROUND(18083.0,2)</f>
        <v/>
      </c>
      <c r="ED41" s="3">
        <f>ROUND(538.0,2)</f>
        <v/>
      </c>
      <c r="EE41" s="3">
        <f>ROUND(3738.0,2)</f>
        <v/>
      </c>
      <c r="EF41" s="3">
        <f>ROUND(2353.0,2)</f>
        <v/>
      </c>
      <c r="EG41" s="3">
        <f>ROUND(1237.0,2)</f>
        <v/>
      </c>
      <c r="EH41" s="3">
        <f>ROUND(981.0,2)</f>
        <v/>
      </c>
      <c r="EI41" s="3">
        <f>ROUND(335.0,2)</f>
        <v/>
      </c>
      <c r="EJ41" s="4">
        <f>IFERROR((ED41/EC41),0)</f>
        <v/>
      </c>
      <c r="EK41" s="4">
        <f>IFERROR(((0+EB11+EB12+EB13+EB14+EB15+EB16+EB17+EB19+EB20+EB21+EB22+EB23+EB24+EB25+EB27+EB28+EB29+EB30+EB31+EB32+EB33+EB35+EB36+EB37+EB38+EB39+EB40+EB41)/T2),0)</f>
        <v/>
      </c>
      <c r="EL41" s="5">
        <f>IFERROR(ROUND(EB41/ED41,2),0)</f>
        <v/>
      </c>
      <c r="EM41" s="5">
        <f>IFERROR(ROUND(EB41/EE41,2),0)</f>
        <v/>
      </c>
      <c r="EN41" s="2" t="inlineStr">
        <is>
          <t>2023-10-17</t>
        </is>
      </c>
      <c r="EO41" s="5">
        <f>ROUND(3.08,2)</f>
        <v/>
      </c>
      <c r="EP41" s="3">
        <f>ROUND(4166.0,2)</f>
        <v/>
      </c>
      <c r="EQ41" s="3">
        <f>ROUND(208.0,2)</f>
        <v/>
      </c>
      <c r="ER41" s="3">
        <f>ROUND(439.0,2)</f>
        <v/>
      </c>
      <c r="ES41" s="3">
        <f>ROUND(342.0,2)</f>
        <v/>
      </c>
      <c r="ET41" s="3">
        <f>ROUND(169.0,2)</f>
        <v/>
      </c>
      <c r="EU41" s="3">
        <f>ROUND(56.0,2)</f>
        <v/>
      </c>
      <c r="EV41" s="3">
        <f>ROUND(25.0,2)</f>
        <v/>
      </c>
      <c r="EW41" s="4">
        <f>IFERROR((EQ41/EP41),0)</f>
        <v/>
      </c>
      <c r="EX41" s="4">
        <f>IFERROR(((0+EO11+EO12+EO13+EO14+EO15+EO16+EO17+EO19+EO20+EO21+EO22+EO23+EO24+EO25+EO27+EO28+EO29+EO30+EO31+EO32+EO33+EO35+EO36+EO37+EO38+EO39+EO40+EO41)/T2),0)</f>
        <v/>
      </c>
      <c r="EY41" s="5">
        <f>IFERROR(ROUND(EO41/EQ41,2),0)</f>
        <v/>
      </c>
      <c r="EZ41" s="5">
        <f>IFERROR(ROUND(EO41/ER41,2),0)</f>
        <v/>
      </c>
      <c r="FA41" s="2" t="inlineStr">
        <is>
          <t>2023-10-17</t>
        </is>
      </c>
      <c r="FB41" s="5">
        <f>ROUND(5.49,2)</f>
        <v/>
      </c>
      <c r="FC41" s="3">
        <f>ROUND(7205.0,2)</f>
        <v/>
      </c>
      <c r="FD41" s="3">
        <f>ROUND(349.0,2)</f>
        <v/>
      </c>
      <c r="FE41" s="3">
        <f>ROUND(942.0,2)</f>
        <v/>
      </c>
      <c r="FF41" s="3">
        <f>ROUND(781.0,2)</f>
        <v/>
      </c>
      <c r="FG41" s="3">
        <f>ROUND(427.0,2)</f>
        <v/>
      </c>
      <c r="FH41" s="3">
        <f>ROUND(313.0,2)</f>
        <v/>
      </c>
      <c r="FI41" s="3">
        <f>ROUND(130.0,2)</f>
        <v/>
      </c>
      <c r="FJ41" s="4">
        <f>IFERROR((FD41/FC41),0)</f>
        <v/>
      </c>
      <c r="FK41" s="4">
        <f>IFERROR(((0+FB11+FB12+FB13+FB14+FB15+FB16+FB17+FB19+FB20+FB21+FB22+FB23+FB24+FB25+FB27+FB28+FB29+FB30+FB31+FB32+FB33+FB35+FB36+FB37+FB38+FB39+FB40+FB41)/T2),0)</f>
        <v/>
      </c>
      <c r="FL41" s="5">
        <f>IFERROR(ROUND(FB41/FD41,2),0)</f>
        <v/>
      </c>
      <c r="FM41" s="5">
        <f>IFERROR(ROUND(FB41/FE41,2),0)</f>
        <v/>
      </c>
      <c r="FN41" s="2" t="inlineStr">
        <is>
          <t>2023-10-17</t>
        </is>
      </c>
      <c r="FO41" s="5">
        <f>ROUND(0.85,2)</f>
        <v/>
      </c>
      <c r="FP41" s="3">
        <f>ROUND(1268.0,2)</f>
        <v/>
      </c>
      <c r="FQ41" s="3">
        <f>ROUND(66.0,2)</f>
        <v/>
      </c>
      <c r="FR41" s="3">
        <f>ROUND(128.0,2)</f>
        <v/>
      </c>
      <c r="FS41" s="3">
        <f>ROUND(93.0,2)</f>
        <v/>
      </c>
      <c r="FT41" s="3">
        <f>ROUND(46.0,2)</f>
        <v/>
      </c>
      <c r="FU41" s="3">
        <f>ROUND(38.0,2)</f>
        <v/>
      </c>
      <c r="FV41" s="3">
        <f>ROUND(9.0,2)</f>
        <v/>
      </c>
      <c r="FW41" s="4">
        <f>IFERROR((FQ41/FP41),0)</f>
        <v/>
      </c>
      <c r="FX41" s="4">
        <f>IFERROR(((0+FO11+FO12+FO13+FO14+FO15+FO16+FO17+FO19+FO20+FO21+FO22+FO23+FO24+FO25+FO27+FO28+FO29+FO30+FO31+FO32+FO33+FO35+FO36+FO37+FO38+FO39+FO40+FO41)/T2),0)</f>
        <v/>
      </c>
      <c r="FY41" s="5">
        <f>IFERROR(ROUND(FO41/FQ41,2),0)</f>
        <v/>
      </c>
      <c r="FZ41" s="5">
        <f>IFERROR(ROUND(FO41/FR41,2),0)</f>
        <v/>
      </c>
      <c r="GA41" s="2" t="inlineStr">
        <is>
          <t>2023-10-17</t>
        </is>
      </c>
      <c r="GB41" s="5">
        <f>ROUND(6.6,2)</f>
        <v/>
      </c>
      <c r="GC41" s="3">
        <f>ROUND(14884.0,2)</f>
        <v/>
      </c>
      <c r="GD41" s="3">
        <f>ROUND(406.0,2)</f>
        <v/>
      </c>
      <c r="GE41" s="3">
        <f>ROUND(2622.0,2)</f>
        <v/>
      </c>
      <c r="GF41" s="3">
        <f>ROUND(1927.0,2)</f>
        <v/>
      </c>
      <c r="GG41" s="3">
        <f>ROUND(847.0,2)</f>
        <v/>
      </c>
      <c r="GH41" s="3">
        <f>ROUND(527.0,2)</f>
        <v/>
      </c>
      <c r="GI41" s="3">
        <f>ROUND(178.0,2)</f>
        <v/>
      </c>
      <c r="GJ41" s="4">
        <f>IFERROR((GD41/GC41),0)</f>
        <v/>
      </c>
      <c r="GK41" s="4">
        <f>IFERROR(((0+GB11+GB12+GB13+GB14+GB15+GB16+GB17+GB19+GB20+GB21+GB22+GB23+GB24+GB25+GB27+GB28+GB29+GB30+GB31+GB32+GB33+GB35+GB36+GB37+GB38+GB39+GB40+GB41)/T2),0)</f>
        <v/>
      </c>
      <c r="GL41" s="5">
        <f>IFERROR(ROUND(GB41/GD41,2),0)</f>
        <v/>
      </c>
      <c r="GM41" s="5">
        <f>IFERROR(ROUND(GB41/GE41,2),0)</f>
        <v/>
      </c>
      <c r="GN41" s="2" t="inlineStr">
        <is>
          <t>2023-10-17</t>
        </is>
      </c>
      <c r="GO41" s="5">
        <f>ROUND(18.5,2)</f>
        <v/>
      </c>
      <c r="GP41" s="3">
        <f>ROUND(18047.0,2)</f>
        <v/>
      </c>
      <c r="GQ41" s="3">
        <f>ROUND(1104.0,2)</f>
        <v/>
      </c>
      <c r="GR41" s="3">
        <f>ROUND(6856.0,2)</f>
        <v/>
      </c>
      <c r="GS41" s="3">
        <f>ROUND(6279.0,2)</f>
        <v/>
      </c>
      <c r="GT41" s="3">
        <f>ROUND(3073.0,2)</f>
        <v/>
      </c>
      <c r="GU41" s="3">
        <f>ROUND(2302.0,2)</f>
        <v/>
      </c>
      <c r="GV41" s="3">
        <f>ROUND(1908.0,2)</f>
        <v/>
      </c>
      <c r="GW41" s="4">
        <f>IFERROR((GQ41/GP41),0)</f>
        <v/>
      </c>
      <c r="GX41" s="4">
        <f>IFERROR(((0+GO11+GO12+GO13+GO14+GO15+GO16+GO17+GO19+GO20+GO21+GO22+GO23+GO24+GO25+GO27+GO28+GO29+GO30+GO31+GO32+GO33+GO35+GO36+GO37+GO38+GO39+GO40+GO41)/T2),0)</f>
        <v/>
      </c>
      <c r="GY41" s="5">
        <f>IFERROR(ROUND(GO41/GQ41,2),0)</f>
        <v/>
      </c>
      <c r="GZ41" s="5">
        <f>IFERROR(ROUND(GO41/GR41,2),0)</f>
        <v/>
      </c>
      <c r="HA41" s="2" t="inlineStr">
        <is>
          <t>2023-10-17</t>
        </is>
      </c>
      <c r="HB41" s="5">
        <f>ROUND(5.2,2)</f>
        <v/>
      </c>
      <c r="HC41" s="3">
        <f>ROUND(3039.0,2)</f>
        <v/>
      </c>
      <c r="HD41" s="3">
        <f>ROUND(274.0,2)</f>
        <v/>
      </c>
      <c r="HE41" s="3">
        <f>ROUND(1591.0,2)</f>
        <v/>
      </c>
      <c r="HF41" s="3">
        <f>ROUND(1371.0,2)</f>
        <v/>
      </c>
      <c r="HG41" s="3">
        <f>ROUND(691.0,2)</f>
        <v/>
      </c>
      <c r="HH41" s="3">
        <f>ROUND(599.0,2)</f>
        <v/>
      </c>
      <c r="HI41" s="3">
        <f>ROUND(51.0,2)</f>
        <v/>
      </c>
      <c r="HJ41" s="4">
        <f>IFERROR((HD41/HC41),0)</f>
        <v/>
      </c>
      <c r="HK41" s="4">
        <f>IFERROR(((0+HB11+HB12+HB13+HB14+HB15+HB16+HB17+HB19+HB20+HB21+HB22+HB23+HB24+HB25+HB27+HB28+HB29+HB30+HB31+HB32+HB33+HB35+HB36+HB37+HB38+HB39+HB40+HB41)/T2),0)</f>
        <v/>
      </c>
      <c r="HL41" s="5">
        <f>IFERROR(ROUND(HB41/HD41,2),0)</f>
        <v/>
      </c>
      <c r="HM41" s="5">
        <f>IFERROR(ROUND(HB41/HE41,2),0)</f>
        <v/>
      </c>
      <c r="HN41" s="2" t="inlineStr">
        <is>
          <t>2023-10-17</t>
        </is>
      </c>
      <c r="HO41" s="5">
        <f>ROUND(0.68,2)</f>
        <v/>
      </c>
      <c r="HP41" s="3">
        <f>ROUND(1052.0,2)</f>
        <v/>
      </c>
      <c r="HQ41" s="3">
        <f>ROUND(30.0,2)</f>
        <v/>
      </c>
      <c r="HR41" s="3">
        <f>ROUND(218.0,2)</f>
        <v/>
      </c>
      <c r="HS41" s="3">
        <f>ROUND(192.0,2)</f>
        <v/>
      </c>
      <c r="HT41" s="3">
        <f>ROUND(109.0,2)</f>
        <v/>
      </c>
      <c r="HU41" s="3">
        <f>ROUND(88.0,2)</f>
        <v/>
      </c>
      <c r="HV41" s="3">
        <f>ROUND(74.0,2)</f>
        <v/>
      </c>
      <c r="HW41" s="4">
        <f>IFERROR((HQ41/HP41),0)</f>
        <v/>
      </c>
      <c r="HX41" s="4">
        <f>IFERROR(((0+HO11+HO12+HO13+HO14+HO15+HO16+HO17+HO19+HO20+HO21+HO22+HO23+HO24+HO25+HO27+HO28+HO29+HO30+HO31+HO32+HO33+HO35+HO36+HO37+HO38+HO39+HO40+HO41)/T2),0)</f>
        <v/>
      </c>
      <c r="HY41" s="5">
        <f>IFERROR(ROUND(HO41/HQ41,2),0)</f>
        <v/>
      </c>
      <c r="HZ41" s="5">
        <f>IFERROR(ROUND(HO41/HR41,2),0)</f>
        <v/>
      </c>
      <c r="IA41" s="2" t="inlineStr">
        <is>
          <t>2023-10-17</t>
        </is>
      </c>
      <c r="IB41" s="5">
        <f>ROUND(2.43,2)</f>
        <v/>
      </c>
      <c r="IC41" s="3">
        <f>ROUND(4749.0,2)</f>
        <v/>
      </c>
      <c r="ID41" s="3">
        <f>ROUND(131.0,2)</f>
        <v/>
      </c>
      <c r="IE41" s="3">
        <f>ROUND(1090.0,2)</f>
        <v/>
      </c>
      <c r="IF41" s="3">
        <f>ROUND(781.0,2)</f>
        <v/>
      </c>
      <c r="IG41" s="3">
        <f>ROUND(380.0,2)</f>
        <v/>
      </c>
      <c r="IH41" s="3">
        <f>ROUND(276.0,2)</f>
        <v/>
      </c>
      <c r="II41" s="3">
        <f>ROUND(103.0,2)</f>
        <v/>
      </c>
      <c r="IJ41" s="4">
        <f>IFERROR((ID41/IC41),0)</f>
        <v/>
      </c>
      <c r="IK41" s="4">
        <f>IFERROR(((0+IB11+IB12+IB13+IB14+IB15+IB16+IB17+IB19+IB20+IB21+IB22+IB23+IB24+IB25+IB27+IB28+IB29+IB30+IB31+IB32+IB33+IB35+IB36+IB37+IB38+IB39+IB40+IB41)/T2),0)</f>
        <v/>
      </c>
      <c r="IL41" s="5">
        <f>IFERROR(ROUND(IB41/ID41,2),0)</f>
        <v/>
      </c>
      <c r="IM41" s="5">
        <f>IFERROR(ROUND(IB41/IE41,2),0)</f>
        <v/>
      </c>
      <c r="IN41" s="2" t="inlineStr">
        <is>
          <t>2023-10-17</t>
        </is>
      </c>
      <c r="IO41" s="5">
        <f>ROUND(6.44,2)</f>
        <v/>
      </c>
      <c r="IP41" s="3">
        <f>ROUND(11076.0,2)</f>
        <v/>
      </c>
      <c r="IQ41" s="3">
        <f>ROUND(324.0,2)</f>
        <v/>
      </c>
      <c r="IR41" s="3">
        <f>ROUND(2814.0,2)</f>
        <v/>
      </c>
      <c r="IS41" s="3">
        <f>ROUND(2437.0,2)</f>
        <v/>
      </c>
      <c r="IT41" s="3">
        <f>ROUND(1555.0,2)</f>
        <v/>
      </c>
      <c r="IU41" s="3">
        <f>ROUND(1283.0,2)</f>
        <v/>
      </c>
      <c r="IV41" s="3">
        <f>ROUND(951.0,2)</f>
        <v/>
      </c>
      <c r="IW41" s="4">
        <f>IFERROR((IQ41/IP41),0)</f>
        <v/>
      </c>
      <c r="IX41" s="4">
        <f>IFERROR(((0+IO11+IO12+IO13+IO14+IO15+IO16+IO17+IO19+IO20+IO21+IO22+IO23+IO24+IO25+IO27+IO28+IO29+IO30+IO31+IO32+IO33+IO35+IO36+IO37+IO38+IO39+IO40+IO41)/T2),0)</f>
        <v/>
      </c>
      <c r="IY41" s="5">
        <f>IFERROR(ROUND(IO41/IQ41,2),0)</f>
        <v/>
      </c>
      <c r="IZ41" s="5">
        <f>IFERROR(ROUND(IO41/IR41,2),0)</f>
        <v/>
      </c>
      <c r="JA41" s="2" t="inlineStr">
        <is>
          <t>2023-10-17</t>
        </is>
      </c>
      <c r="JB41" s="5">
        <f>ROUND(1.46,2)</f>
        <v/>
      </c>
      <c r="JC41" s="3">
        <f>ROUND(1328.0,2)</f>
        <v/>
      </c>
      <c r="JD41" s="3">
        <f>ROUND(102.0,2)</f>
        <v/>
      </c>
      <c r="JE41" s="3">
        <f>ROUND(357.0,2)</f>
        <v/>
      </c>
      <c r="JF41" s="3">
        <f>ROUND(297.0,2)</f>
        <v/>
      </c>
      <c r="JG41" s="3">
        <f>ROUND(175.0,2)</f>
        <v/>
      </c>
      <c r="JH41" s="3">
        <f>ROUND(139.0,2)</f>
        <v/>
      </c>
      <c r="JI41" s="3">
        <f>ROUND(32.0,2)</f>
        <v/>
      </c>
      <c r="JJ41" s="4">
        <f>IFERROR((JD41/JC41),0)</f>
        <v/>
      </c>
      <c r="JK41" s="4">
        <f>IFERROR(((0+JB11+JB12+JB13+JB14+JB15+JB16+JB17+JB19+JB20+JB21+JB22+JB23+JB24+JB25+JB27+JB28+JB29+JB30+JB31+JB32+JB33+JB35+JB36+JB37+JB38+JB39+JB40+JB41)/T2),0)</f>
        <v/>
      </c>
      <c r="JL41" s="5">
        <f>IFERROR(ROUND(JB41/JD41,2),0)</f>
        <v/>
      </c>
      <c r="JM41" s="5">
        <f>IFERROR(ROUND(JB41/JE41,2),0)</f>
        <v/>
      </c>
    </row>
    <row r="42">
      <c r="A42" s="2" t="inlineStr">
        <is>
          <t>4 Weekly Total</t>
        </is>
      </c>
      <c r="B42" s="5">
        <f>ROUND(1177.72,2)</f>
        <v/>
      </c>
      <c r="C42" s="3">
        <f>ROUND(2317001.0,2)</f>
        <v/>
      </c>
      <c r="D42" s="3">
        <f>ROUND(88058.0,2)</f>
        <v/>
      </c>
      <c r="E42" s="3">
        <f>ROUND(601901.0,2)</f>
        <v/>
      </c>
      <c r="F42" s="3">
        <f>ROUND(505168.0,2)</f>
        <v/>
      </c>
      <c r="G42" s="3">
        <f>ROUND(241465.0,2)</f>
        <v/>
      </c>
      <c r="H42" s="3">
        <f>ROUND(166083.0,2)</f>
        <v/>
      </c>
      <c r="I42" s="3">
        <f>ROUND(99295.0,2)</f>
        <v/>
      </c>
      <c r="J42" s="4">
        <f>IFERROR((D42/C42),0)</f>
        <v/>
      </c>
      <c r="K42" s="4">
        <f>IFERROR(((0+B11+B12+B13+B14+B15+B16+B17+B19+B20+B21+B22+B23+B24+B25+B27+B28+B29+B30+B31+B32+B33+B35+B36+B37+B38+B39+B40+B41)/T2),0)</f>
        <v/>
      </c>
      <c r="L42" s="5">
        <f>IFERROR(ROUND(B42/D42,2),0)</f>
        <v/>
      </c>
      <c r="M42" s="5">
        <f>IFERROR(ROUND(B42/E42,2),0)</f>
        <v/>
      </c>
      <c r="N42" s="2" t="inlineStr">
        <is>
          <t>4 Weekly Total</t>
        </is>
      </c>
      <c r="O42" s="5">
        <f>ROUND(17.17,2)</f>
        <v/>
      </c>
      <c r="P42" s="3">
        <f>ROUND(50512.0,2)</f>
        <v/>
      </c>
      <c r="Q42" s="3">
        <f>ROUND(1337.0,2)</f>
        <v/>
      </c>
      <c r="R42" s="3">
        <f>ROUND(8631.0,2)</f>
        <v/>
      </c>
      <c r="S42" s="3">
        <f>ROUND(6240.0,2)</f>
        <v/>
      </c>
      <c r="T42" s="3">
        <f>ROUND(2980.0,2)</f>
        <v/>
      </c>
      <c r="U42" s="3">
        <f>ROUND(1899.0,2)</f>
        <v/>
      </c>
      <c r="V42" s="3">
        <f>ROUND(844.0,2)</f>
        <v/>
      </c>
      <c r="W42" s="4">
        <f>IFERROR((Q42/P42),0)</f>
        <v/>
      </c>
      <c r="X42" s="4">
        <f>IFERROR(((0+O11+O12+O13+O14+O15+O16+O17+O19+O20+O21+O22+O23+O24+O25+O27+O28+O29+O30+O31+O32+O33+O35+O36+O37+O38+O39+O40+O41)/T2),0)</f>
        <v/>
      </c>
      <c r="Y42" s="5">
        <f>IFERROR(ROUND(O42/Q42,2),0)</f>
        <v/>
      </c>
      <c r="Z42" s="5">
        <f>IFERROR(ROUND(O42/R42,2),0)</f>
        <v/>
      </c>
      <c r="AA42" s="2" t="inlineStr">
        <is>
          <t>4 Weekly Total</t>
        </is>
      </c>
      <c r="AB42" s="5">
        <f>ROUND(24.54,2)</f>
        <v/>
      </c>
      <c r="AC42" s="3">
        <f>ROUND(23852.0,2)</f>
        <v/>
      </c>
      <c r="AD42" s="3">
        <f>ROUND(1688.0,2)</f>
        <v/>
      </c>
      <c r="AE42" s="3">
        <f>ROUND(11899.0,2)</f>
        <v/>
      </c>
      <c r="AF42" s="3">
        <f>ROUND(10791.0,2)</f>
        <v/>
      </c>
      <c r="AG42" s="3">
        <f>ROUND(6701.0,2)</f>
        <v/>
      </c>
      <c r="AH42" s="3">
        <f>ROUND(5794.0,2)</f>
        <v/>
      </c>
      <c r="AI42" s="3">
        <f>ROUND(343.0,2)</f>
        <v/>
      </c>
      <c r="AJ42" s="4">
        <f>IFERROR((AD42/AC42),0)</f>
        <v/>
      </c>
      <c r="AK42" s="4">
        <f>IFERROR(((0+AB11+AB12+AB13+AB14+AB15+AB16+AB17+AB19+AB20+AB21+AB22+AB23+AB24+AB25+AB27+AB28+AB29+AB30+AB31+AB32+AB33+AB35+AB36+AB37+AB38+AB39+AB40+AB41)/T2),0)</f>
        <v/>
      </c>
      <c r="AL42" s="5">
        <f>IFERROR(ROUND(AB42/AD42,2),0)</f>
        <v/>
      </c>
      <c r="AM42" s="5">
        <f>IFERROR(ROUND(AB42/AE42,2),0)</f>
        <v/>
      </c>
      <c r="AN42" s="2" t="inlineStr">
        <is>
          <t>4 Weekly Total</t>
        </is>
      </c>
      <c r="AO42" s="5">
        <f>ROUND(12.01,2)</f>
        <v/>
      </c>
      <c r="AP42" s="3">
        <f>ROUND(15381.0,2)</f>
        <v/>
      </c>
      <c r="AQ42" s="3">
        <f>ROUND(834.0,2)</f>
        <v/>
      </c>
      <c r="AR42" s="3">
        <f>ROUND(6173.0,2)</f>
        <v/>
      </c>
      <c r="AS42" s="3">
        <f>ROUND(5559.0,2)</f>
        <v/>
      </c>
      <c r="AT42" s="3">
        <f>ROUND(3534.0,2)</f>
        <v/>
      </c>
      <c r="AU42" s="3">
        <f>ROUND(2986.0,2)</f>
        <v/>
      </c>
      <c r="AV42" s="3">
        <f>ROUND(2617.0,2)</f>
        <v/>
      </c>
      <c r="AW42" s="4">
        <f>IFERROR((AQ42/AP42),0)</f>
        <v/>
      </c>
      <c r="AX42" s="4">
        <f>IFERROR(((0+AO11+AO12+AO13+AO14+AO15+AO16+AO17+AO19+AO20+AO21+AO22+AO23+AO24+AO25+AO27+AO28+AO29+AO30+AO31+AO32+AO33+AO35+AO36+AO37+AO38+AO39+AO40+AO41)/T2),0)</f>
        <v/>
      </c>
      <c r="AY42" s="5">
        <f>IFERROR(ROUND(AO42/AQ42,2),0)</f>
        <v/>
      </c>
      <c r="AZ42" s="5">
        <f>IFERROR(ROUND(AO42/AR42,2),0)</f>
        <v/>
      </c>
      <c r="BA42" s="2" t="inlineStr">
        <is>
          <t>4 Weekly Total</t>
        </is>
      </c>
      <c r="BB42" s="5">
        <f>ROUND(113.45,2)</f>
        <v/>
      </c>
      <c r="BC42" s="3">
        <f>ROUND(341424.0,2)</f>
        <v/>
      </c>
      <c r="BD42" s="3">
        <f>ROUND(10088.0,2)</f>
        <v/>
      </c>
      <c r="BE42" s="3">
        <f>ROUND(72001.0,2)</f>
        <v/>
      </c>
      <c r="BF42" s="3">
        <f>ROUND(52950.0,2)</f>
        <v/>
      </c>
      <c r="BG42" s="3">
        <f>ROUND(22299.0,2)</f>
        <v/>
      </c>
      <c r="BH42" s="3">
        <f>ROUND(12811.0,2)</f>
        <v/>
      </c>
      <c r="BI42" s="3">
        <f>ROUND(6908.0,2)</f>
        <v/>
      </c>
      <c r="BJ42" s="4">
        <f>IFERROR((BD42/BC42),0)</f>
        <v/>
      </c>
      <c r="BK42" s="4">
        <f>IFERROR(((0+BB11+BB12+BB13+BB14+BB15+BB16+BB17+BB19+BB20+BB21+BB22+BB23+BB24+BB25+BB27+BB28+BB29+BB30+BB31+BB32+BB33+BB35+BB36+BB37+BB38+BB39+BB40+BB41)/T2),0)</f>
        <v/>
      </c>
      <c r="BL42" s="5">
        <f>IFERROR(ROUND(BB42/BD42,2),0)</f>
        <v/>
      </c>
      <c r="BM42" s="5">
        <f>IFERROR(ROUND(BB42/BE42,2),0)</f>
        <v/>
      </c>
      <c r="BN42" s="2" t="inlineStr">
        <is>
          <t>4 Weekly Total</t>
        </is>
      </c>
      <c r="BO42" s="5">
        <f>ROUND(140.67,2)</f>
        <v/>
      </c>
      <c r="BP42" s="3">
        <f>ROUND(404760.0,2)</f>
        <v/>
      </c>
      <c r="BQ42" s="3">
        <f>ROUND(11353.0,2)</f>
        <v/>
      </c>
      <c r="BR42" s="3">
        <f>ROUND(91837.0,2)</f>
        <v/>
      </c>
      <c r="BS42" s="3">
        <f>ROUND(77692.0,2)</f>
        <v/>
      </c>
      <c r="BT42" s="3">
        <f>ROUND(42908.0,2)</f>
        <v/>
      </c>
      <c r="BU42" s="3">
        <f>ROUND(34329.0,2)</f>
        <v/>
      </c>
      <c r="BV42" s="3">
        <f>ROUND(21243.0,2)</f>
        <v/>
      </c>
      <c r="BW42" s="4">
        <f>IFERROR((BQ42/BP42),0)</f>
        <v/>
      </c>
      <c r="BX42" s="4">
        <f>IFERROR(((0+BO11+BO12+BO13+BO14+BO15+BO16+BO17+BO19+BO20+BO21+BO22+BO23+BO24+BO25+BO27+BO28+BO29+BO30+BO31+BO32+BO33+BO35+BO36+BO37+BO38+BO39+BO40+BO41)/T2),0)</f>
        <v/>
      </c>
      <c r="BY42" s="5">
        <f>IFERROR(ROUND(BO42/BQ42,2),0)</f>
        <v/>
      </c>
      <c r="BZ42" s="5">
        <f>IFERROR(ROUND(BO42/BR42,2),0)</f>
        <v/>
      </c>
      <c r="CA42" s="2" t="inlineStr">
        <is>
          <t>4 Weekly Total</t>
        </is>
      </c>
      <c r="CB42" s="5">
        <f>ROUND(20.27,2)</f>
        <v/>
      </c>
      <c r="CC42" s="3">
        <f>ROUND(43067.0,2)</f>
        <v/>
      </c>
      <c r="CD42" s="3">
        <f>ROUND(1595.0,2)</f>
        <v/>
      </c>
      <c r="CE42" s="3">
        <f>ROUND(10676.0,2)</f>
        <v/>
      </c>
      <c r="CF42" s="3">
        <f>ROUND(7987.0,2)</f>
        <v/>
      </c>
      <c r="CG42" s="3">
        <f>ROUND(3995.0,2)</f>
        <v/>
      </c>
      <c r="CH42" s="3">
        <f>ROUND(2787.0,2)</f>
        <v/>
      </c>
      <c r="CI42" s="3">
        <f>ROUND(987.0,2)</f>
        <v/>
      </c>
      <c r="CJ42" s="4">
        <f>IFERROR((CD42/CC42),0)</f>
        <v/>
      </c>
      <c r="CK42" s="4">
        <f>IFERROR(((0+CB11+CB12+CB13+CB14+CB15+CB16+CB17+CB19+CB20+CB21+CB22+CB23+CB24+CB25+CB27+CB28+CB29+CB30+CB31+CB32+CB33+CB35+CB36+CB37+CB38+CB39+CB40+CB41)/T2),0)</f>
        <v/>
      </c>
      <c r="CL42" s="5">
        <f>IFERROR(ROUND(CB42/CD42,2),0)</f>
        <v/>
      </c>
      <c r="CM42" s="5">
        <f>IFERROR(ROUND(CB42/CE42,2),0)</f>
        <v/>
      </c>
      <c r="CN42" s="2" t="inlineStr">
        <is>
          <t>4 Weekly Total</t>
        </is>
      </c>
      <c r="CO42" s="5">
        <f>ROUND(286.31,2)</f>
        <v/>
      </c>
      <c r="CP42" s="3">
        <f>ROUND(347402.0,2)</f>
        <v/>
      </c>
      <c r="CQ42" s="3">
        <f>ROUND(21050.0,2)</f>
        <v/>
      </c>
      <c r="CR42" s="3">
        <f>ROUND(198317.0,2)</f>
        <v/>
      </c>
      <c r="CS42" s="3">
        <f>ROUND(189088.0,2)</f>
        <v/>
      </c>
      <c r="CT42" s="3">
        <f>ROUND(77765.0,2)</f>
        <v/>
      </c>
      <c r="CU42" s="3">
        <f>ROUND(46471.0,2)</f>
        <v/>
      </c>
      <c r="CV42" s="3">
        <f>ROUND(32628.0,2)</f>
        <v/>
      </c>
      <c r="CW42" s="4">
        <f>IFERROR((CQ42/CP42),0)</f>
        <v/>
      </c>
      <c r="CX42" s="4">
        <f>IFERROR(((0+CO11+CO12+CO13+CO14+CO15+CO16+CO17+CO19+CO20+CO21+CO22+CO23+CO24+CO25+CO27+CO28+CO29+CO30+CO31+CO32+CO33+CO35+CO36+CO37+CO38+CO39+CO40+CO41)/T2),0)</f>
        <v/>
      </c>
      <c r="CY42" s="5">
        <f>IFERROR(ROUND(CO42/CQ42,2),0)</f>
        <v/>
      </c>
      <c r="CZ42" s="5">
        <f>IFERROR(ROUND(CO42/CR42,2),0)</f>
        <v/>
      </c>
      <c r="DA42" s="2" t="inlineStr">
        <is>
          <t>4 Weekly Total</t>
        </is>
      </c>
      <c r="DB42" s="5">
        <f>ROUND(47.99,2)</f>
        <v/>
      </c>
      <c r="DC42" s="3">
        <f>ROUND(120020.0,2)</f>
        <v/>
      </c>
      <c r="DD42" s="3">
        <f>ROUND(4260.0,2)</f>
        <v/>
      </c>
      <c r="DE42" s="3">
        <f>ROUND(11630.0,2)</f>
        <v/>
      </c>
      <c r="DF42" s="3">
        <f>ROUND(6731.0,2)</f>
        <v/>
      </c>
      <c r="DG42" s="3">
        <f>ROUND(2951.0,2)</f>
        <v/>
      </c>
      <c r="DH42" s="3">
        <f>ROUND(1704.0,2)</f>
        <v/>
      </c>
      <c r="DI42" s="3">
        <f>ROUND(832.0,2)</f>
        <v/>
      </c>
      <c r="DJ42" s="4">
        <f>IFERROR((DD42/DC42),0)</f>
        <v/>
      </c>
      <c r="DK42" s="4">
        <f>IFERROR(((0+DB11+DB12+DB13+DB14+DB15+DB16+DB17+DB19+DB20+DB21+DB22+DB23+DB24+DB25+DB27+DB28+DB29+DB30+DB31+DB32+DB33+DB35+DB36+DB37+DB38+DB39+DB40+DB41)/T2),0)</f>
        <v/>
      </c>
      <c r="DL42" s="5">
        <f>IFERROR(ROUND(DB42/DD42,2),0)</f>
        <v/>
      </c>
      <c r="DM42" s="5">
        <f>IFERROR(ROUND(DB42/DE42,2),0)</f>
        <v/>
      </c>
      <c r="DN42" s="2" t="inlineStr">
        <is>
          <t>4 Weekly Total</t>
        </is>
      </c>
      <c r="DO42" s="5">
        <f>ROUND(105.62,2)</f>
        <v/>
      </c>
      <c r="DP42" s="3">
        <f>ROUND(277596.0,2)</f>
        <v/>
      </c>
      <c r="DQ42" s="3">
        <f>ROUND(9510.0,2)</f>
        <v/>
      </c>
      <c r="DR42" s="3">
        <f>ROUND(42349.0,2)</f>
        <v/>
      </c>
      <c r="DS42" s="3">
        <f>ROUND(32014.0,2)</f>
        <v/>
      </c>
      <c r="DT42" s="3">
        <f>ROUND(18778.0,2)</f>
        <v/>
      </c>
      <c r="DU42" s="3">
        <f>ROUND(12434.0,2)</f>
        <v/>
      </c>
      <c r="DV42" s="3">
        <f>ROUND(6860.0,2)</f>
        <v/>
      </c>
      <c r="DW42" s="4">
        <f>IFERROR((DQ42/DP42),0)</f>
        <v/>
      </c>
      <c r="DX42" s="4">
        <f>IFERROR(((0+DO11+DO12+DO13+DO14+DO15+DO16+DO17+DO19+DO20+DO21+DO22+DO23+DO24+DO25+DO27+DO28+DO29+DO30+DO31+DO32+DO33+DO35+DO36+DO37+DO38+DO39+DO40+DO41)/T2),0)</f>
        <v/>
      </c>
      <c r="DY42" s="5">
        <f>IFERROR(ROUND(DO42/DQ42,2),0)</f>
        <v/>
      </c>
      <c r="DZ42" s="5">
        <f>IFERROR(ROUND(DO42/DR42,2),0)</f>
        <v/>
      </c>
      <c r="EA42" s="2" t="inlineStr">
        <is>
          <t>4 Weekly Total</t>
        </is>
      </c>
      <c r="EB42" s="5">
        <f>ROUND(56.4,2)</f>
        <v/>
      </c>
      <c r="EC42" s="3">
        <f>ROUND(164540.0,2)</f>
        <v/>
      </c>
      <c r="ED42" s="3">
        <f>ROUND(5189.0,2)</f>
        <v/>
      </c>
      <c r="EE42" s="3">
        <f>ROUND(31930.0,2)</f>
        <v/>
      </c>
      <c r="EF42" s="3">
        <f>ROUND(19103.0,2)</f>
        <v/>
      </c>
      <c r="EG42" s="3">
        <f>ROUND(9482.0,2)</f>
        <v/>
      </c>
      <c r="EH42" s="3">
        <f>ROUND(7371.0,2)</f>
        <v/>
      </c>
      <c r="EI42" s="3">
        <f>ROUND(2997.0,2)</f>
        <v/>
      </c>
      <c r="EJ42" s="4">
        <f>IFERROR((ED42/EC42),0)</f>
        <v/>
      </c>
      <c r="EK42" s="4">
        <f>IFERROR(((0+EB11+EB12+EB13+EB14+EB15+EB16+EB17+EB19+EB20+EB21+EB22+EB23+EB24+EB25+EB27+EB28+EB29+EB30+EB31+EB32+EB33+EB35+EB36+EB37+EB38+EB39+EB40+EB41)/T2),0)</f>
        <v/>
      </c>
      <c r="EL42" s="5">
        <f>IFERROR(ROUND(EB42/ED42,2),0)</f>
        <v/>
      </c>
      <c r="EM42" s="5">
        <f>IFERROR(ROUND(EB42/EE42,2),0)</f>
        <v/>
      </c>
      <c r="EN42" s="2" t="inlineStr">
        <is>
          <t>4 Weekly Total</t>
        </is>
      </c>
      <c r="EO42" s="5">
        <f>ROUND(22.0,2)</f>
        <v/>
      </c>
      <c r="EP42" s="3">
        <f>ROUND(30547.0,2)</f>
        <v/>
      </c>
      <c r="EQ42" s="3">
        <f>ROUND(1454.0,2)</f>
        <v/>
      </c>
      <c r="ER42" s="3">
        <f>ROUND(2875.0,2)</f>
        <v/>
      </c>
      <c r="ES42" s="3">
        <f>ROUND(2067.0,2)</f>
        <v/>
      </c>
      <c r="ET42" s="3">
        <f>ROUND(1080.0,2)</f>
        <v/>
      </c>
      <c r="EU42" s="3">
        <f>ROUND(434.0,2)</f>
        <v/>
      </c>
      <c r="EV42" s="3">
        <f>ROUND(222.0,2)</f>
        <v/>
      </c>
      <c r="EW42" s="4">
        <f>IFERROR((EQ42/EP42),0)</f>
        <v/>
      </c>
      <c r="EX42" s="4">
        <f>IFERROR(((0+EO11+EO12+EO13+EO14+EO15+EO16+EO17+EO19+EO20+EO21+EO22+EO23+EO24+EO25+EO27+EO28+EO29+EO30+EO31+EO32+EO33+EO35+EO36+EO37+EO38+EO39+EO40+EO41)/T2),0)</f>
        <v/>
      </c>
      <c r="EY42" s="5">
        <f>IFERROR(ROUND(EO42/EQ42,2),0)</f>
        <v/>
      </c>
      <c r="EZ42" s="5">
        <f>IFERROR(ROUND(EO42/ER42,2),0)</f>
        <v/>
      </c>
      <c r="FA42" s="2" t="inlineStr">
        <is>
          <t>4 Weekly Total</t>
        </is>
      </c>
      <c r="FB42" s="5">
        <f>ROUND(46.63,2)</f>
        <v/>
      </c>
      <c r="FC42" s="3">
        <f>ROUND(69131.0,2)</f>
        <v/>
      </c>
      <c r="FD42" s="3">
        <f>ROUND(2945.0,2)</f>
        <v/>
      </c>
      <c r="FE42" s="3">
        <f>ROUND(8120.0,2)</f>
        <v/>
      </c>
      <c r="FF42" s="3">
        <f>ROUND(6632.0,2)</f>
        <v/>
      </c>
      <c r="FG42" s="3">
        <f>ROUND(3718.0,2)</f>
        <v/>
      </c>
      <c r="FH42" s="3">
        <f>ROUND(2640.0,2)</f>
        <v/>
      </c>
      <c r="FI42" s="3">
        <f>ROUND(1315.0,2)</f>
        <v/>
      </c>
      <c r="FJ42" s="4">
        <f>IFERROR((FD42/FC42),0)</f>
        <v/>
      </c>
      <c r="FK42" s="4">
        <f>IFERROR(((0+FB11+FB12+FB13+FB14+FB15+FB16+FB17+FB19+FB20+FB21+FB22+FB23+FB24+FB25+FB27+FB28+FB29+FB30+FB31+FB32+FB33+FB35+FB36+FB37+FB38+FB39+FB40+FB41)/T2),0)</f>
        <v/>
      </c>
      <c r="FL42" s="5">
        <f>IFERROR(ROUND(FB42/FD42,2),0)</f>
        <v/>
      </c>
      <c r="FM42" s="5">
        <f>IFERROR(ROUND(FB42/FE42,2),0)</f>
        <v/>
      </c>
      <c r="FN42" s="2" t="inlineStr">
        <is>
          <t>4 Weekly Total</t>
        </is>
      </c>
      <c r="FO42" s="5">
        <f>ROUND(3.79,2)</f>
        <v/>
      </c>
      <c r="FP42" s="3">
        <f>ROUND(4364.0,2)</f>
        <v/>
      </c>
      <c r="FQ42" s="3">
        <f>ROUND(284.0,2)</f>
        <v/>
      </c>
      <c r="FR42" s="3">
        <f>ROUND(779.0,2)</f>
        <v/>
      </c>
      <c r="FS42" s="3">
        <f>ROUND(640.0,2)</f>
        <v/>
      </c>
      <c r="FT42" s="3">
        <f>ROUND(334.0,2)</f>
        <v/>
      </c>
      <c r="FU42" s="3">
        <f>ROUND(265.0,2)</f>
        <v/>
      </c>
      <c r="FV42" s="3">
        <f>ROUND(58.0,2)</f>
        <v/>
      </c>
      <c r="FW42" s="4">
        <f>IFERROR((FQ42/FP42),0)</f>
        <v/>
      </c>
      <c r="FX42" s="4">
        <f>IFERROR(((0+FO11+FO12+FO13+FO14+FO15+FO16+FO17+FO19+FO20+FO21+FO22+FO23+FO24+FO25+FO27+FO28+FO29+FO30+FO31+FO32+FO33+FO35+FO36+FO37+FO38+FO39+FO40+FO41)/T2),0)</f>
        <v/>
      </c>
      <c r="FY42" s="5">
        <f>IFERROR(ROUND(FO42/FQ42,2),0)</f>
        <v/>
      </c>
      <c r="FZ42" s="5">
        <f>IFERROR(ROUND(FO42/FR42,2),0)</f>
        <v/>
      </c>
      <c r="GA42" s="2" t="inlineStr">
        <is>
          <t>4 Weekly Total</t>
        </is>
      </c>
      <c r="GB42" s="5">
        <f>ROUND(59.08,2)</f>
        <v/>
      </c>
      <c r="GC42" s="3">
        <f>ROUND(135795.0,2)</f>
        <v/>
      </c>
      <c r="GD42" s="3">
        <f>ROUND(3716.0,2)</f>
        <v/>
      </c>
      <c r="GE42" s="3">
        <f>ROUND(23789.0,2)</f>
        <v/>
      </c>
      <c r="GF42" s="3">
        <f>ROUND(17223.0,2)</f>
        <v/>
      </c>
      <c r="GG42" s="3">
        <f>ROUND(7228.0,2)</f>
        <v/>
      </c>
      <c r="GH42" s="3">
        <f>ROUND(4329.0,2)</f>
        <v/>
      </c>
      <c r="GI42" s="3">
        <f>ROUND(1820.0,2)</f>
        <v/>
      </c>
      <c r="GJ42" s="4">
        <f>IFERROR((GD42/GC42),0)</f>
        <v/>
      </c>
      <c r="GK42" s="4">
        <f>IFERROR(((0+GB11+GB12+GB13+GB14+GB15+GB16+GB17+GB19+GB20+GB21+GB22+GB23+GB24+GB25+GB27+GB28+GB29+GB30+GB31+GB32+GB33+GB35+GB36+GB37+GB38+GB39+GB40+GB41)/T2),0)</f>
        <v/>
      </c>
      <c r="GL42" s="5">
        <f>IFERROR(ROUND(GB42/GD42,2),0)</f>
        <v/>
      </c>
      <c r="GM42" s="5">
        <f>IFERROR(ROUND(GB42/GE42,2),0)</f>
        <v/>
      </c>
      <c r="GN42" s="2" t="inlineStr">
        <is>
          <t>4 Weekly Total</t>
        </is>
      </c>
      <c r="GO42" s="5">
        <f>ROUND(101.2,2)</f>
        <v/>
      </c>
      <c r="GP42" s="3">
        <f>ROUND(102230.0,2)</f>
        <v/>
      </c>
      <c r="GQ42" s="3">
        <f>ROUND(5968.0,2)</f>
        <v/>
      </c>
      <c r="GR42" s="3">
        <f>ROUND(35252.0,2)</f>
        <v/>
      </c>
      <c r="GS42" s="3">
        <f>ROUND(32112.0,2)</f>
        <v/>
      </c>
      <c r="GT42" s="3">
        <f>ROUND(15411.0,2)</f>
        <v/>
      </c>
      <c r="GU42" s="3">
        <f>ROUND(11551.0,2)</f>
        <v/>
      </c>
      <c r="GV42" s="3">
        <f>ROUND(9613.0,2)</f>
        <v/>
      </c>
      <c r="GW42" s="4">
        <f>IFERROR((GQ42/GP42),0)</f>
        <v/>
      </c>
      <c r="GX42" s="4">
        <f>IFERROR(((0+GO11+GO12+GO13+GO14+GO15+GO16+GO17+GO19+GO20+GO21+GO22+GO23+GO24+GO25+GO27+GO28+GO29+GO30+GO31+GO32+GO33+GO35+GO36+GO37+GO38+GO39+GO40+GO41)/T2),0)</f>
        <v/>
      </c>
      <c r="GY42" s="5">
        <f>IFERROR(ROUND(GO42/GQ42,2),0)</f>
        <v/>
      </c>
      <c r="GZ42" s="5">
        <f>IFERROR(ROUND(GO42/GR42,2),0)</f>
        <v/>
      </c>
      <c r="HA42" s="2" t="inlineStr">
        <is>
          <t>4 Weekly Total</t>
        </is>
      </c>
      <c r="HB42" s="5">
        <f>ROUND(29.62,2)</f>
        <v/>
      </c>
      <c r="HC42" s="3">
        <f>ROUND(20879.0,2)</f>
        <v/>
      </c>
      <c r="HD42" s="3">
        <f>ROUND(1614.0,2)</f>
        <v/>
      </c>
      <c r="HE42" s="3">
        <f>ROUND(9392.0,2)</f>
        <v/>
      </c>
      <c r="HF42" s="3">
        <f>ROUND(7984.0,2)</f>
        <v/>
      </c>
      <c r="HG42" s="3">
        <f>ROUND(3986.0,2)</f>
        <v/>
      </c>
      <c r="HH42" s="3">
        <f>ROUND(3415.0,2)</f>
        <v/>
      </c>
      <c r="HI42" s="3">
        <f>ROUND(281.0,2)</f>
        <v/>
      </c>
      <c r="HJ42" s="4">
        <f>IFERROR((HD42/HC42),0)</f>
        <v/>
      </c>
      <c r="HK42" s="4">
        <f>IFERROR(((0+HB11+HB12+HB13+HB14+HB15+HB16+HB17+HB19+HB20+HB21+HB22+HB23+HB24+HB25+HB27+HB28+HB29+HB30+HB31+HB32+HB33+HB35+HB36+HB37+HB38+HB39+HB40+HB41)/T2),0)</f>
        <v/>
      </c>
      <c r="HL42" s="5">
        <f>IFERROR(ROUND(HB42/HD42,2),0)</f>
        <v/>
      </c>
      <c r="HM42" s="5">
        <f>IFERROR(ROUND(HB42/HE42,2),0)</f>
        <v/>
      </c>
      <c r="HN42" s="2" t="inlineStr">
        <is>
          <t>4 Weekly Total</t>
        </is>
      </c>
      <c r="HO42" s="5">
        <f>ROUND(7.81,2)</f>
        <v/>
      </c>
      <c r="HP42" s="3">
        <f>ROUND(11642.0,2)</f>
        <v/>
      </c>
      <c r="HQ42" s="3">
        <f>ROUND(427.0,2)</f>
        <v/>
      </c>
      <c r="HR42" s="3">
        <f>ROUND(2342.0,2)</f>
        <v/>
      </c>
      <c r="HS42" s="3">
        <f>ROUND(1957.0,2)</f>
        <v/>
      </c>
      <c r="HT42" s="3">
        <f>ROUND(1184.0,2)</f>
        <v/>
      </c>
      <c r="HU42" s="3">
        <f>ROUND(983.0,2)</f>
        <v/>
      </c>
      <c r="HV42" s="3">
        <f>ROUND(823.0,2)</f>
        <v/>
      </c>
      <c r="HW42" s="4">
        <f>IFERROR((HQ42/HP42),0)</f>
        <v/>
      </c>
      <c r="HX42" s="4">
        <f>IFERROR(((0+HO11+HO12+HO13+HO14+HO15+HO16+HO17+HO19+HO20+HO21+HO22+HO23+HO24+HO25+HO27+HO28+HO29+HO30+HO31+HO32+HO33+HO35+HO36+HO37+HO38+HO39+HO40+HO41)/T2),0)</f>
        <v/>
      </c>
      <c r="HY42" s="5">
        <f>IFERROR(ROUND(HO42/HQ42,2),0)</f>
        <v/>
      </c>
      <c r="HZ42" s="5">
        <f>IFERROR(ROUND(HO42/HR42,2),0)</f>
        <v/>
      </c>
      <c r="IA42" s="2" t="inlineStr">
        <is>
          <t>4 Weekly Total</t>
        </is>
      </c>
      <c r="IB42" s="5">
        <f>ROUND(16.08,2)</f>
        <v/>
      </c>
      <c r="IC42" s="3">
        <f>ROUND(32884.0,2)</f>
        <v/>
      </c>
      <c r="ID42" s="3">
        <f>ROUND(945.0,2)</f>
        <v/>
      </c>
      <c r="IE42" s="3">
        <f>ROUND(6950.0,2)</f>
        <v/>
      </c>
      <c r="IF42" s="3">
        <f>ROUND(5143.0,2)</f>
        <v/>
      </c>
      <c r="IG42" s="3">
        <f>ROUND(2513.0,2)</f>
        <v/>
      </c>
      <c r="IH42" s="3">
        <f>ROUND(1830.0,2)</f>
        <v/>
      </c>
      <c r="II42" s="3">
        <f>ROUND(717.0,2)</f>
        <v/>
      </c>
      <c r="IJ42" s="4">
        <f>IFERROR((ID42/IC42),0)</f>
        <v/>
      </c>
      <c r="IK42" s="4">
        <f>IFERROR(((0+IB11+IB12+IB13+IB14+IB15+IB16+IB17+IB19+IB20+IB21+IB22+IB23+IB24+IB25+IB27+IB28+IB29+IB30+IB31+IB32+IB33+IB35+IB36+IB37+IB38+IB39+IB40+IB41)/T2),0)</f>
        <v/>
      </c>
      <c r="IL42" s="5">
        <f>IFERROR(ROUND(IB42/ID42,2),0)</f>
        <v/>
      </c>
      <c r="IM42" s="5">
        <f>IFERROR(ROUND(IB42/IE42,2),0)</f>
        <v/>
      </c>
      <c r="IN42" s="2" t="inlineStr">
        <is>
          <t>4 Weekly Total</t>
        </is>
      </c>
      <c r="IO42" s="5">
        <f>ROUND(57.84,2)</f>
        <v/>
      </c>
      <c r="IP42" s="3">
        <f>ROUND(111021.0,2)</f>
        <v/>
      </c>
      <c r="IQ42" s="3">
        <f>ROUND(3283.0,2)</f>
        <v/>
      </c>
      <c r="IR42" s="3">
        <f>ROUND(24081.0,2)</f>
        <v/>
      </c>
      <c r="IS42" s="3">
        <f>ROUND(20827.0,2)</f>
        <v/>
      </c>
      <c r="IT42" s="3">
        <f>ROUND(13278.0,2)</f>
        <v/>
      </c>
      <c r="IU42" s="3">
        <f>ROUND(10938.0,2)</f>
        <v/>
      </c>
      <c r="IV42" s="3">
        <f>ROUND(7955.0,2)</f>
        <v/>
      </c>
      <c r="IW42" s="4">
        <f>IFERROR((IQ42/IP42),0)</f>
        <v/>
      </c>
      <c r="IX42" s="4">
        <f>IFERROR(((0+IO11+IO12+IO13+IO14+IO15+IO16+IO17+IO19+IO20+IO21+IO22+IO23+IO24+IO25+IO27+IO28+IO29+IO30+IO31+IO32+IO33+IO35+IO36+IO37+IO38+IO39+IO40+IO41)/T2),0)</f>
        <v/>
      </c>
      <c r="IY42" s="5">
        <f>IFERROR(ROUND(IO42/IQ42,2),0)</f>
        <v/>
      </c>
      <c r="IZ42" s="5">
        <f>IFERROR(ROUND(IO42/IR42,2),0)</f>
        <v/>
      </c>
      <c r="JA42" s="2" t="inlineStr">
        <is>
          <t>4 Weekly Total</t>
        </is>
      </c>
      <c r="JB42" s="5">
        <f>ROUND(9.24,2)</f>
        <v/>
      </c>
      <c r="JC42" s="3">
        <f>ROUND(9954.0,2)</f>
        <v/>
      </c>
      <c r="JD42" s="3">
        <f>ROUND(518.0,2)</f>
        <v/>
      </c>
      <c r="JE42" s="3">
        <f>ROUND(2878.0,2)</f>
        <v/>
      </c>
      <c r="JF42" s="3">
        <f>ROUND(2428.0,2)</f>
        <v/>
      </c>
      <c r="JG42" s="3">
        <f>ROUND(1340.0,2)</f>
        <v/>
      </c>
      <c r="JH42" s="3">
        <f>ROUND(1112.0,2)</f>
        <v/>
      </c>
      <c r="JI42" s="3">
        <f>ROUND(232.0,2)</f>
        <v/>
      </c>
      <c r="JJ42" s="4">
        <f>IFERROR((JD42/JC42),0)</f>
        <v/>
      </c>
      <c r="JK42" s="4">
        <f>IFERROR(((0+JB11+JB12+JB13+JB14+JB15+JB16+JB17+JB19+JB20+JB21+JB22+JB23+JB24+JB25+JB27+JB28+JB29+JB30+JB31+JB32+JB33+JB35+JB36+JB37+JB38+JB39+JB40+JB41)/T2),0)</f>
        <v/>
      </c>
      <c r="JL42" s="5">
        <f>IFERROR(ROUND(JB42/JD42,2),0)</f>
        <v/>
      </c>
      <c r="JM42" s="5">
        <f>IFERROR(ROUND(JB42/JE42,2),0)</f>
        <v/>
      </c>
    </row>
    <row r="43">
      <c r="A43" s="2" t="inlineStr">
        <is>
          <t>2023-10-18</t>
        </is>
      </c>
      <c r="B43" s="5">
        <f>ROUND(171.65,2)</f>
        <v/>
      </c>
      <c r="C43" s="3">
        <f>ROUND(299109.0,2)</f>
        <v/>
      </c>
      <c r="D43" s="3">
        <f>ROUND(12731.0,2)</f>
        <v/>
      </c>
      <c r="E43" s="3">
        <f>ROUND(93841.0,2)</f>
        <v/>
      </c>
      <c r="F43" s="3">
        <f>ROUND(82120.0,2)</f>
        <v/>
      </c>
      <c r="G43" s="3">
        <f>ROUND(39683.0,2)</f>
        <v/>
      </c>
      <c r="H43" s="3">
        <f>ROUND(27146.0,2)</f>
        <v/>
      </c>
      <c r="I43" s="3">
        <f>ROUND(16979.0,2)</f>
        <v/>
      </c>
      <c r="J43" s="4">
        <f>IFERROR((D43/C43),0)</f>
        <v/>
      </c>
      <c r="K43" s="4">
        <f>IFERROR(((0+B11+B12+B13+B14+B15+B16+B17+B19+B20+B21+B22+B23+B24+B25+B27+B28+B29+B30+B31+B32+B33+B35+B36+B37+B38+B39+B40+B41+B43)/T2),0)</f>
        <v/>
      </c>
      <c r="L43" s="5">
        <f>IFERROR(ROUND(B43/D43,2),0)</f>
        <v/>
      </c>
      <c r="M43" s="5">
        <f>IFERROR(ROUND(B43/E43,2),0)</f>
        <v/>
      </c>
      <c r="N43" s="2" t="inlineStr">
        <is>
          <t>2023-10-18</t>
        </is>
      </c>
      <c r="O43" s="5">
        <f>ROUND(1.87,2)</f>
        <v/>
      </c>
      <c r="P43" s="3">
        <f>ROUND(5160.0,2)</f>
        <v/>
      </c>
      <c r="Q43" s="3">
        <f>ROUND(134.0,2)</f>
        <v/>
      </c>
      <c r="R43" s="3">
        <f>ROUND(1199.0,2)</f>
        <v/>
      </c>
      <c r="S43" s="3">
        <f>ROUND(908.0,2)</f>
        <v/>
      </c>
      <c r="T43" s="3">
        <f>ROUND(428.0,2)</f>
        <v/>
      </c>
      <c r="U43" s="3">
        <f>ROUND(265.0,2)</f>
        <v/>
      </c>
      <c r="V43" s="3">
        <f>ROUND(122.0,2)</f>
        <v/>
      </c>
      <c r="W43" s="4">
        <f>IFERROR((Q43/P43),0)</f>
        <v/>
      </c>
      <c r="X43" s="4">
        <f>IFERROR(((0+O11+O12+O13+O14+O15+O16+O17+O19+O20+O21+O22+O23+O24+O25+O27+O28+O29+O30+O31+O32+O33+O35+O36+O37+O38+O39+O40+O41+O43)/T2),0)</f>
        <v/>
      </c>
      <c r="Y43" s="5">
        <f>IFERROR(ROUND(O43/Q43,2),0)</f>
        <v/>
      </c>
      <c r="Z43" s="5">
        <f>IFERROR(ROUND(O43/R43,2),0)</f>
        <v/>
      </c>
      <c r="AA43" s="2" t="inlineStr">
        <is>
          <t>2023-10-18</t>
        </is>
      </c>
      <c r="AB43" s="5">
        <f>ROUND(4.89,2)</f>
        <v/>
      </c>
      <c r="AC43" s="3">
        <f>ROUND(5070.0,2)</f>
        <v/>
      </c>
      <c r="AD43" s="3">
        <f>ROUND(386.0,2)</f>
        <v/>
      </c>
      <c r="AE43" s="3">
        <f>ROUND(2747.0,2)</f>
        <v/>
      </c>
      <c r="AF43" s="3">
        <f>ROUND(2516.0,2)</f>
        <v/>
      </c>
      <c r="AG43" s="3">
        <f>ROUND(1528.0,2)</f>
        <v/>
      </c>
      <c r="AH43" s="3">
        <f>ROUND(1249.0,2)</f>
        <v/>
      </c>
      <c r="AI43" s="3">
        <f>ROUND(81.0,2)</f>
        <v/>
      </c>
      <c r="AJ43" s="4">
        <f>IFERROR((AD43/AC43),0)</f>
        <v/>
      </c>
      <c r="AK43" s="4">
        <f>IFERROR(((0+AB11+AB12+AB13+AB14+AB15+AB16+AB17+AB19+AB20+AB21+AB22+AB23+AB24+AB25+AB27+AB28+AB29+AB30+AB31+AB32+AB33+AB35+AB36+AB37+AB38+AB39+AB40+AB41+AB43)/T2),0)</f>
        <v/>
      </c>
      <c r="AL43" s="5">
        <f>IFERROR(ROUND(AB43/AD43,2),0)</f>
        <v/>
      </c>
      <c r="AM43" s="5">
        <f>IFERROR(ROUND(AB43/AE43,2),0)</f>
        <v/>
      </c>
      <c r="AN43" s="2" t="inlineStr">
        <is>
          <t>2023-10-18</t>
        </is>
      </c>
      <c r="AO43" s="5">
        <f>ROUND(2.9,2)</f>
        <v/>
      </c>
      <c r="AP43" s="3">
        <f>ROUND(3057.0,2)</f>
        <v/>
      </c>
      <c r="AQ43" s="3">
        <f>ROUND(200.0,2)</f>
        <v/>
      </c>
      <c r="AR43" s="3">
        <f>ROUND(1691.0,2)</f>
        <v/>
      </c>
      <c r="AS43" s="3">
        <f>ROUND(1593.0,2)</f>
        <v/>
      </c>
      <c r="AT43" s="3">
        <f>ROUND(1016.0,2)</f>
        <v/>
      </c>
      <c r="AU43" s="3">
        <f>ROUND(889.0,2)</f>
        <v/>
      </c>
      <c r="AV43" s="3">
        <f>ROUND(800.0,2)</f>
        <v/>
      </c>
      <c r="AW43" s="4">
        <f>IFERROR((AQ43/AP43),0)</f>
        <v/>
      </c>
      <c r="AX43" s="4">
        <f>IFERROR(((0+AO11+AO12+AO13+AO14+AO15+AO16+AO17+AO19+AO20+AO21+AO22+AO23+AO24+AO25+AO27+AO28+AO29+AO30+AO31+AO32+AO33+AO35+AO36+AO37+AO38+AO39+AO40+AO41+AO43)/T2),0)</f>
        <v/>
      </c>
      <c r="AY43" s="5">
        <f>IFERROR(ROUND(AO43/AQ43,2),0)</f>
        <v/>
      </c>
      <c r="AZ43" s="5">
        <f>IFERROR(ROUND(AO43/AR43,2),0)</f>
        <v/>
      </c>
      <c r="BA43" s="2" t="inlineStr">
        <is>
          <t>2023-10-18</t>
        </is>
      </c>
      <c r="BB43" s="5">
        <f>ROUND(12.54,2)</f>
        <v/>
      </c>
      <c r="BC43" s="3">
        <f>ROUND(36350.0,2)</f>
        <v/>
      </c>
      <c r="BD43" s="3">
        <f>ROUND(1085.0,2)</f>
        <v/>
      </c>
      <c r="BE43" s="3">
        <f>ROUND(7262.0,2)</f>
        <v/>
      </c>
      <c r="BF43" s="3">
        <f>ROUND(5272.0,2)</f>
        <v/>
      </c>
      <c r="BG43" s="3">
        <f>ROUND(2185.0,2)</f>
        <v/>
      </c>
      <c r="BH43" s="3">
        <f>ROUND(1248.0,2)</f>
        <v/>
      </c>
      <c r="BI43" s="3">
        <f>ROUND(686.0,2)</f>
        <v/>
      </c>
      <c r="BJ43" s="4">
        <f>IFERROR((BD43/BC43),0)</f>
        <v/>
      </c>
      <c r="BK43" s="4">
        <f>IFERROR(((0+BB11+BB12+BB13+BB14+BB15+BB16+BB17+BB19+BB20+BB21+BB22+BB23+BB24+BB25+BB27+BB28+BB29+BB30+BB31+BB32+BB33+BB35+BB36+BB37+BB38+BB39+BB40+BB41+BB43)/T2),0)</f>
        <v/>
      </c>
      <c r="BL43" s="5">
        <f>IFERROR(ROUND(BB43/BD43,2),0)</f>
        <v/>
      </c>
      <c r="BM43" s="5">
        <f>IFERROR(ROUND(BB43/BE43,2),0)</f>
        <v/>
      </c>
      <c r="BN43" s="2" t="inlineStr">
        <is>
          <t>2023-10-18</t>
        </is>
      </c>
      <c r="BO43" s="5">
        <f>ROUND(16.75,2)</f>
        <v/>
      </c>
      <c r="BP43" s="3">
        <f>ROUND(45971.0,2)</f>
        <v/>
      </c>
      <c r="BQ43" s="3">
        <f>ROUND(1416.0,2)</f>
        <v/>
      </c>
      <c r="BR43" s="3">
        <f>ROUND(10907.0,2)</f>
        <v/>
      </c>
      <c r="BS43" s="3">
        <f>ROUND(9323.0,2)</f>
        <v/>
      </c>
      <c r="BT43" s="3">
        <f>ROUND(5386.0,2)</f>
        <v/>
      </c>
      <c r="BU43" s="3">
        <f>ROUND(4329.0,2)</f>
        <v/>
      </c>
      <c r="BV43" s="3">
        <f>ROUND(2928.0,2)</f>
        <v/>
      </c>
      <c r="BW43" s="4">
        <f>IFERROR((BQ43/BP43),0)</f>
        <v/>
      </c>
      <c r="BX43" s="4">
        <f>IFERROR(((0+BO11+BO12+BO13+BO14+BO15+BO16+BO17+BO19+BO20+BO21+BO22+BO23+BO24+BO25+BO27+BO28+BO29+BO30+BO31+BO32+BO33+BO35+BO36+BO37+BO38+BO39+BO40+BO41+BO43)/T2),0)</f>
        <v/>
      </c>
      <c r="BY43" s="5">
        <f>IFERROR(ROUND(BO43/BQ43,2),0)</f>
        <v/>
      </c>
      <c r="BZ43" s="5">
        <f>IFERROR(ROUND(BO43/BR43,2),0)</f>
        <v/>
      </c>
      <c r="CA43" s="2" t="inlineStr">
        <is>
          <t>2023-10-18</t>
        </is>
      </c>
      <c r="CB43" s="5">
        <f>ROUND(2.58,2)</f>
        <v/>
      </c>
      <c r="CC43" s="3">
        <f>ROUND(4911.0,2)</f>
        <v/>
      </c>
      <c r="CD43" s="3">
        <f>ROUND(203.0,2)</f>
        <v/>
      </c>
      <c r="CE43" s="3">
        <f>ROUND(1356.0,2)</f>
        <v/>
      </c>
      <c r="CF43" s="3">
        <f>ROUND(1038.0,2)</f>
        <v/>
      </c>
      <c r="CG43" s="3">
        <f>ROUND(511.0,2)</f>
        <v/>
      </c>
      <c r="CH43" s="3">
        <f>ROUND(357.0,2)</f>
        <v/>
      </c>
      <c r="CI43" s="3">
        <f>ROUND(123.0,2)</f>
        <v/>
      </c>
      <c r="CJ43" s="4">
        <f>IFERROR((CD43/CC43),0)</f>
        <v/>
      </c>
      <c r="CK43" s="4">
        <f>IFERROR(((0+CB11+CB12+CB13+CB14+CB15+CB16+CB17+CB19+CB20+CB21+CB22+CB23+CB24+CB25+CB27+CB28+CB29+CB30+CB31+CB32+CB33+CB35+CB36+CB37+CB38+CB39+CB40+CB41+CB43)/T2),0)</f>
        <v/>
      </c>
      <c r="CL43" s="5">
        <f>IFERROR(ROUND(CB43/CD43,2),0)</f>
        <v/>
      </c>
      <c r="CM43" s="5">
        <f>IFERROR(ROUND(CB43/CE43,2),0)</f>
        <v/>
      </c>
      <c r="CN43" s="2" t="inlineStr">
        <is>
          <t>2023-10-18</t>
        </is>
      </c>
      <c r="CO43" s="5">
        <f>ROUND(54.24,2)</f>
        <v/>
      </c>
      <c r="CP43" s="3">
        <f>ROUND(61148.0,2)</f>
        <v/>
      </c>
      <c r="CQ43" s="3">
        <f>ROUND(3998.0,2)</f>
        <v/>
      </c>
      <c r="CR43" s="3">
        <f>ROUND(40732.0,2)</f>
        <v/>
      </c>
      <c r="CS43" s="3">
        <f>ROUND(39193.0,2)</f>
        <v/>
      </c>
      <c r="CT43" s="3">
        <f>ROUND(17026.0,2)</f>
        <v/>
      </c>
      <c r="CU43" s="3">
        <f>ROUND(10387.0,2)</f>
        <v/>
      </c>
      <c r="CV43" s="3">
        <f>ROUND(7384.0,2)</f>
        <v/>
      </c>
      <c r="CW43" s="4">
        <f>IFERROR((CQ43/CP43),0)</f>
        <v/>
      </c>
      <c r="CX43" s="4">
        <f>IFERROR(((0+CO11+CO12+CO13+CO14+CO15+CO16+CO17+CO19+CO20+CO21+CO22+CO23+CO24+CO25+CO27+CO28+CO29+CO30+CO31+CO32+CO33+CO35+CO36+CO37+CO38+CO39+CO40+CO41+CO43)/T2),0)</f>
        <v/>
      </c>
      <c r="CY43" s="5">
        <f>IFERROR(ROUND(CO43/CQ43,2),0)</f>
        <v/>
      </c>
      <c r="CZ43" s="5">
        <f>IFERROR(ROUND(CO43/CR43,2),0)</f>
        <v/>
      </c>
      <c r="DA43" s="2" t="inlineStr">
        <is>
          <t>2023-10-18</t>
        </is>
      </c>
      <c r="DB43" s="5">
        <f>ROUND(5.69,2)</f>
        <v/>
      </c>
      <c r="DC43" s="3">
        <f>ROUND(14394.0,2)</f>
        <v/>
      </c>
      <c r="DD43" s="3">
        <f>ROUND(489.0,2)</f>
        <v/>
      </c>
      <c r="DE43" s="3">
        <f>ROUND(1604.0,2)</f>
        <v/>
      </c>
      <c r="DF43" s="3">
        <f>ROUND(991.0,2)</f>
        <v/>
      </c>
      <c r="DG43" s="3">
        <f>ROUND(439.0,2)</f>
        <v/>
      </c>
      <c r="DH43" s="3">
        <f>ROUND(226.0,2)</f>
        <v/>
      </c>
      <c r="DI43" s="3">
        <f>ROUND(106.0,2)</f>
        <v/>
      </c>
      <c r="DJ43" s="4">
        <f>IFERROR((DD43/DC43),0)</f>
        <v/>
      </c>
      <c r="DK43" s="4">
        <f>IFERROR(((0+DB11+DB12+DB13+DB14+DB15+DB16+DB17+DB19+DB20+DB21+DB22+DB23+DB24+DB25+DB27+DB28+DB29+DB30+DB31+DB32+DB33+DB35+DB36+DB37+DB38+DB39+DB40+DB41+DB43)/T2),0)</f>
        <v/>
      </c>
      <c r="DL43" s="5">
        <f>IFERROR(ROUND(DB43/DD43,2),0)</f>
        <v/>
      </c>
      <c r="DM43" s="5">
        <f>IFERROR(ROUND(DB43/DE43,2),0)</f>
        <v/>
      </c>
      <c r="DN43" s="2" t="inlineStr">
        <is>
          <t>2023-10-18</t>
        </is>
      </c>
      <c r="DO43" s="5">
        <f>ROUND(12.9,2)</f>
        <v/>
      </c>
      <c r="DP43" s="3">
        <f>ROUND(37301.0,2)</f>
        <v/>
      </c>
      <c r="DQ43" s="3">
        <f>ROUND(1176.0,2)</f>
        <v/>
      </c>
      <c r="DR43" s="3">
        <f>ROUND(5669.0,2)</f>
        <v/>
      </c>
      <c r="DS43" s="3">
        <f>ROUND(4310.0,2)</f>
        <v/>
      </c>
      <c r="DT43" s="3">
        <f>ROUND(2497.0,2)</f>
        <v/>
      </c>
      <c r="DU43" s="3">
        <f>ROUND(1715.0,2)</f>
        <v/>
      </c>
      <c r="DV43" s="3">
        <f>ROUND(867.0,2)</f>
        <v/>
      </c>
      <c r="DW43" s="4">
        <f>IFERROR((DQ43/DP43),0)</f>
        <v/>
      </c>
      <c r="DX43" s="4">
        <f>IFERROR(((0+DO11+DO12+DO13+DO14+DO15+DO16+DO17+DO19+DO20+DO21+DO22+DO23+DO24+DO25+DO27+DO28+DO29+DO30+DO31+DO32+DO33+DO35+DO36+DO37+DO38+DO39+DO40+DO41+DO43)/T2),0)</f>
        <v/>
      </c>
      <c r="DY43" s="5">
        <f>IFERROR(ROUND(DO43/DQ43,2),0)</f>
        <v/>
      </c>
      <c r="DZ43" s="5">
        <f>IFERROR(ROUND(DO43/DR43,2),0)</f>
        <v/>
      </c>
      <c r="EA43" s="2" t="inlineStr">
        <is>
          <t>2023-10-18</t>
        </is>
      </c>
      <c r="EB43" s="5">
        <f>ROUND(6.01,2)</f>
        <v/>
      </c>
      <c r="EC43" s="3">
        <f>ROUND(17059.0,2)</f>
        <v/>
      </c>
      <c r="ED43" s="3">
        <f>ROUND(546.0,2)</f>
        <v/>
      </c>
      <c r="EE43" s="3">
        <f>ROUND(3387.0,2)</f>
        <v/>
      </c>
      <c r="EF43" s="3">
        <f>ROUND(2222.0,2)</f>
        <v/>
      </c>
      <c r="EG43" s="3">
        <f>ROUND(1140.0,2)</f>
        <v/>
      </c>
      <c r="EH43" s="3">
        <f>ROUND(934.0,2)</f>
        <v/>
      </c>
      <c r="EI43" s="3">
        <f>ROUND(329.0,2)</f>
        <v/>
      </c>
      <c r="EJ43" s="4">
        <f>IFERROR((ED43/EC43),0)</f>
        <v/>
      </c>
      <c r="EK43" s="4">
        <f>IFERROR(((0+EB11+EB12+EB13+EB14+EB15+EB16+EB17+EB19+EB20+EB21+EB22+EB23+EB24+EB25+EB27+EB28+EB29+EB30+EB31+EB32+EB33+EB35+EB36+EB37+EB38+EB39+EB40+EB41+EB43)/T2),0)</f>
        <v/>
      </c>
      <c r="EL43" s="5">
        <f>IFERROR(ROUND(EB43/ED43,2),0)</f>
        <v/>
      </c>
      <c r="EM43" s="5">
        <f>IFERROR(ROUND(EB43/EE43,2),0)</f>
        <v/>
      </c>
      <c r="EN43" s="2" t="inlineStr">
        <is>
          <t>2023-10-18</t>
        </is>
      </c>
      <c r="EO43" s="5">
        <f>ROUND(2.36,2)</f>
        <v/>
      </c>
      <c r="EP43" s="3">
        <f>ROUND(3192.0,2)</f>
        <v/>
      </c>
      <c r="EQ43" s="3">
        <f>ROUND(152.0,2)</f>
        <v/>
      </c>
      <c r="ER43" s="3">
        <f>ROUND(349.0,2)</f>
        <v/>
      </c>
      <c r="ES43" s="3">
        <f>ROUND(248.0,2)</f>
        <v/>
      </c>
      <c r="ET43" s="3">
        <f>ROUND(132.0,2)</f>
        <v/>
      </c>
      <c r="EU43" s="3">
        <f>ROUND(57.0,2)</f>
        <v/>
      </c>
      <c r="EV43" s="3">
        <f>ROUND(32.0,2)</f>
        <v/>
      </c>
      <c r="EW43" s="4">
        <f>IFERROR((EQ43/EP43),0)</f>
        <v/>
      </c>
      <c r="EX43" s="4">
        <f>IFERROR(((0+EO11+EO12+EO13+EO14+EO15+EO16+EO17+EO19+EO20+EO21+EO22+EO23+EO24+EO25+EO27+EO28+EO29+EO30+EO31+EO32+EO33+EO35+EO36+EO37+EO38+EO39+EO40+EO41+EO43)/T2),0)</f>
        <v/>
      </c>
      <c r="EY43" s="5">
        <f>IFERROR(ROUND(EO43/EQ43,2),0)</f>
        <v/>
      </c>
      <c r="EZ43" s="5">
        <f>IFERROR(ROUND(EO43/ER43,2),0)</f>
        <v/>
      </c>
      <c r="FA43" s="2" t="inlineStr">
        <is>
          <t>2023-10-18</t>
        </is>
      </c>
      <c r="FB43" s="5">
        <f>ROUND(5.97,2)</f>
        <v/>
      </c>
      <c r="FC43" s="3">
        <f>ROUND(8523.0,2)</f>
        <v/>
      </c>
      <c r="FD43" s="3">
        <f>ROUND(394.0,2)</f>
        <v/>
      </c>
      <c r="FE43" s="3">
        <f>ROUND(1000.0,2)</f>
        <v/>
      </c>
      <c r="FF43" s="3">
        <f>ROUND(826.0,2)</f>
        <v/>
      </c>
      <c r="FG43" s="3">
        <f>ROUND(471.0,2)</f>
        <v/>
      </c>
      <c r="FH43" s="3">
        <f>ROUND(327.0,2)</f>
        <v/>
      </c>
      <c r="FI43" s="3">
        <f>ROUND(133.0,2)</f>
        <v/>
      </c>
      <c r="FJ43" s="4">
        <f>IFERROR((FD43/FC43),0)</f>
        <v/>
      </c>
      <c r="FK43" s="4">
        <f>IFERROR(((0+FB11+FB12+FB13+FB14+FB15+FB16+FB17+FB19+FB20+FB21+FB22+FB23+FB24+FB25+FB27+FB28+FB29+FB30+FB31+FB32+FB33+FB35+FB36+FB37+FB38+FB39+FB40+FB41+FB43)/T2),0)</f>
        <v/>
      </c>
      <c r="FL43" s="5">
        <f>IFERROR(ROUND(FB43/FD43,2),0)</f>
        <v/>
      </c>
      <c r="FM43" s="5">
        <f>IFERROR(ROUND(FB43/FE43,2),0)</f>
        <v/>
      </c>
      <c r="FN43" s="2" t="inlineStr">
        <is>
          <t>2023-10-18</t>
        </is>
      </c>
      <c r="FO43" s="5">
        <f>ROUND(1.04,2)</f>
        <v/>
      </c>
      <c r="FP43" s="3">
        <f>ROUND(1510.0,2)</f>
        <v/>
      </c>
      <c r="FQ43" s="3">
        <f>ROUND(92.0,2)</f>
        <v/>
      </c>
      <c r="FR43" s="3">
        <f>ROUND(142.0,2)</f>
        <v/>
      </c>
      <c r="FS43" s="3">
        <f>ROUND(102.0,2)</f>
        <v/>
      </c>
      <c r="FT43" s="3">
        <f>ROUND(52.0,2)</f>
        <v/>
      </c>
      <c r="FU43" s="3">
        <f>ROUND(40.0,2)</f>
        <v/>
      </c>
      <c r="FV43" s="3">
        <f>ROUND(10.0,2)</f>
        <v/>
      </c>
      <c r="FW43" s="4">
        <f>IFERROR((FQ43/FP43),0)</f>
        <v/>
      </c>
      <c r="FX43" s="4">
        <f>IFERROR(((0+FO11+FO12+FO13+FO14+FO15+FO16+FO17+FO19+FO20+FO21+FO22+FO23+FO24+FO25+FO27+FO28+FO29+FO30+FO31+FO32+FO33+FO35+FO36+FO37+FO38+FO39+FO40+FO41+FO43)/T2),0)</f>
        <v/>
      </c>
      <c r="FY43" s="5">
        <f>IFERROR(ROUND(FO43/FQ43,2),0)</f>
        <v/>
      </c>
      <c r="FZ43" s="5">
        <f>IFERROR(ROUND(FO43/FR43,2),0)</f>
        <v/>
      </c>
      <c r="GA43" s="2" t="inlineStr">
        <is>
          <t>2023-10-18</t>
        </is>
      </c>
      <c r="GB43" s="5">
        <f>ROUND(6.38,2)</f>
        <v/>
      </c>
      <c r="GC43" s="3">
        <f>ROUND(14602.0,2)</f>
        <v/>
      </c>
      <c r="GD43" s="3">
        <f>ROUND(380.0,2)</f>
        <v/>
      </c>
      <c r="GE43" s="3">
        <f>ROUND(2499.0,2)</f>
        <v/>
      </c>
      <c r="GF43" s="3">
        <f>ROUND(1814.0,2)</f>
        <v/>
      </c>
      <c r="GG43" s="3">
        <f>ROUND(806.0,2)</f>
        <v/>
      </c>
      <c r="GH43" s="3">
        <f>ROUND(487.0,2)</f>
        <v/>
      </c>
      <c r="GI43" s="3">
        <f>ROUND(190.0,2)</f>
        <v/>
      </c>
      <c r="GJ43" s="4">
        <f>IFERROR((GD43/GC43),0)</f>
        <v/>
      </c>
      <c r="GK43" s="4">
        <f>IFERROR(((0+GB11+GB12+GB13+GB14+GB15+GB16+GB17+GB19+GB20+GB21+GB22+GB23+GB24+GB25+GB27+GB28+GB29+GB30+GB31+GB32+GB33+GB35+GB36+GB37+GB38+GB39+GB40+GB41+GB43)/T2),0)</f>
        <v/>
      </c>
      <c r="GL43" s="5">
        <f>IFERROR(ROUND(GB43/GD43,2),0)</f>
        <v/>
      </c>
      <c r="GM43" s="5">
        <f>IFERROR(ROUND(GB43/GE43,2),0)</f>
        <v/>
      </c>
      <c r="GN43" s="2" t="inlineStr">
        <is>
          <t>2023-10-18</t>
        </is>
      </c>
      <c r="GO43" s="5">
        <f>ROUND(20.78,2)</f>
        <v/>
      </c>
      <c r="GP43" s="3">
        <f>ROUND(19744.0,2)</f>
        <v/>
      </c>
      <c r="GQ43" s="3">
        <f>ROUND(1215.0,2)</f>
        <v/>
      </c>
      <c r="GR43" s="3">
        <f>ROUND(7674.0,2)</f>
        <v/>
      </c>
      <c r="GS43" s="3">
        <f>ROUND(7061.0,2)</f>
        <v/>
      </c>
      <c r="GT43" s="3">
        <f>ROUND(3411.0,2)</f>
        <v/>
      </c>
      <c r="GU43" s="3">
        <f>ROUND(2481.0,2)</f>
        <v/>
      </c>
      <c r="GV43" s="3">
        <f>ROUND(2063.0,2)</f>
        <v/>
      </c>
      <c r="GW43" s="4">
        <f>IFERROR((GQ43/GP43),0)</f>
        <v/>
      </c>
      <c r="GX43" s="4">
        <f>IFERROR(((0+GO11+GO12+GO13+GO14+GO15+GO16+GO17+GO19+GO20+GO21+GO22+GO23+GO24+GO25+GO27+GO28+GO29+GO30+GO31+GO32+GO33+GO35+GO36+GO37+GO38+GO39+GO40+GO41+GO43)/T2),0)</f>
        <v/>
      </c>
      <c r="GY43" s="5">
        <f>IFERROR(ROUND(GO43/GQ43,2),0)</f>
        <v/>
      </c>
      <c r="GZ43" s="5">
        <f>IFERROR(ROUND(GO43/GR43,2),0)</f>
        <v/>
      </c>
      <c r="HA43" s="2" t="inlineStr">
        <is>
          <t>2023-10-18</t>
        </is>
      </c>
      <c r="HB43" s="5">
        <f>ROUND(4.03,2)</f>
        <v/>
      </c>
      <c r="HC43" s="3">
        <f>ROUND(2756.0,2)</f>
        <v/>
      </c>
      <c r="HD43" s="3">
        <f>ROUND(244.0,2)</f>
        <v/>
      </c>
      <c r="HE43" s="3">
        <f>ROUND(1381.0,2)</f>
        <v/>
      </c>
      <c r="HF43" s="3">
        <f>ROUND(1191.0,2)</f>
        <v/>
      </c>
      <c r="HG43" s="3">
        <f>ROUND(554.0,2)</f>
        <v/>
      </c>
      <c r="HH43" s="3">
        <f>ROUND(459.0,2)</f>
        <v/>
      </c>
      <c r="HI43" s="3">
        <f>ROUND(47.0,2)</f>
        <v/>
      </c>
      <c r="HJ43" s="4">
        <f>IFERROR((HD43/HC43),0)</f>
        <v/>
      </c>
      <c r="HK43" s="4">
        <f>IFERROR(((0+HB11+HB12+HB13+HB14+HB15+HB16+HB17+HB19+HB20+HB21+HB22+HB23+HB24+HB25+HB27+HB28+HB29+HB30+HB31+HB32+HB33+HB35+HB36+HB37+HB38+HB39+HB40+HB41+HB43)/T2),0)</f>
        <v/>
      </c>
      <c r="HL43" s="5">
        <f>IFERROR(ROUND(HB43/HD43,2),0)</f>
        <v/>
      </c>
      <c r="HM43" s="5">
        <f>IFERROR(ROUND(HB43/HE43,2),0)</f>
        <v/>
      </c>
      <c r="HN43" s="2" t="inlineStr">
        <is>
          <t>2023-10-18</t>
        </is>
      </c>
      <c r="HO43" s="5">
        <f>ROUND(0.62,2)</f>
        <v/>
      </c>
      <c r="HP43" s="3">
        <f>ROUND(869.0,2)</f>
        <v/>
      </c>
      <c r="HQ43" s="3">
        <f>ROUND(32.0,2)</f>
        <v/>
      </c>
      <c r="HR43" s="3">
        <f>ROUND(184.0,2)</f>
        <v/>
      </c>
      <c r="HS43" s="3">
        <f>ROUND(157.0,2)</f>
        <v/>
      </c>
      <c r="HT43" s="3">
        <f>ROUND(85.0,2)</f>
        <v/>
      </c>
      <c r="HU43" s="3">
        <f>ROUND(68.0,2)</f>
        <v/>
      </c>
      <c r="HV43" s="3">
        <f>ROUND(56.0,2)</f>
        <v/>
      </c>
      <c r="HW43" s="4">
        <f>IFERROR((HQ43/HP43),0)</f>
        <v/>
      </c>
      <c r="HX43" s="4">
        <f>IFERROR(((0+HO11+HO12+HO13+HO14+HO15+HO16+HO17+HO19+HO20+HO21+HO22+HO23+HO24+HO25+HO27+HO28+HO29+HO30+HO31+HO32+HO33+HO35+HO36+HO37+HO38+HO39+HO40+HO41+HO43)/T2),0)</f>
        <v/>
      </c>
      <c r="HY43" s="5">
        <f>IFERROR(ROUND(HO43/HQ43,2),0)</f>
        <v/>
      </c>
      <c r="HZ43" s="5">
        <f>IFERROR(ROUND(HO43/HR43,2),0)</f>
        <v/>
      </c>
      <c r="IA43" s="2" t="inlineStr">
        <is>
          <t>2023-10-18</t>
        </is>
      </c>
      <c r="IB43" s="5">
        <f>ROUND(2.22,2)</f>
        <v/>
      </c>
      <c r="IC43" s="3">
        <f>ROUND(4612.0,2)</f>
        <v/>
      </c>
      <c r="ID43" s="3">
        <f>ROUND(128.0,2)</f>
        <v/>
      </c>
      <c r="IE43" s="3">
        <f>ROUND(1016.0,2)</f>
        <v/>
      </c>
      <c r="IF43" s="3">
        <f>ROUND(729.0,2)</f>
        <v/>
      </c>
      <c r="IG43" s="3">
        <f>ROUND(349.0,2)</f>
        <v/>
      </c>
      <c r="IH43" s="3">
        <f>ROUND(247.0,2)</f>
        <v/>
      </c>
      <c r="II43" s="3">
        <f>ROUND(90.0,2)</f>
        <v/>
      </c>
      <c r="IJ43" s="4">
        <f>IFERROR((ID43/IC43),0)</f>
        <v/>
      </c>
      <c r="IK43" s="4">
        <f>IFERROR(((0+IB11+IB12+IB13+IB14+IB15+IB16+IB17+IB19+IB20+IB21+IB22+IB23+IB24+IB25+IB27+IB28+IB29+IB30+IB31+IB32+IB33+IB35+IB36+IB37+IB38+IB39+IB40+IB41+IB43)/T2),0)</f>
        <v/>
      </c>
      <c r="IL43" s="5">
        <f>IFERROR(ROUND(IB43/ID43,2),0)</f>
        <v/>
      </c>
      <c r="IM43" s="5">
        <f>IFERROR(ROUND(IB43/IE43,2),0)</f>
        <v/>
      </c>
      <c r="IN43" s="2" t="inlineStr">
        <is>
          <t>2023-10-18</t>
        </is>
      </c>
      <c r="IO43" s="5">
        <f>ROUND(6.42,2)</f>
        <v/>
      </c>
      <c r="IP43" s="3">
        <f>ROUND(11062.0,2)</f>
        <v/>
      </c>
      <c r="IQ43" s="3">
        <f>ROUND(366.0,2)</f>
        <v/>
      </c>
      <c r="IR43" s="3">
        <f>ROUND(2614.0,2)</f>
        <v/>
      </c>
      <c r="IS43" s="3">
        <f>ROUND(2297.0,2)</f>
        <v/>
      </c>
      <c r="IT43" s="3">
        <f>ROUND(1471.0,2)</f>
        <v/>
      </c>
      <c r="IU43" s="3">
        <f>ROUND(1224.0,2)</f>
        <v/>
      </c>
      <c r="IV43" s="3">
        <f>ROUND(893.0,2)</f>
        <v/>
      </c>
      <c r="IW43" s="4">
        <f>IFERROR((IQ43/IP43),0)</f>
        <v/>
      </c>
      <c r="IX43" s="4">
        <f>IFERROR(((0+IO11+IO12+IO13+IO14+IO15+IO16+IO17+IO19+IO20+IO21+IO22+IO23+IO24+IO25+IO27+IO28+IO29+IO30+IO31+IO32+IO33+IO35+IO36+IO37+IO38+IO39+IO40+IO41+IO43)/T2),0)</f>
        <v/>
      </c>
      <c r="IY43" s="5">
        <f>IFERROR(ROUND(IO43/IQ43,2),0)</f>
        <v/>
      </c>
      <c r="IZ43" s="5">
        <f>IFERROR(ROUND(IO43/IR43,2),0)</f>
        <v/>
      </c>
      <c r="JA43" s="2" t="inlineStr">
        <is>
          <t>2023-10-18</t>
        </is>
      </c>
      <c r="JB43" s="5">
        <f>ROUND(1.46,2)</f>
        <v/>
      </c>
      <c r="JC43" s="3">
        <f>ROUND(1818.0,2)</f>
        <v/>
      </c>
      <c r="JD43" s="3">
        <f>ROUND(95.0,2)</f>
        <v/>
      </c>
      <c r="JE43" s="3">
        <f>ROUND(428.0,2)</f>
        <v/>
      </c>
      <c r="JF43" s="3">
        <f>ROUND(329.0,2)</f>
        <v/>
      </c>
      <c r="JG43" s="3">
        <f>ROUND(196.0,2)</f>
        <v/>
      </c>
      <c r="JH43" s="3">
        <f>ROUND(157.0,2)</f>
        <v/>
      </c>
      <c r="JI43" s="3">
        <f>ROUND(39.0,2)</f>
        <v/>
      </c>
      <c r="JJ43" s="4">
        <f>IFERROR((JD43/JC43),0)</f>
        <v/>
      </c>
      <c r="JK43" s="4">
        <f>IFERROR(((0+JB11+JB12+JB13+JB14+JB15+JB16+JB17+JB19+JB20+JB21+JB22+JB23+JB24+JB25+JB27+JB28+JB29+JB30+JB31+JB32+JB33+JB35+JB36+JB37+JB38+JB39+JB40+JB41+JB43)/T2),0)</f>
        <v/>
      </c>
      <c r="JL43" s="5">
        <f>IFERROR(ROUND(JB43/JD43,2),0)</f>
        <v/>
      </c>
      <c r="JM43" s="5">
        <f>IFERROR(ROUND(JB43/JE43,2),0)</f>
        <v/>
      </c>
    </row>
    <row r="44">
      <c r="A44" s="2" t="inlineStr">
        <is>
          <t>2023-10-19</t>
        </is>
      </c>
      <c r="B44" s="5">
        <f>ROUND(60.78,2)</f>
        <v/>
      </c>
      <c r="C44" s="3">
        <f>ROUND(118598.0,2)</f>
        <v/>
      </c>
      <c r="D44" s="3">
        <f>ROUND(4706.0,2)</f>
        <v/>
      </c>
      <c r="E44" s="3">
        <f>ROUND(36890.0,2)</f>
        <v/>
      </c>
      <c r="F44" s="3">
        <f>ROUND(31800.0,2)</f>
        <v/>
      </c>
      <c r="G44" s="3">
        <f>ROUND(15388.0,2)</f>
        <v/>
      </c>
      <c r="H44" s="3">
        <f>ROUND(10394.0,2)</f>
        <v/>
      </c>
      <c r="I44" s="3">
        <f>ROUND(6311.0,2)</f>
        <v/>
      </c>
      <c r="J44" s="4">
        <f>IFERROR((D44/C44),0)</f>
        <v/>
      </c>
      <c r="K44" s="4">
        <f>IFERROR(((0+B11+B12+B13+B14+B15+B16+B17+B19+B20+B21+B22+B23+B24+B25+B27+B28+B29+B30+B31+B32+B33+B35+B36+B37+B38+B39+B40+B41+B43+B44)/T2),0)</f>
        <v/>
      </c>
      <c r="L44" s="5">
        <f>IFERROR(ROUND(B44/D44,2),0)</f>
        <v/>
      </c>
      <c r="M44" s="5">
        <f>IFERROR(ROUND(B44/E44,2),0)</f>
        <v/>
      </c>
      <c r="N44" s="2" t="inlineStr">
        <is>
          <t>2023-10-19</t>
        </is>
      </c>
      <c r="O44" s="5">
        <f>ROUND(0.59,2)</f>
        <v/>
      </c>
      <c r="P44" s="3">
        <f>ROUND(1840.0,2)</f>
        <v/>
      </c>
      <c r="Q44" s="3">
        <f>ROUND(47.0,2)</f>
        <v/>
      </c>
      <c r="R44" s="3">
        <f>ROUND(448.0,2)</f>
        <v/>
      </c>
      <c r="S44" s="3">
        <f>ROUND(337.0,2)</f>
        <v/>
      </c>
      <c r="T44" s="3">
        <f>ROUND(164.0,2)</f>
        <v/>
      </c>
      <c r="U44" s="3">
        <f>ROUND(106.0,2)</f>
        <v/>
      </c>
      <c r="V44" s="3">
        <f>ROUND(56.0,2)</f>
        <v/>
      </c>
      <c r="W44" s="4">
        <f>IFERROR((Q44/P44),0)</f>
        <v/>
      </c>
      <c r="X44" s="4">
        <f>IFERROR(((0+O11+O12+O13+O14+O15+O16+O17+O19+O20+O21+O22+O23+O24+O25+O27+O28+O29+O30+O31+O32+O33+O35+O36+O37+O38+O39+O40+O41+O43+O44)/T2),0)</f>
        <v/>
      </c>
      <c r="Y44" s="5">
        <f>IFERROR(ROUND(O44/Q44,2),0)</f>
        <v/>
      </c>
      <c r="Z44" s="5">
        <f>IFERROR(ROUND(O44/R44,2),0)</f>
        <v/>
      </c>
      <c r="AA44" s="2" t="inlineStr">
        <is>
          <t>2023-10-19</t>
        </is>
      </c>
      <c r="AB44" s="5">
        <f>ROUND(1.44,2)</f>
        <v/>
      </c>
      <c r="AC44" s="3">
        <f>ROUND(1630.0,2)</f>
        <v/>
      </c>
      <c r="AD44" s="3">
        <f>ROUND(101.0,2)</f>
        <v/>
      </c>
      <c r="AE44" s="3">
        <f>ROUND(850.0,2)</f>
        <v/>
      </c>
      <c r="AF44" s="3">
        <f>ROUND(772.0,2)</f>
        <v/>
      </c>
      <c r="AG44" s="3">
        <f>ROUND(457.0,2)</f>
        <v/>
      </c>
      <c r="AH44" s="3">
        <f>ROUND(383.0,2)</f>
        <v/>
      </c>
      <c r="AI44" s="3">
        <f>ROUND(15.0,2)</f>
        <v/>
      </c>
      <c r="AJ44" s="4">
        <f>IFERROR((AD44/AC44),0)</f>
        <v/>
      </c>
      <c r="AK44" s="4">
        <f>IFERROR(((0+AB11+AB12+AB13+AB14+AB15+AB16+AB17+AB19+AB20+AB21+AB22+AB23+AB24+AB25+AB27+AB28+AB29+AB30+AB31+AB32+AB33+AB35+AB36+AB37+AB38+AB39+AB40+AB41+AB43+AB44)/T2),0)</f>
        <v/>
      </c>
      <c r="AL44" s="5">
        <f>IFERROR(ROUND(AB44/AD44,2),0)</f>
        <v/>
      </c>
      <c r="AM44" s="5">
        <f>IFERROR(ROUND(AB44/AE44,2),0)</f>
        <v/>
      </c>
      <c r="AN44" s="2" t="inlineStr">
        <is>
          <t>2023-10-19</t>
        </is>
      </c>
      <c r="AO44" s="5">
        <f>ROUND(0.73,2)</f>
        <v/>
      </c>
      <c r="AP44" s="3">
        <f>ROUND(837.0,2)</f>
        <v/>
      </c>
      <c r="AQ44" s="3">
        <f>ROUND(58.0,2)</f>
        <v/>
      </c>
      <c r="AR44" s="3">
        <f>ROUND(438.0,2)</f>
        <v/>
      </c>
      <c r="AS44" s="3">
        <f>ROUND(409.0,2)</f>
        <v/>
      </c>
      <c r="AT44" s="3">
        <f>ROUND(258.0,2)</f>
        <v/>
      </c>
      <c r="AU44" s="3">
        <f>ROUND(215.0,2)</f>
        <v/>
      </c>
      <c r="AV44" s="3">
        <f>ROUND(182.0,2)</f>
        <v/>
      </c>
      <c r="AW44" s="4">
        <f>IFERROR((AQ44/AP44),0)</f>
        <v/>
      </c>
      <c r="AX44" s="4">
        <f>IFERROR(((0+AO11+AO12+AO13+AO14+AO15+AO16+AO17+AO19+AO20+AO21+AO22+AO23+AO24+AO25+AO27+AO28+AO29+AO30+AO31+AO32+AO33+AO35+AO36+AO37+AO38+AO39+AO40+AO41+AO43+AO44)/T2),0)</f>
        <v/>
      </c>
      <c r="AY44" s="5">
        <f>IFERROR(ROUND(AO44/AQ44,2),0)</f>
        <v/>
      </c>
      <c r="AZ44" s="5">
        <f>IFERROR(ROUND(AO44/AR44,2),0)</f>
        <v/>
      </c>
      <c r="BA44" s="2" t="inlineStr">
        <is>
          <t>2023-10-19</t>
        </is>
      </c>
      <c r="BB44" s="5">
        <f>ROUND(4.84,2)</f>
        <v/>
      </c>
      <c r="BC44" s="3">
        <f>ROUND(13949.0,2)</f>
        <v/>
      </c>
      <c r="BD44" s="3">
        <f>ROUND(441.0,2)</f>
        <v/>
      </c>
      <c r="BE44" s="3">
        <f>ROUND(3017.0,2)</f>
        <v/>
      </c>
      <c r="BF44" s="3">
        <f>ROUND(2167.0,2)</f>
        <v/>
      </c>
      <c r="BG44" s="3">
        <f>ROUND(892.0,2)</f>
        <v/>
      </c>
      <c r="BH44" s="3">
        <f>ROUND(515.0,2)</f>
        <v/>
      </c>
      <c r="BI44" s="3">
        <f>ROUND(261.0,2)</f>
        <v/>
      </c>
      <c r="BJ44" s="4">
        <f>IFERROR((BD44/BC44),0)</f>
        <v/>
      </c>
      <c r="BK44" s="4">
        <f>IFERROR(((0+BB11+BB12+BB13+BB14+BB15+BB16+BB17+BB19+BB20+BB21+BB22+BB23+BB24+BB25+BB27+BB28+BB29+BB30+BB31+BB32+BB33+BB35+BB36+BB37+BB38+BB39+BB40+BB41+BB43+BB44)/T2),0)</f>
        <v/>
      </c>
      <c r="BL44" s="5">
        <f>IFERROR(ROUND(BB44/BD44,2),0)</f>
        <v/>
      </c>
      <c r="BM44" s="5">
        <f>IFERROR(ROUND(BB44/BE44,2),0)</f>
        <v/>
      </c>
      <c r="BN44" s="2" t="inlineStr">
        <is>
          <t>2023-10-19</t>
        </is>
      </c>
      <c r="BO44" s="5">
        <f>ROUND(6.91,2)</f>
        <v/>
      </c>
      <c r="BP44" s="3">
        <f>ROUND(21648.0,2)</f>
        <v/>
      </c>
      <c r="BQ44" s="3">
        <f>ROUND(629.0,2)</f>
        <v/>
      </c>
      <c r="BR44" s="3">
        <f>ROUND(5548.0,2)</f>
        <v/>
      </c>
      <c r="BS44" s="3">
        <f>ROUND(4726.0,2)</f>
        <v/>
      </c>
      <c r="BT44" s="3">
        <f>ROUND(2634.0,2)</f>
        <v/>
      </c>
      <c r="BU44" s="3">
        <f>ROUND(2089.0,2)</f>
        <v/>
      </c>
      <c r="BV44" s="3">
        <f>ROUND(1332.0,2)</f>
        <v/>
      </c>
      <c r="BW44" s="4">
        <f>IFERROR((BQ44/BP44),0)</f>
        <v/>
      </c>
      <c r="BX44" s="4">
        <f>IFERROR(((0+BO11+BO12+BO13+BO14+BO15+BO16+BO17+BO19+BO20+BO21+BO22+BO23+BO24+BO25+BO27+BO28+BO29+BO30+BO31+BO32+BO33+BO35+BO36+BO37+BO38+BO39+BO40+BO41+BO43+BO44)/T2),0)</f>
        <v/>
      </c>
      <c r="BY44" s="5">
        <f>IFERROR(ROUND(BO44/BQ44,2),0)</f>
        <v/>
      </c>
      <c r="BZ44" s="5">
        <f>IFERROR(ROUND(BO44/BR44,2),0)</f>
        <v/>
      </c>
      <c r="CA44" s="2" t="inlineStr">
        <is>
          <t>2023-10-19</t>
        </is>
      </c>
      <c r="CB44" s="5">
        <f>ROUND(1.01,2)</f>
        <v/>
      </c>
      <c r="CC44" s="3">
        <f>ROUND(2031.0,2)</f>
        <v/>
      </c>
      <c r="CD44" s="3">
        <f>ROUND(98.0,2)</f>
        <v/>
      </c>
      <c r="CE44" s="3">
        <f>ROUND(612.0,2)</f>
        <v/>
      </c>
      <c r="CF44" s="3">
        <f>ROUND(468.0,2)</f>
        <v/>
      </c>
      <c r="CG44" s="3">
        <f>ROUND(232.0,2)</f>
        <v/>
      </c>
      <c r="CH44" s="3">
        <f>ROUND(150.0,2)</f>
        <v/>
      </c>
      <c r="CI44" s="3">
        <f>ROUND(44.0,2)</f>
        <v/>
      </c>
      <c r="CJ44" s="4">
        <f>IFERROR((CD44/CC44),0)</f>
        <v/>
      </c>
      <c r="CK44" s="4">
        <f>IFERROR(((0+CB11+CB12+CB13+CB14+CB15+CB16+CB17+CB19+CB20+CB21+CB22+CB23+CB24+CB25+CB27+CB28+CB29+CB30+CB31+CB32+CB33+CB35+CB36+CB37+CB38+CB39+CB40+CB41+CB43+CB44)/T2),0)</f>
        <v/>
      </c>
      <c r="CL44" s="5">
        <f>IFERROR(ROUND(CB44/CD44,2),0)</f>
        <v/>
      </c>
      <c r="CM44" s="5">
        <f>IFERROR(ROUND(CB44/CE44,2),0)</f>
        <v/>
      </c>
      <c r="CN44" s="2" t="inlineStr">
        <is>
          <t>2023-10-19</t>
        </is>
      </c>
      <c r="CO44" s="5">
        <f>ROUND(18.9,2)</f>
        <v/>
      </c>
      <c r="CP44" s="3">
        <f>ROUND(23476.0,2)</f>
        <v/>
      </c>
      <c r="CQ44" s="3">
        <f>ROUND(1474.0,2)</f>
        <v/>
      </c>
      <c r="CR44" s="3">
        <f>ROUND(14915.0,2)</f>
        <v/>
      </c>
      <c r="CS44" s="3">
        <f>ROUND(14282.0,2)</f>
        <v/>
      </c>
      <c r="CT44" s="3">
        <f>ROUND(6337.0,2)</f>
        <v/>
      </c>
      <c r="CU44" s="3">
        <f>ROUND(3761.0,2)</f>
        <v/>
      </c>
      <c r="CV44" s="3">
        <f>ROUND(2608.0,2)</f>
        <v/>
      </c>
      <c r="CW44" s="4">
        <f>IFERROR((CQ44/CP44),0)</f>
        <v/>
      </c>
      <c r="CX44" s="4">
        <f>IFERROR(((0+CO11+CO12+CO13+CO14+CO15+CO16+CO17+CO19+CO20+CO21+CO22+CO23+CO24+CO25+CO27+CO28+CO29+CO30+CO31+CO32+CO33+CO35+CO36+CO37+CO38+CO39+CO40+CO41+CO43+CO44)/T2),0)</f>
        <v/>
      </c>
      <c r="CY44" s="5">
        <f>IFERROR(ROUND(CO44/CQ44,2),0)</f>
        <v/>
      </c>
      <c r="CZ44" s="5">
        <f>IFERROR(ROUND(CO44/CR44,2),0)</f>
        <v/>
      </c>
      <c r="DA44" s="2" t="inlineStr">
        <is>
          <t>2023-10-19</t>
        </is>
      </c>
      <c r="DB44" s="5">
        <f>ROUND(2.56,2)</f>
        <v/>
      </c>
      <c r="DC44" s="3">
        <f>ROUND(6681.0,2)</f>
        <v/>
      </c>
      <c r="DD44" s="3">
        <f>ROUND(195.0,2)</f>
        <v/>
      </c>
      <c r="DE44" s="3">
        <f>ROUND(786.0,2)</f>
        <v/>
      </c>
      <c r="DF44" s="3">
        <f>ROUND(461.0,2)</f>
        <v/>
      </c>
      <c r="DG44" s="3">
        <f>ROUND(191.0,2)</f>
        <v/>
      </c>
      <c r="DH44" s="3">
        <f>ROUND(107.0,2)</f>
        <v/>
      </c>
      <c r="DI44" s="3">
        <f>ROUND(44.0,2)</f>
        <v/>
      </c>
      <c r="DJ44" s="4">
        <f>IFERROR((DD44/DC44),0)</f>
        <v/>
      </c>
      <c r="DK44" s="4">
        <f>IFERROR(((0+DB11+DB12+DB13+DB14+DB15+DB16+DB17+DB19+DB20+DB21+DB22+DB23+DB24+DB25+DB27+DB28+DB29+DB30+DB31+DB32+DB33+DB35+DB36+DB37+DB38+DB39+DB40+DB41+DB43+DB44)/T2),0)</f>
        <v/>
      </c>
      <c r="DL44" s="5">
        <f>IFERROR(ROUND(DB44/DD44,2),0)</f>
        <v/>
      </c>
      <c r="DM44" s="5">
        <f>IFERROR(ROUND(DB44/DE44,2),0)</f>
        <v/>
      </c>
      <c r="DN44" s="2" t="inlineStr">
        <is>
          <t>2023-10-19</t>
        </is>
      </c>
      <c r="DO44" s="5">
        <f>ROUND(4.64,2)</f>
        <v/>
      </c>
      <c r="DP44" s="3">
        <f>ROUND(14418.0,2)</f>
        <v/>
      </c>
      <c r="DQ44" s="3">
        <f>ROUND(446.0,2)</f>
        <v/>
      </c>
      <c r="DR44" s="3">
        <f>ROUND(2337.0,2)</f>
        <v/>
      </c>
      <c r="DS44" s="3">
        <f>ROUND(1769.0,2)</f>
        <v/>
      </c>
      <c r="DT44" s="3">
        <f>ROUND(1035.0,2)</f>
        <v/>
      </c>
      <c r="DU44" s="3">
        <f>ROUND(681.0,2)</f>
        <v/>
      </c>
      <c r="DV44" s="3">
        <f>ROUND(330.0,2)</f>
        <v/>
      </c>
      <c r="DW44" s="4">
        <f>IFERROR((DQ44/DP44),0)</f>
        <v/>
      </c>
      <c r="DX44" s="4">
        <f>IFERROR(((0+DO11+DO12+DO13+DO14+DO15+DO16+DO17+DO19+DO20+DO21+DO22+DO23+DO24+DO25+DO27+DO28+DO29+DO30+DO31+DO32+DO33+DO35+DO36+DO37+DO38+DO39+DO40+DO41+DO43+DO44)/T2),0)</f>
        <v/>
      </c>
      <c r="DY44" s="5">
        <f>IFERROR(ROUND(DO44/DQ44,2),0)</f>
        <v/>
      </c>
      <c r="DZ44" s="5">
        <f>IFERROR(ROUND(DO44/DR44,2),0)</f>
        <v/>
      </c>
      <c r="EA44" s="2" t="inlineStr">
        <is>
          <t>2023-10-19</t>
        </is>
      </c>
      <c r="EB44" s="5">
        <f>ROUND(2.02,2)</f>
        <v/>
      </c>
      <c r="EC44" s="3">
        <f>ROUND(5599.0,2)</f>
        <v/>
      </c>
      <c r="ED44" s="3">
        <f>ROUND(184.0,2)</f>
        <v/>
      </c>
      <c r="EE44" s="3">
        <f>ROUND(1317.0,2)</f>
        <v/>
      </c>
      <c r="EF44" s="3">
        <f>ROUND(843.0,2)</f>
        <v/>
      </c>
      <c r="EG44" s="3">
        <f>ROUND(411.0,2)</f>
        <v/>
      </c>
      <c r="EH44" s="3">
        <f>ROUND(334.0,2)</f>
        <v/>
      </c>
      <c r="EI44" s="3">
        <f>ROUND(124.0,2)</f>
        <v/>
      </c>
      <c r="EJ44" s="4">
        <f>IFERROR((ED44/EC44),0)</f>
        <v/>
      </c>
      <c r="EK44" s="4">
        <f>IFERROR(((0+EB11+EB12+EB13+EB14+EB15+EB16+EB17+EB19+EB20+EB21+EB22+EB23+EB24+EB25+EB27+EB28+EB29+EB30+EB31+EB32+EB33+EB35+EB36+EB37+EB38+EB39+EB40+EB41+EB43+EB44)/T2),0)</f>
        <v/>
      </c>
      <c r="EL44" s="5">
        <f>IFERROR(ROUND(EB44/ED44,2),0)</f>
        <v/>
      </c>
      <c r="EM44" s="5">
        <f>IFERROR(ROUND(EB44/EE44,2),0)</f>
        <v/>
      </c>
      <c r="EN44" s="2" t="inlineStr">
        <is>
          <t>2023-10-19</t>
        </is>
      </c>
      <c r="EO44" s="5">
        <f>ROUND(0.74,2)</f>
        <v/>
      </c>
      <c r="EP44" s="3">
        <f>ROUND(1072.0,2)</f>
        <v/>
      </c>
      <c r="EQ44" s="3">
        <f>ROUND(48.0,2)</f>
        <v/>
      </c>
      <c r="ER44" s="3">
        <f>ROUND(114.0,2)</f>
        <v/>
      </c>
      <c r="ES44" s="3">
        <f>ROUND(81.0,2)</f>
        <v/>
      </c>
      <c r="ET44" s="3">
        <f>ROUND(32.0,2)</f>
        <v/>
      </c>
      <c r="EU44" s="3">
        <f>ROUND(10.0,2)</f>
        <v/>
      </c>
      <c r="EV44" s="3">
        <f>ROUND(4.0,2)</f>
        <v/>
      </c>
      <c r="EW44" s="4">
        <f>IFERROR((EQ44/EP44),0)</f>
        <v/>
      </c>
      <c r="EX44" s="4">
        <f>IFERROR(((0+EO11+EO12+EO13+EO14+EO15+EO16+EO17+EO19+EO20+EO21+EO22+EO23+EO24+EO25+EO27+EO28+EO29+EO30+EO31+EO32+EO33+EO35+EO36+EO37+EO38+EO39+EO40+EO41+EO43+EO44)/T2),0)</f>
        <v/>
      </c>
      <c r="EY44" s="5">
        <f>IFERROR(ROUND(EO44/EQ44,2),0)</f>
        <v/>
      </c>
      <c r="EZ44" s="5">
        <f>IFERROR(ROUND(EO44/ER44,2),0)</f>
        <v/>
      </c>
      <c r="FA44" s="2" t="inlineStr">
        <is>
          <t>2023-10-19</t>
        </is>
      </c>
      <c r="FB44" s="5">
        <f>ROUND(1.9,2)</f>
        <v/>
      </c>
      <c r="FC44" s="3">
        <f>ROUND(3119.0,2)</f>
        <v/>
      </c>
      <c r="FD44" s="3">
        <f>ROUND(107.0,2)</f>
        <v/>
      </c>
      <c r="FE44" s="3">
        <f>ROUND(374.0,2)</f>
        <v/>
      </c>
      <c r="FF44" s="3">
        <f>ROUND(299.0,2)</f>
        <v/>
      </c>
      <c r="FG44" s="3">
        <f>ROUND(154.0,2)</f>
        <v/>
      </c>
      <c r="FH44" s="3">
        <f>ROUND(105.0,2)</f>
        <v/>
      </c>
      <c r="FI44" s="3">
        <f>ROUND(46.0,2)</f>
        <v/>
      </c>
      <c r="FJ44" s="4">
        <f>IFERROR((FD44/FC44),0)</f>
        <v/>
      </c>
      <c r="FK44" s="4">
        <f>IFERROR(((0+FB11+FB12+FB13+FB14+FB15+FB16+FB17+FB19+FB20+FB21+FB22+FB23+FB24+FB25+FB27+FB28+FB29+FB30+FB31+FB32+FB33+FB35+FB36+FB37+FB38+FB39+FB40+FB41+FB43+FB44)/T2),0)</f>
        <v/>
      </c>
      <c r="FL44" s="5">
        <f>IFERROR(ROUND(FB44/FD44,2),0)</f>
        <v/>
      </c>
      <c r="FM44" s="5">
        <f>IFERROR(ROUND(FB44/FE44,2),0)</f>
        <v/>
      </c>
      <c r="FN44" s="2" t="inlineStr">
        <is>
          <t>2023-10-19</t>
        </is>
      </c>
      <c r="FO44" s="5">
        <f>ROUND(0.54,2)</f>
        <v/>
      </c>
      <c r="FP44" s="3">
        <f>ROUND(904.0,2)</f>
        <v/>
      </c>
      <c r="FQ44" s="3">
        <f>ROUND(52.0,2)</f>
        <v/>
      </c>
      <c r="FR44" s="3">
        <f>ROUND(78.0,2)</f>
        <v/>
      </c>
      <c r="FS44" s="3">
        <f>ROUND(53.0,2)</f>
        <v/>
      </c>
      <c r="FT44" s="3">
        <f>ROUND(24.0,2)</f>
        <v/>
      </c>
      <c r="FU44" s="3">
        <f>ROUND(16.0,2)</f>
        <v/>
      </c>
      <c r="FV44" s="3">
        <f>ROUND(8.0,2)</f>
        <v/>
      </c>
      <c r="FW44" s="4">
        <f>IFERROR((FQ44/FP44),0)</f>
        <v/>
      </c>
      <c r="FX44" s="4">
        <f>IFERROR(((0+FO11+FO12+FO13+FO14+FO15+FO16+FO17+FO19+FO20+FO21+FO22+FO23+FO24+FO25+FO27+FO28+FO29+FO30+FO31+FO32+FO33+FO35+FO36+FO37+FO38+FO39+FO40+FO41+FO43+FO44)/T2),0)</f>
        <v/>
      </c>
      <c r="FY44" s="5">
        <f>IFERROR(ROUND(FO44/FQ44,2),0)</f>
        <v/>
      </c>
      <c r="FZ44" s="5">
        <f>IFERROR(ROUND(FO44/FR44,2),0)</f>
        <v/>
      </c>
      <c r="GA44" s="2" t="inlineStr">
        <is>
          <t>2023-10-19</t>
        </is>
      </c>
      <c r="GB44" s="5">
        <f>ROUND(2.19,2)</f>
        <v/>
      </c>
      <c r="GC44" s="3">
        <f>ROUND(5575.0,2)</f>
        <v/>
      </c>
      <c r="GD44" s="3">
        <f>ROUND(133.0,2)</f>
        <v/>
      </c>
      <c r="GE44" s="3">
        <f>ROUND(1085.0,2)</f>
        <v/>
      </c>
      <c r="GF44" s="3">
        <f>ROUND(779.0,2)</f>
        <v/>
      </c>
      <c r="GG44" s="3">
        <f>ROUND(317.0,2)</f>
        <v/>
      </c>
      <c r="GH44" s="3">
        <f>ROUND(176.0,2)</f>
        <v/>
      </c>
      <c r="GI44" s="3">
        <f>ROUND(56.0,2)</f>
        <v/>
      </c>
      <c r="GJ44" s="4">
        <f>IFERROR((GD44/GC44),0)</f>
        <v/>
      </c>
      <c r="GK44" s="4">
        <f>IFERROR(((0+GB11+GB12+GB13+GB14+GB15+GB16+GB17+GB19+GB20+GB21+GB22+GB23+GB24+GB25+GB27+GB28+GB29+GB30+GB31+GB32+GB33+GB35+GB36+GB37+GB38+GB39+GB40+GB41+GB43+GB44)/T2),0)</f>
        <v/>
      </c>
      <c r="GL44" s="5">
        <f>IFERROR(ROUND(GB44/GD44,2),0)</f>
        <v/>
      </c>
      <c r="GM44" s="5">
        <f>IFERROR(ROUND(GB44/GE44,2),0)</f>
        <v/>
      </c>
      <c r="GN44" s="2" t="inlineStr">
        <is>
          <t>2023-10-19</t>
        </is>
      </c>
      <c r="GO44" s="5">
        <f>ROUND(6.65,2)</f>
        <v/>
      </c>
      <c r="GP44" s="3">
        <f>ROUND(7270.0,2)</f>
        <v/>
      </c>
      <c r="GQ44" s="3">
        <f>ROUND(415.0,2)</f>
        <v/>
      </c>
      <c r="GR44" s="3">
        <f>ROUND(2655.0,2)</f>
        <v/>
      </c>
      <c r="GS44" s="3">
        <f>ROUND(2403.0,2)</f>
        <v/>
      </c>
      <c r="GT44" s="3">
        <f>ROUND(1139.0,2)</f>
        <v/>
      </c>
      <c r="GU44" s="3">
        <f>ROUND(844.0,2)</f>
        <v/>
      </c>
      <c r="GV44" s="3">
        <f>ROUND(677.0,2)</f>
        <v/>
      </c>
      <c r="GW44" s="4">
        <f>IFERROR((GQ44/GP44),0)</f>
        <v/>
      </c>
      <c r="GX44" s="4">
        <f>IFERROR(((0+GO11+GO12+GO13+GO14+GO15+GO16+GO17+GO19+GO20+GO21+GO22+GO23+GO24+GO25+GO27+GO28+GO29+GO30+GO31+GO32+GO33+GO35+GO36+GO37+GO38+GO39+GO40+GO41+GO43+GO44)/T2),0)</f>
        <v/>
      </c>
      <c r="GY44" s="5">
        <f>IFERROR(ROUND(GO44/GQ44,2),0)</f>
        <v/>
      </c>
      <c r="GZ44" s="5">
        <f>IFERROR(ROUND(GO44/GR44,2),0)</f>
        <v/>
      </c>
      <c r="HA44" s="2" t="inlineStr">
        <is>
          <t>2023-10-19</t>
        </is>
      </c>
      <c r="HB44" s="5">
        <f>ROUND(1.01,2)</f>
        <v/>
      </c>
      <c r="HC44" s="3">
        <f>ROUND(813.0,2)</f>
        <v/>
      </c>
      <c r="HD44" s="3">
        <f>ROUND(47.0,2)</f>
        <v/>
      </c>
      <c r="HE44" s="3">
        <f>ROUND(363.0,2)</f>
        <v/>
      </c>
      <c r="HF44" s="3">
        <f>ROUND(312.0,2)</f>
        <v/>
      </c>
      <c r="HG44" s="3">
        <f>ROUND(131.0,2)</f>
        <v/>
      </c>
      <c r="HH44" s="3">
        <f>ROUND(109.0,2)</f>
        <v/>
      </c>
      <c r="HI44" s="3">
        <f>ROUND(9.0,2)</f>
        <v/>
      </c>
      <c r="HJ44" s="4">
        <f>IFERROR((HD44/HC44),0)</f>
        <v/>
      </c>
      <c r="HK44" s="4">
        <f>IFERROR(((0+HB11+HB12+HB13+HB14+HB15+HB16+HB17+HB19+HB20+HB21+HB22+HB23+HB24+HB25+HB27+HB28+HB29+HB30+HB31+HB32+HB33+HB35+HB36+HB37+HB38+HB39+HB40+HB41+HB43+HB44)/T2),0)</f>
        <v/>
      </c>
      <c r="HL44" s="5">
        <f>IFERROR(ROUND(HB44/HD44,2),0)</f>
        <v/>
      </c>
      <c r="HM44" s="5">
        <f>IFERROR(ROUND(HB44/HE44,2),0)</f>
        <v/>
      </c>
      <c r="HN44" s="2" t="inlineStr">
        <is>
          <t>2023-10-19</t>
        </is>
      </c>
      <c r="HO44" s="5">
        <f>ROUND(0.17,2)</f>
        <v/>
      </c>
      <c r="HP44" s="3">
        <f>ROUND(275.0,2)</f>
        <v/>
      </c>
      <c r="HQ44" s="3">
        <f>ROUND(15.0,2)</f>
        <v/>
      </c>
      <c r="HR44" s="3">
        <f>ROUND(59.0,2)</f>
        <v/>
      </c>
      <c r="HS44" s="3">
        <f>ROUND(52.0,2)</f>
        <v/>
      </c>
      <c r="HT44" s="3">
        <f>ROUND(30.0,2)</f>
        <v/>
      </c>
      <c r="HU44" s="3">
        <f>ROUND(23.0,2)</f>
        <v/>
      </c>
      <c r="HV44" s="3">
        <f>ROUND(19.0,2)</f>
        <v/>
      </c>
      <c r="HW44" s="4">
        <f>IFERROR((HQ44/HP44),0)</f>
        <v/>
      </c>
      <c r="HX44" s="4">
        <f>IFERROR(((0+HO11+HO12+HO13+HO14+HO15+HO16+HO17+HO19+HO20+HO21+HO22+HO23+HO24+HO25+HO27+HO28+HO29+HO30+HO31+HO32+HO33+HO35+HO36+HO37+HO38+HO39+HO40+HO41+HO43+HO44)/T2),0)</f>
        <v/>
      </c>
      <c r="HY44" s="5">
        <f>IFERROR(ROUND(HO44/HQ44,2),0)</f>
        <v/>
      </c>
      <c r="HZ44" s="5">
        <f>IFERROR(ROUND(HO44/HR44,2),0)</f>
        <v/>
      </c>
      <c r="IA44" s="2" t="inlineStr">
        <is>
          <t>2023-10-19</t>
        </is>
      </c>
      <c r="IB44" s="5">
        <f>ROUND(0.73,2)</f>
        <v/>
      </c>
      <c r="IC44" s="3">
        <f>ROUND(1499.0,2)</f>
        <v/>
      </c>
      <c r="ID44" s="3">
        <f>ROUND(33.0,2)</f>
        <v/>
      </c>
      <c r="IE44" s="3">
        <f>ROUND(355.0,2)</f>
        <v/>
      </c>
      <c r="IF44" s="3">
        <f>ROUND(257.0,2)</f>
        <v/>
      </c>
      <c r="IG44" s="3">
        <f>ROUND(122.0,2)</f>
        <v/>
      </c>
      <c r="IH44" s="3">
        <f>ROUND(87.0,2)</f>
        <v/>
      </c>
      <c r="II44" s="3">
        <f>ROUND(34.0,2)</f>
        <v/>
      </c>
      <c r="IJ44" s="4">
        <f>IFERROR((ID44/IC44),0)</f>
        <v/>
      </c>
      <c r="IK44" s="4">
        <f>IFERROR(((0+IB11+IB12+IB13+IB14+IB15+IB16+IB17+IB19+IB20+IB21+IB22+IB23+IB24+IB25+IB27+IB28+IB29+IB30+IB31+IB32+IB33+IB35+IB36+IB37+IB38+IB39+IB40+IB41+IB43+IB44)/T2),0)</f>
        <v/>
      </c>
      <c r="IL44" s="5">
        <f>IFERROR(ROUND(IB44/ID44,2),0)</f>
        <v/>
      </c>
      <c r="IM44" s="5">
        <f>IFERROR(ROUND(IB44/IE44,2),0)</f>
        <v/>
      </c>
      <c r="IN44" s="2" t="inlineStr">
        <is>
          <t>2023-10-19</t>
        </is>
      </c>
      <c r="IO44" s="5">
        <f>ROUND(2.76,2)</f>
        <v/>
      </c>
      <c r="IP44" s="3">
        <f>ROUND(5326.0,2)</f>
        <v/>
      </c>
      <c r="IQ44" s="3">
        <f>ROUND(148.0,2)</f>
        <v/>
      </c>
      <c r="IR44" s="3">
        <f>ROUND(1405.0,2)</f>
        <v/>
      </c>
      <c r="IS44" s="3">
        <f>ROUND(1228.0,2)</f>
        <v/>
      </c>
      <c r="IT44" s="3">
        <f>ROUND(769.0,2)</f>
        <v/>
      </c>
      <c r="IU44" s="3">
        <f>ROUND(632.0,2)</f>
        <v/>
      </c>
      <c r="IV44" s="3">
        <f>ROUND(443.0,2)</f>
        <v/>
      </c>
      <c r="IW44" s="4">
        <f>IFERROR((IQ44/IP44),0)</f>
        <v/>
      </c>
      <c r="IX44" s="4">
        <f>IFERROR(((0+IO11+IO12+IO13+IO14+IO15+IO16+IO17+IO19+IO20+IO21+IO22+IO23+IO24+IO25+IO27+IO28+IO29+IO30+IO31+IO32+IO33+IO35+IO36+IO37+IO38+IO39+IO40+IO41+IO43+IO44)/T2),0)</f>
        <v/>
      </c>
      <c r="IY44" s="5">
        <f>IFERROR(ROUND(IO44/IQ44,2),0)</f>
        <v/>
      </c>
      <c r="IZ44" s="5">
        <f>IFERROR(ROUND(IO44/IR44,2),0)</f>
        <v/>
      </c>
      <c r="JA44" s="2" t="inlineStr">
        <is>
          <t>2023-10-19</t>
        </is>
      </c>
      <c r="JB44" s="5">
        <f>ROUND(0.45,2)</f>
        <v/>
      </c>
      <c r="JC44" s="3">
        <f>ROUND(636.0,2)</f>
        <v/>
      </c>
      <c r="JD44" s="3">
        <f>ROUND(35.0,2)</f>
        <v/>
      </c>
      <c r="JE44" s="3">
        <f>ROUND(134.0,2)</f>
        <v/>
      </c>
      <c r="JF44" s="3">
        <f>ROUND(102.0,2)</f>
        <v/>
      </c>
      <c r="JG44" s="3">
        <f>ROUND(59.0,2)</f>
        <v/>
      </c>
      <c r="JH44" s="3">
        <f>ROUND(51.0,2)</f>
        <v/>
      </c>
      <c r="JI44" s="3">
        <f>ROUND(19.0,2)</f>
        <v/>
      </c>
      <c r="JJ44" s="4">
        <f>IFERROR((JD44/JC44),0)</f>
        <v/>
      </c>
      <c r="JK44" s="4">
        <f>IFERROR(((0+JB11+JB12+JB13+JB14+JB15+JB16+JB17+JB19+JB20+JB21+JB22+JB23+JB24+JB25+JB27+JB28+JB29+JB30+JB31+JB32+JB33+JB35+JB36+JB37+JB38+JB39+JB40+JB41+JB43+JB44)/T2),0)</f>
        <v/>
      </c>
      <c r="JL44" s="5">
        <f>IFERROR(ROUND(JB44/JD44,2),0)</f>
        <v/>
      </c>
      <c r="JM44" s="5">
        <f>IFERROR(ROUND(JB44/JE44,2),0)</f>
        <v/>
      </c>
    </row>
    <row r="45">
      <c r="A45" s="2" t="inlineStr">
        <is>
          <t>2023-10-20</t>
        </is>
      </c>
      <c r="B45" s="5">
        <f>ROUND(0.0,2)</f>
        <v/>
      </c>
      <c r="C45" s="3">
        <f>ROUND(0.0,2)</f>
        <v/>
      </c>
      <c r="D45" s="3">
        <f>ROUND(0.0,2)</f>
        <v/>
      </c>
      <c r="E45" s="3">
        <f>ROUND(0.0,2)</f>
        <v/>
      </c>
      <c r="F45" s="3">
        <f>ROUND(0.0,2)</f>
        <v/>
      </c>
      <c r="G45" s="3">
        <f>ROUND(0.0,2)</f>
        <v/>
      </c>
      <c r="H45" s="3">
        <f>ROUND(0.0,2)</f>
        <v/>
      </c>
      <c r="I45" s="3">
        <f>ROUND(0.0,2)</f>
        <v/>
      </c>
      <c r="J45" s="4">
        <f>IFERROR((D45/C45),0)</f>
        <v/>
      </c>
      <c r="K45" s="4">
        <f>IFERROR(((0+B11+B12+B13+B14+B15+B16+B17+B19+B20+B21+B22+B23+B24+B25+B27+B28+B29+B30+B31+B32+B33+B35+B36+B37+B38+B39+B40+B41+B43+B44+B45)/T2),0)</f>
        <v/>
      </c>
      <c r="L45" s="5">
        <f>IFERROR(ROUND(B45/D45,2),0)</f>
        <v/>
      </c>
      <c r="M45" s="5">
        <f>IFERROR(ROUND(B45/E45,2),0)</f>
        <v/>
      </c>
      <c r="N45" s="2" t="inlineStr">
        <is>
          <t>2023-10-20</t>
        </is>
      </c>
      <c r="O45" s="5">
        <f>ROUND(0.0,2)</f>
        <v/>
      </c>
      <c r="P45" s="3">
        <f>ROUND(0.0,2)</f>
        <v/>
      </c>
      <c r="Q45" s="3">
        <f>ROUND(0.0,2)</f>
        <v/>
      </c>
      <c r="R45" s="3">
        <f>ROUND(0.0,2)</f>
        <v/>
      </c>
      <c r="S45" s="3">
        <f>ROUND(0.0,2)</f>
        <v/>
      </c>
      <c r="T45" s="3">
        <f>ROUND(0.0,2)</f>
        <v/>
      </c>
      <c r="U45" s="3">
        <f>ROUND(0.0,2)</f>
        <v/>
      </c>
      <c r="V45" s="3">
        <f>ROUND(0.0,2)</f>
        <v/>
      </c>
      <c r="W45" s="4">
        <f>IFERROR((Q45/P45),0)</f>
        <v/>
      </c>
      <c r="X45" s="4">
        <f>IFERROR(((0+O11+O12+O13+O14+O15+O16+O17+O19+O20+O21+O22+O23+O24+O25+O27+O28+O29+O30+O31+O32+O33+O35+O36+O37+O38+O39+O40+O41+O43+O44+O45)/T2),0)</f>
        <v/>
      </c>
      <c r="Y45" s="5">
        <f>IFERROR(ROUND(O45/Q45,2),0)</f>
        <v/>
      </c>
      <c r="Z45" s="5">
        <f>IFERROR(ROUND(O45/R45,2),0)</f>
        <v/>
      </c>
      <c r="AA45" s="2" t="inlineStr">
        <is>
          <t>2023-10-20</t>
        </is>
      </c>
      <c r="AB45" s="5">
        <f>ROUND(0.0,2)</f>
        <v/>
      </c>
      <c r="AC45" s="3">
        <f>ROUND(0.0,2)</f>
        <v/>
      </c>
      <c r="AD45" s="3">
        <f>ROUND(0.0,2)</f>
        <v/>
      </c>
      <c r="AE45" s="3">
        <f>ROUND(0.0,2)</f>
        <v/>
      </c>
      <c r="AF45" s="3">
        <f>ROUND(0.0,2)</f>
        <v/>
      </c>
      <c r="AG45" s="3">
        <f>ROUND(0.0,2)</f>
        <v/>
      </c>
      <c r="AH45" s="3">
        <f>ROUND(0.0,2)</f>
        <v/>
      </c>
      <c r="AI45" s="3">
        <f>ROUND(0.0,2)</f>
        <v/>
      </c>
      <c r="AJ45" s="4">
        <f>IFERROR((AD45/AC45),0)</f>
        <v/>
      </c>
      <c r="AK45" s="4">
        <f>IFERROR(((0+AB11+AB12+AB13+AB14+AB15+AB16+AB17+AB19+AB20+AB21+AB22+AB23+AB24+AB25+AB27+AB28+AB29+AB30+AB31+AB32+AB33+AB35+AB36+AB37+AB38+AB39+AB40+AB41+AB43+AB44+AB45)/T2),0)</f>
        <v/>
      </c>
      <c r="AL45" s="5">
        <f>IFERROR(ROUND(AB45/AD45,2),0)</f>
        <v/>
      </c>
      <c r="AM45" s="5">
        <f>IFERROR(ROUND(AB45/AE45,2),0)</f>
        <v/>
      </c>
      <c r="AN45" s="2" t="inlineStr">
        <is>
          <t>2023-10-20</t>
        </is>
      </c>
      <c r="AO45" s="5">
        <f>ROUND(0.0,2)</f>
        <v/>
      </c>
      <c r="AP45" s="3">
        <f>ROUND(0.0,2)</f>
        <v/>
      </c>
      <c r="AQ45" s="3">
        <f>ROUND(0.0,2)</f>
        <v/>
      </c>
      <c r="AR45" s="3">
        <f>ROUND(0.0,2)</f>
        <v/>
      </c>
      <c r="AS45" s="3">
        <f>ROUND(0.0,2)</f>
        <v/>
      </c>
      <c r="AT45" s="3">
        <f>ROUND(0.0,2)</f>
        <v/>
      </c>
      <c r="AU45" s="3">
        <f>ROUND(0.0,2)</f>
        <v/>
      </c>
      <c r="AV45" s="3">
        <f>ROUND(0.0,2)</f>
        <v/>
      </c>
      <c r="AW45" s="4">
        <f>IFERROR((AQ45/AP45),0)</f>
        <v/>
      </c>
      <c r="AX45" s="4">
        <f>IFERROR(((0+AO11+AO12+AO13+AO14+AO15+AO16+AO17+AO19+AO20+AO21+AO22+AO23+AO24+AO25+AO27+AO28+AO29+AO30+AO31+AO32+AO33+AO35+AO36+AO37+AO38+AO39+AO40+AO41+AO43+AO44+AO45)/T2),0)</f>
        <v/>
      </c>
      <c r="AY45" s="5">
        <f>IFERROR(ROUND(AO45/AQ45,2),0)</f>
        <v/>
      </c>
      <c r="AZ45" s="5">
        <f>IFERROR(ROUND(AO45/AR45,2),0)</f>
        <v/>
      </c>
      <c r="BA45" s="2" t="inlineStr">
        <is>
          <t>2023-10-20</t>
        </is>
      </c>
      <c r="BB45" s="5">
        <f>ROUND(0.0,2)</f>
        <v/>
      </c>
      <c r="BC45" s="3">
        <f>ROUND(0.0,2)</f>
        <v/>
      </c>
      <c r="BD45" s="3">
        <f>ROUND(0.0,2)</f>
        <v/>
      </c>
      <c r="BE45" s="3">
        <f>ROUND(0.0,2)</f>
        <v/>
      </c>
      <c r="BF45" s="3">
        <f>ROUND(0.0,2)</f>
        <v/>
      </c>
      <c r="BG45" s="3">
        <f>ROUND(0.0,2)</f>
        <v/>
      </c>
      <c r="BH45" s="3">
        <f>ROUND(0.0,2)</f>
        <v/>
      </c>
      <c r="BI45" s="3">
        <f>ROUND(0.0,2)</f>
        <v/>
      </c>
      <c r="BJ45" s="4">
        <f>IFERROR((BD45/BC45),0)</f>
        <v/>
      </c>
      <c r="BK45" s="4">
        <f>IFERROR(((0+BB11+BB12+BB13+BB14+BB15+BB16+BB17+BB19+BB20+BB21+BB22+BB23+BB24+BB25+BB27+BB28+BB29+BB30+BB31+BB32+BB33+BB35+BB36+BB37+BB38+BB39+BB40+BB41+BB43+BB44+BB45)/T2),0)</f>
        <v/>
      </c>
      <c r="BL45" s="5">
        <f>IFERROR(ROUND(BB45/BD45,2),0)</f>
        <v/>
      </c>
      <c r="BM45" s="5">
        <f>IFERROR(ROUND(BB45/BE45,2),0)</f>
        <v/>
      </c>
      <c r="BN45" s="2" t="inlineStr">
        <is>
          <t>2023-10-20</t>
        </is>
      </c>
      <c r="BO45" s="5">
        <f>ROUND(0.0,2)</f>
        <v/>
      </c>
      <c r="BP45" s="3">
        <f>ROUND(0.0,2)</f>
        <v/>
      </c>
      <c r="BQ45" s="3">
        <f>ROUND(0.0,2)</f>
        <v/>
      </c>
      <c r="BR45" s="3">
        <f>ROUND(0.0,2)</f>
        <v/>
      </c>
      <c r="BS45" s="3">
        <f>ROUND(0.0,2)</f>
        <v/>
      </c>
      <c r="BT45" s="3">
        <f>ROUND(0.0,2)</f>
        <v/>
      </c>
      <c r="BU45" s="3">
        <f>ROUND(0.0,2)</f>
        <v/>
      </c>
      <c r="BV45" s="3">
        <f>ROUND(0.0,2)</f>
        <v/>
      </c>
      <c r="BW45" s="4">
        <f>IFERROR((BQ45/BP45),0)</f>
        <v/>
      </c>
      <c r="BX45" s="4">
        <f>IFERROR(((0+BO11+BO12+BO13+BO14+BO15+BO16+BO17+BO19+BO20+BO21+BO22+BO23+BO24+BO25+BO27+BO28+BO29+BO30+BO31+BO32+BO33+BO35+BO36+BO37+BO38+BO39+BO40+BO41+BO43+BO44+BO45)/T2),0)</f>
        <v/>
      </c>
      <c r="BY45" s="5">
        <f>IFERROR(ROUND(BO45/BQ45,2),0)</f>
        <v/>
      </c>
      <c r="BZ45" s="5">
        <f>IFERROR(ROUND(BO45/BR45,2),0)</f>
        <v/>
      </c>
      <c r="CA45" s="2" t="inlineStr">
        <is>
          <t>2023-10-20</t>
        </is>
      </c>
      <c r="CB45" s="5">
        <f>ROUND(0.0,2)</f>
        <v/>
      </c>
      <c r="CC45" s="3">
        <f>ROUND(0.0,2)</f>
        <v/>
      </c>
      <c r="CD45" s="3">
        <f>ROUND(0.0,2)</f>
        <v/>
      </c>
      <c r="CE45" s="3">
        <f>ROUND(0.0,2)</f>
        <v/>
      </c>
      <c r="CF45" s="3">
        <f>ROUND(0.0,2)</f>
        <v/>
      </c>
      <c r="CG45" s="3">
        <f>ROUND(0.0,2)</f>
        <v/>
      </c>
      <c r="CH45" s="3">
        <f>ROUND(0.0,2)</f>
        <v/>
      </c>
      <c r="CI45" s="3">
        <f>ROUND(0.0,2)</f>
        <v/>
      </c>
      <c r="CJ45" s="4">
        <f>IFERROR((CD45/CC45),0)</f>
        <v/>
      </c>
      <c r="CK45" s="4">
        <f>IFERROR(((0+CB11+CB12+CB13+CB14+CB15+CB16+CB17+CB19+CB20+CB21+CB22+CB23+CB24+CB25+CB27+CB28+CB29+CB30+CB31+CB32+CB33+CB35+CB36+CB37+CB38+CB39+CB40+CB41+CB43+CB44+CB45)/T2),0)</f>
        <v/>
      </c>
      <c r="CL45" s="5">
        <f>IFERROR(ROUND(CB45/CD45,2),0)</f>
        <v/>
      </c>
      <c r="CM45" s="5">
        <f>IFERROR(ROUND(CB45/CE45,2),0)</f>
        <v/>
      </c>
      <c r="CN45" s="2" t="inlineStr">
        <is>
          <t>2023-10-20</t>
        </is>
      </c>
      <c r="CO45" s="5">
        <f>ROUND(0.0,2)</f>
        <v/>
      </c>
      <c r="CP45" s="3">
        <f>ROUND(0.0,2)</f>
        <v/>
      </c>
      <c r="CQ45" s="3">
        <f>ROUND(0.0,2)</f>
        <v/>
      </c>
      <c r="CR45" s="3">
        <f>ROUND(0.0,2)</f>
        <v/>
      </c>
      <c r="CS45" s="3">
        <f>ROUND(0.0,2)</f>
        <v/>
      </c>
      <c r="CT45" s="3">
        <f>ROUND(0.0,2)</f>
        <v/>
      </c>
      <c r="CU45" s="3">
        <f>ROUND(0.0,2)</f>
        <v/>
      </c>
      <c r="CV45" s="3">
        <f>ROUND(0.0,2)</f>
        <v/>
      </c>
      <c r="CW45" s="4">
        <f>IFERROR((CQ45/CP45),0)</f>
        <v/>
      </c>
      <c r="CX45" s="4">
        <f>IFERROR(((0+CO11+CO12+CO13+CO14+CO15+CO16+CO17+CO19+CO20+CO21+CO22+CO23+CO24+CO25+CO27+CO28+CO29+CO30+CO31+CO32+CO33+CO35+CO36+CO37+CO38+CO39+CO40+CO41+CO43+CO44+CO45)/T2),0)</f>
        <v/>
      </c>
      <c r="CY45" s="5">
        <f>IFERROR(ROUND(CO45/CQ45,2),0)</f>
        <v/>
      </c>
      <c r="CZ45" s="5">
        <f>IFERROR(ROUND(CO45/CR45,2),0)</f>
        <v/>
      </c>
      <c r="DA45" s="2" t="inlineStr">
        <is>
          <t>2023-10-20</t>
        </is>
      </c>
      <c r="DB45" s="5">
        <f>ROUND(0.0,2)</f>
        <v/>
      </c>
      <c r="DC45" s="3">
        <f>ROUND(0.0,2)</f>
        <v/>
      </c>
      <c r="DD45" s="3">
        <f>ROUND(0.0,2)</f>
        <v/>
      </c>
      <c r="DE45" s="3">
        <f>ROUND(0.0,2)</f>
        <v/>
      </c>
      <c r="DF45" s="3">
        <f>ROUND(0.0,2)</f>
        <v/>
      </c>
      <c r="DG45" s="3">
        <f>ROUND(0.0,2)</f>
        <v/>
      </c>
      <c r="DH45" s="3">
        <f>ROUND(0.0,2)</f>
        <v/>
      </c>
      <c r="DI45" s="3">
        <f>ROUND(0.0,2)</f>
        <v/>
      </c>
      <c r="DJ45" s="4">
        <f>IFERROR((DD45/DC45),0)</f>
        <v/>
      </c>
      <c r="DK45" s="4">
        <f>IFERROR(((0+DB11+DB12+DB13+DB14+DB15+DB16+DB17+DB19+DB20+DB21+DB22+DB23+DB24+DB25+DB27+DB28+DB29+DB30+DB31+DB32+DB33+DB35+DB36+DB37+DB38+DB39+DB40+DB41+DB43+DB44+DB45)/T2),0)</f>
        <v/>
      </c>
      <c r="DL45" s="5">
        <f>IFERROR(ROUND(DB45/DD45,2),0)</f>
        <v/>
      </c>
      <c r="DM45" s="5">
        <f>IFERROR(ROUND(DB45/DE45,2),0)</f>
        <v/>
      </c>
      <c r="DN45" s="2" t="inlineStr">
        <is>
          <t>2023-10-20</t>
        </is>
      </c>
      <c r="DO45" s="5">
        <f>ROUND(0.0,2)</f>
        <v/>
      </c>
      <c r="DP45" s="3">
        <f>ROUND(0.0,2)</f>
        <v/>
      </c>
      <c r="DQ45" s="3">
        <f>ROUND(0.0,2)</f>
        <v/>
      </c>
      <c r="DR45" s="3">
        <f>ROUND(0.0,2)</f>
        <v/>
      </c>
      <c r="DS45" s="3">
        <f>ROUND(0.0,2)</f>
        <v/>
      </c>
      <c r="DT45" s="3">
        <f>ROUND(0.0,2)</f>
        <v/>
      </c>
      <c r="DU45" s="3">
        <f>ROUND(0.0,2)</f>
        <v/>
      </c>
      <c r="DV45" s="3">
        <f>ROUND(0.0,2)</f>
        <v/>
      </c>
      <c r="DW45" s="4">
        <f>IFERROR((DQ45/DP45),0)</f>
        <v/>
      </c>
      <c r="DX45" s="4">
        <f>IFERROR(((0+DO11+DO12+DO13+DO14+DO15+DO16+DO17+DO19+DO20+DO21+DO22+DO23+DO24+DO25+DO27+DO28+DO29+DO30+DO31+DO32+DO33+DO35+DO36+DO37+DO38+DO39+DO40+DO41+DO43+DO44+DO45)/T2),0)</f>
        <v/>
      </c>
      <c r="DY45" s="5">
        <f>IFERROR(ROUND(DO45/DQ45,2),0)</f>
        <v/>
      </c>
      <c r="DZ45" s="5">
        <f>IFERROR(ROUND(DO45/DR45,2),0)</f>
        <v/>
      </c>
      <c r="EA45" s="2" t="inlineStr">
        <is>
          <t>2023-10-20</t>
        </is>
      </c>
      <c r="EB45" s="5">
        <f>ROUND(0.0,2)</f>
        <v/>
      </c>
      <c r="EC45" s="3">
        <f>ROUND(0.0,2)</f>
        <v/>
      </c>
      <c r="ED45" s="3">
        <f>ROUND(0.0,2)</f>
        <v/>
      </c>
      <c r="EE45" s="3">
        <f>ROUND(0.0,2)</f>
        <v/>
      </c>
      <c r="EF45" s="3">
        <f>ROUND(0.0,2)</f>
        <v/>
      </c>
      <c r="EG45" s="3">
        <f>ROUND(0.0,2)</f>
        <v/>
      </c>
      <c r="EH45" s="3">
        <f>ROUND(0.0,2)</f>
        <v/>
      </c>
      <c r="EI45" s="3">
        <f>ROUND(0.0,2)</f>
        <v/>
      </c>
      <c r="EJ45" s="4">
        <f>IFERROR((ED45/EC45),0)</f>
        <v/>
      </c>
      <c r="EK45" s="4">
        <f>IFERROR(((0+EB11+EB12+EB13+EB14+EB15+EB16+EB17+EB19+EB20+EB21+EB22+EB23+EB24+EB25+EB27+EB28+EB29+EB30+EB31+EB32+EB33+EB35+EB36+EB37+EB38+EB39+EB40+EB41+EB43+EB44+EB45)/T2),0)</f>
        <v/>
      </c>
      <c r="EL45" s="5">
        <f>IFERROR(ROUND(EB45/ED45,2),0)</f>
        <v/>
      </c>
      <c r="EM45" s="5">
        <f>IFERROR(ROUND(EB45/EE45,2),0)</f>
        <v/>
      </c>
      <c r="EN45" s="2" t="inlineStr">
        <is>
          <t>2023-10-20</t>
        </is>
      </c>
      <c r="EO45" s="5">
        <f>ROUND(0.0,2)</f>
        <v/>
      </c>
      <c r="EP45" s="3">
        <f>ROUND(0.0,2)</f>
        <v/>
      </c>
      <c r="EQ45" s="3">
        <f>ROUND(0.0,2)</f>
        <v/>
      </c>
      <c r="ER45" s="3">
        <f>ROUND(0.0,2)</f>
        <v/>
      </c>
      <c r="ES45" s="3">
        <f>ROUND(0.0,2)</f>
        <v/>
      </c>
      <c r="ET45" s="3">
        <f>ROUND(0.0,2)</f>
        <v/>
      </c>
      <c r="EU45" s="3">
        <f>ROUND(0.0,2)</f>
        <v/>
      </c>
      <c r="EV45" s="3">
        <f>ROUND(0.0,2)</f>
        <v/>
      </c>
      <c r="EW45" s="4">
        <f>IFERROR((EQ45/EP45),0)</f>
        <v/>
      </c>
      <c r="EX45" s="4">
        <f>IFERROR(((0+EO11+EO12+EO13+EO14+EO15+EO16+EO17+EO19+EO20+EO21+EO22+EO23+EO24+EO25+EO27+EO28+EO29+EO30+EO31+EO32+EO33+EO35+EO36+EO37+EO38+EO39+EO40+EO41+EO43+EO44+EO45)/T2),0)</f>
        <v/>
      </c>
      <c r="EY45" s="5">
        <f>IFERROR(ROUND(EO45/EQ45,2),0)</f>
        <v/>
      </c>
      <c r="EZ45" s="5">
        <f>IFERROR(ROUND(EO45/ER45,2),0)</f>
        <v/>
      </c>
      <c r="FA45" s="2" t="inlineStr">
        <is>
          <t>2023-10-20</t>
        </is>
      </c>
      <c r="FB45" s="5">
        <f>ROUND(0.0,2)</f>
        <v/>
      </c>
      <c r="FC45" s="3">
        <f>ROUND(0.0,2)</f>
        <v/>
      </c>
      <c r="FD45" s="3">
        <f>ROUND(0.0,2)</f>
        <v/>
      </c>
      <c r="FE45" s="3">
        <f>ROUND(0.0,2)</f>
        <v/>
      </c>
      <c r="FF45" s="3">
        <f>ROUND(0.0,2)</f>
        <v/>
      </c>
      <c r="FG45" s="3">
        <f>ROUND(0.0,2)</f>
        <v/>
      </c>
      <c r="FH45" s="3">
        <f>ROUND(0.0,2)</f>
        <v/>
      </c>
      <c r="FI45" s="3">
        <f>ROUND(0.0,2)</f>
        <v/>
      </c>
      <c r="FJ45" s="4">
        <f>IFERROR((FD45/FC45),0)</f>
        <v/>
      </c>
      <c r="FK45" s="4">
        <f>IFERROR(((0+FB11+FB12+FB13+FB14+FB15+FB16+FB17+FB19+FB20+FB21+FB22+FB23+FB24+FB25+FB27+FB28+FB29+FB30+FB31+FB32+FB33+FB35+FB36+FB37+FB38+FB39+FB40+FB41+FB43+FB44+FB45)/T2),0)</f>
        <v/>
      </c>
      <c r="FL45" s="5">
        <f>IFERROR(ROUND(FB45/FD45,2),0)</f>
        <v/>
      </c>
      <c r="FM45" s="5">
        <f>IFERROR(ROUND(FB45/FE45,2),0)</f>
        <v/>
      </c>
      <c r="FN45" s="2" t="inlineStr">
        <is>
          <t>2023-10-20</t>
        </is>
      </c>
      <c r="FO45" s="5">
        <f>ROUND(0.0,2)</f>
        <v/>
      </c>
      <c r="FP45" s="3">
        <f>ROUND(0.0,2)</f>
        <v/>
      </c>
      <c r="FQ45" s="3">
        <f>ROUND(0.0,2)</f>
        <v/>
      </c>
      <c r="FR45" s="3">
        <f>ROUND(0.0,2)</f>
        <v/>
      </c>
      <c r="FS45" s="3">
        <f>ROUND(0.0,2)</f>
        <v/>
      </c>
      <c r="FT45" s="3">
        <f>ROUND(0.0,2)</f>
        <v/>
      </c>
      <c r="FU45" s="3">
        <f>ROUND(0.0,2)</f>
        <v/>
      </c>
      <c r="FV45" s="3">
        <f>ROUND(0.0,2)</f>
        <v/>
      </c>
      <c r="FW45" s="4">
        <f>IFERROR((FQ45/FP45),0)</f>
        <v/>
      </c>
      <c r="FX45" s="4">
        <f>IFERROR(((0+FO11+FO12+FO13+FO14+FO15+FO16+FO17+FO19+FO20+FO21+FO22+FO23+FO24+FO25+FO27+FO28+FO29+FO30+FO31+FO32+FO33+FO35+FO36+FO37+FO38+FO39+FO40+FO41+FO43+FO44+FO45)/T2),0)</f>
        <v/>
      </c>
      <c r="FY45" s="5">
        <f>IFERROR(ROUND(FO45/FQ45,2),0)</f>
        <v/>
      </c>
      <c r="FZ45" s="5">
        <f>IFERROR(ROUND(FO45/FR45,2),0)</f>
        <v/>
      </c>
      <c r="GA45" s="2" t="inlineStr">
        <is>
          <t>2023-10-20</t>
        </is>
      </c>
      <c r="GB45" s="5">
        <f>ROUND(0.0,2)</f>
        <v/>
      </c>
      <c r="GC45" s="3">
        <f>ROUND(0.0,2)</f>
        <v/>
      </c>
      <c r="GD45" s="3">
        <f>ROUND(0.0,2)</f>
        <v/>
      </c>
      <c r="GE45" s="3">
        <f>ROUND(0.0,2)</f>
        <v/>
      </c>
      <c r="GF45" s="3">
        <f>ROUND(0.0,2)</f>
        <v/>
      </c>
      <c r="GG45" s="3">
        <f>ROUND(0.0,2)</f>
        <v/>
      </c>
      <c r="GH45" s="3">
        <f>ROUND(0.0,2)</f>
        <v/>
      </c>
      <c r="GI45" s="3">
        <f>ROUND(0.0,2)</f>
        <v/>
      </c>
      <c r="GJ45" s="4">
        <f>IFERROR((GD45/GC45),0)</f>
        <v/>
      </c>
      <c r="GK45" s="4">
        <f>IFERROR(((0+GB11+GB12+GB13+GB14+GB15+GB16+GB17+GB19+GB20+GB21+GB22+GB23+GB24+GB25+GB27+GB28+GB29+GB30+GB31+GB32+GB33+GB35+GB36+GB37+GB38+GB39+GB40+GB41+GB43+GB44+GB45)/T2),0)</f>
        <v/>
      </c>
      <c r="GL45" s="5">
        <f>IFERROR(ROUND(GB45/GD45,2),0)</f>
        <v/>
      </c>
      <c r="GM45" s="5">
        <f>IFERROR(ROUND(GB45/GE45,2),0)</f>
        <v/>
      </c>
      <c r="GN45" s="2" t="inlineStr">
        <is>
          <t>2023-10-20</t>
        </is>
      </c>
      <c r="GO45" s="5">
        <f>ROUND(0.0,2)</f>
        <v/>
      </c>
      <c r="GP45" s="3">
        <f>ROUND(0.0,2)</f>
        <v/>
      </c>
      <c r="GQ45" s="3">
        <f>ROUND(0.0,2)</f>
        <v/>
      </c>
      <c r="GR45" s="3">
        <f>ROUND(0.0,2)</f>
        <v/>
      </c>
      <c r="GS45" s="3">
        <f>ROUND(0.0,2)</f>
        <v/>
      </c>
      <c r="GT45" s="3">
        <f>ROUND(0.0,2)</f>
        <v/>
      </c>
      <c r="GU45" s="3">
        <f>ROUND(0.0,2)</f>
        <v/>
      </c>
      <c r="GV45" s="3">
        <f>ROUND(0.0,2)</f>
        <v/>
      </c>
      <c r="GW45" s="4">
        <f>IFERROR((GQ45/GP45),0)</f>
        <v/>
      </c>
      <c r="GX45" s="4">
        <f>IFERROR(((0+GO11+GO12+GO13+GO14+GO15+GO16+GO17+GO19+GO20+GO21+GO22+GO23+GO24+GO25+GO27+GO28+GO29+GO30+GO31+GO32+GO33+GO35+GO36+GO37+GO38+GO39+GO40+GO41+GO43+GO44+GO45)/T2),0)</f>
        <v/>
      </c>
      <c r="GY45" s="5">
        <f>IFERROR(ROUND(GO45/GQ45,2),0)</f>
        <v/>
      </c>
      <c r="GZ45" s="5">
        <f>IFERROR(ROUND(GO45/GR45,2),0)</f>
        <v/>
      </c>
      <c r="HA45" s="2" t="inlineStr">
        <is>
          <t>2023-10-20</t>
        </is>
      </c>
      <c r="HB45" s="5">
        <f>ROUND(0.0,2)</f>
        <v/>
      </c>
      <c r="HC45" s="3">
        <f>ROUND(0.0,2)</f>
        <v/>
      </c>
      <c r="HD45" s="3">
        <f>ROUND(0.0,2)</f>
        <v/>
      </c>
      <c r="HE45" s="3">
        <f>ROUND(0.0,2)</f>
        <v/>
      </c>
      <c r="HF45" s="3">
        <f>ROUND(0.0,2)</f>
        <v/>
      </c>
      <c r="HG45" s="3">
        <f>ROUND(0.0,2)</f>
        <v/>
      </c>
      <c r="HH45" s="3">
        <f>ROUND(0.0,2)</f>
        <v/>
      </c>
      <c r="HI45" s="3">
        <f>ROUND(0.0,2)</f>
        <v/>
      </c>
      <c r="HJ45" s="4">
        <f>IFERROR((HD45/HC45),0)</f>
        <v/>
      </c>
      <c r="HK45" s="4">
        <f>IFERROR(((0+HB11+HB12+HB13+HB14+HB15+HB16+HB17+HB19+HB20+HB21+HB22+HB23+HB24+HB25+HB27+HB28+HB29+HB30+HB31+HB32+HB33+HB35+HB36+HB37+HB38+HB39+HB40+HB41+HB43+HB44+HB45)/T2),0)</f>
        <v/>
      </c>
      <c r="HL45" s="5">
        <f>IFERROR(ROUND(HB45/HD45,2),0)</f>
        <v/>
      </c>
      <c r="HM45" s="5">
        <f>IFERROR(ROUND(HB45/HE45,2),0)</f>
        <v/>
      </c>
      <c r="HN45" s="2" t="inlineStr">
        <is>
          <t>2023-10-20</t>
        </is>
      </c>
      <c r="HO45" s="5">
        <f>ROUND(0.0,2)</f>
        <v/>
      </c>
      <c r="HP45" s="3">
        <f>ROUND(0.0,2)</f>
        <v/>
      </c>
      <c r="HQ45" s="3">
        <f>ROUND(0.0,2)</f>
        <v/>
      </c>
      <c r="HR45" s="3">
        <f>ROUND(0.0,2)</f>
        <v/>
      </c>
      <c r="HS45" s="3">
        <f>ROUND(0.0,2)</f>
        <v/>
      </c>
      <c r="HT45" s="3">
        <f>ROUND(0.0,2)</f>
        <v/>
      </c>
      <c r="HU45" s="3">
        <f>ROUND(0.0,2)</f>
        <v/>
      </c>
      <c r="HV45" s="3">
        <f>ROUND(0.0,2)</f>
        <v/>
      </c>
      <c r="HW45" s="4">
        <f>IFERROR((HQ45/HP45),0)</f>
        <v/>
      </c>
      <c r="HX45" s="4">
        <f>IFERROR(((0+HO11+HO12+HO13+HO14+HO15+HO16+HO17+HO19+HO20+HO21+HO22+HO23+HO24+HO25+HO27+HO28+HO29+HO30+HO31+HO32+HO33+HO35+HO36+HO37+HO38+HO39+HO40+HO41+HO43+HO44+HO45)/T2),0)</f>
        <v/>
      </c>
      <c r="HY45" s="5">
        <f>IFERROR(ROUND(HO45/HQ45,2),0)</f>
        <v/>
      </c>
      <c r="HZ45" s="5">
        <f>IFERROR(ROUND(HO45/HR45,2),0)</f>
        <v/>
      </c>
      <c r="IA45" s="2" t="inlineStr">
        <is>
          <t>2023-10-20</t>
        </is>
      </c>
      <c r="IB45" s="5">
        <f>ROUND(0.0,2)</f>
        <v/>
      </c>
      <c r="IC45" s="3">
        <f>ROUND(0.0,2)</f>
        <v/>
      </c>
      <c r="ID45" s="3">
        <f>ROUND(0.0,2)</f>
        <v/>
      </c>
      <c r="IE45" s="3">
        <f>ROUND(0.0,2)</f>
        <v/>
      </c>
      <c r="IF45" s="3">
        <f>ROUND(0.0,2)</f>
        <v/>
      </c>
      <c r="IG45" s="3">
        <f>ROUND(0.0,2)</f>
        <v/>
      </c>
      <c r="IH45" s="3">
        <f>ROUND(0.0,2)</f>
        <v/>
      </c>
      <c r="II45" s="3">
        <f>ROUND(0.0,2)</f>
        <v/>
      </c>
      <c r="IJ45" s="4">
        <f>IFERROR((ID45/IC45),0)</f>
        <v/>
      </c>
      <c r="IK45" s="4">
        <f>IFERROR(((0+IB11+IB12+IB13+IB14+IB15+IB16+IB17+IB19+IB20+IB21+IB22+IB23+IB24+IB25+IB27+IB28+IB29+IB30+IB31+IB32+IB33+IB35+IB36+IB37+IB38+IB39+IB40+IB41+IB43+IB44+IB45)/T2),0)</f>
        <v/>
      </c>
      <c r="IL45" s="5">
        <f>IFERROR(ROUND(IB45/ID45,2),0)</f>
        <v/>
      </c>
      <c r="IM45" s="5">
        <f>IFERROR(ROUND(IB45/IE45,2),0)</f>
        <v/>
      </c>
      <c r="IN45" s="2" t="inlineStr">
        <is>
          <t>2023-10-20</t>
        </is>
      </c>
      <c r="IO45" s="5">
        <f>ROUND(0.0,2)</f>
        <v/>
      </c>
      <c r="IP45" s="3">
        <f>ROUND(0.0,2)</f>
        <v/>
      </c>
      <c r="IQ45" s="3">
        <f>ROUND(0.0,2)</f>
        <v/>
      </c>
      <c r="IR45" s="3">
        <f>ROUND(0.0,2)</f>
        <v/>
      </c>
      <c r="IS45" s="3">
        <f>ROUND(0.0,2)</f>
        <v/>
      </c>
      <c r="IT45" s="3">
        <f>ROUND(0.0,2)</f>
        <v/>
      </c>
      <c r="IU45" s="3">
        <f>ROUND(0.0,2)</f>
        <v/>
      </c>
      <c r="IV45" s="3">
        <f>ROUND(0.0,2)</f>
        <v/>
      </c>
      <c r="IW45" s="4">
        <f>IFERROR((IQ45/IP45),0)</f>
        <v/>
      </c>
      <c r="IX45" s="4">
        <f>IFERROR(((0+IO11+IO12+IO13+IO14+IO15+IO16+IO17+IO19+IO20+IO21+IO22+IO23+IO24+IO25+IO27+IO28+IO29+IO30+IO31+IO32+IO33+IO35+IO36+IO37+IO38+IO39+IO40+IO41+IO43+IO44+IO45)/T2),0)</f>
        <v/>
      </c>
      <c r="IY45" s="5">
        <f>IFERROR(ROUND(IO45/IQ45,2),0)</f>
        <v/>
      </c>
      <c r="IZ45" s="5">
        <f>IFERROR(ROUND(IO45/IR45,2),0)</f>
        <v/>
      </c>
      <c r="JA45" s="2" t="inlineStr">
        <is>
          <t>2023-10-20</t>
        </is>
      </c>
      <c r="JB45" s="5">
        <f>ROUND(0.0,2)</f>
        <v/>
      </c>
      <c r="JC45" s="3">
        <f>ROUND(0.0,2)</f>
        <v/>
      </c>
      <c r="JD45" s="3">
        <f>ROUND(0.0,2)</f>
        <v/>
      </c>
      <c r="JE45" s="3">
        <f>ROUND(0.0,2)</f>
        <v/>
      </c>
      <c r="JF45" s="3">
        <f>ROUND(0.0,2)</f>
        <v/>
      </c>
      <c r="JG45" s="3">
        <f>ROUND(0.0,2)</f>
        <v/>
      </c>
      <c r="JH45" s="3">
        <f>ROUND(0.0,2)</f>
        <v/>
      </c>
      <c r="JI45" s="3">
        <f>ROUND(0.0,2)</f>
        <v/>
      </c>
      <c r="JJ45" s="4">
        <f>IFERROR((JD45/JC45),0)</f>
        <v/>
      </c>
      <c r="JK45" s="4">
        <f>IFERROR(((0+JB11+JB12+JB13+JB14+JB15+JB16+JB17+JB19+JB20+JB21+JB22+JB23+JB24+JB25+JB27+JB28+JB29+JB30+JB31+JB32+JB33+JB35+JB36+JB37+JB38+JB39+JB40+JB41+JB43+JB44+JB45)/T2),0)</f>
        <v/>
      </c>
      <c r="JL45" s="5">
        <f>IFERROR(ROUND(JB45/JD45,2),0)</f>
        <v/>
      </c>
      <c r="JM45" s="5">
        <f>IFERROR(ROUND(JB45/JE45,2),0)</f>
        <v/>
      </c>
    </row>
    <row r="46">
      <c r="A46" s="2" t="inlineStr">
        <is>
          <t>2023-10-21</t>
        </is>
      </c>
      <c r="B46" s="5">
        <f>ROUND(0.0,2)</f>
        <v/>
      </c>
      <c r="C46" s="3">
        <f>ROUND(0.0,2)</f>
        <v/>
      </c>
      <c r="D46" s="3">
        <f>ROUND(0.0,2)</f>
        <v/>
      </c>
      <c r="E46" s="3">
        <f>ROUND(0.0,2)</f>
        <v/>
      </c>
      <c r="F46" s="3">
        <f>ROUND(0.0,2)</f>
        <v/>
      </c>
      <c r="G46" s="3">
        <f>ROUND(0.0,2)</f>
        <v/>
      </c>
      <c r="H46" s="3">
        <f>ROUND(0.0,2)</f>
        <v/>
      </c>
      <c r="I46" s="3">
        <f>ROUND(0.0,2)</f>
        <v/>
      </c>
      <c r="J46" s="4">
        <f>IFERROR((D46/C46),0)</f>
        <v/>
      </c>
      <c r="K46" s="4">
        <f>IFERROR(((0+B11+B12+B13+B14+B15+B16+B17+B19+B20+B21+B22+B23+B24+B25+B27+B28+B29+B30+B31+B32+B33+B35+B36+B37+B38+B39+B40+B41+B43+B44+B45+B46)/T2),0)</f>
        <v/>
      </c>
      <c r="L46" s="5">
        <f>IFERROR(ROUND(B46/D46,2),0)</f>
        <v/>
      </c>
      <c r="M46" s="5">
        <f>IFERROR(ROUND(B46/E46,2),0)</f>
        <v/>
      </c>
      <c r="N46" s="2" t="inlineStr">
        <is>
          <t>2023-10-21</t>
        </is>
      </c>
      <c r="O46" s="5">
        <f>ROUND(0.0,2)</f>
        <v/>
      </c>
      <c r="P46" s="3">
        <f>ROUND(0.0,2)</f>
        <v/>
      </c>
      <c r="Q46" s="3">
        <f>ROUND(0.0,2)</f>
        <v/>
      </c>
      <c r="R46" s="3">
        <f>ROUND(0.0,2)</f>
        <v/>
      </c>
      <c r="S46" s="3">
        <f>ROUND(0.0,2)</f>
        <v/>
      </c>
      <c r="T46" s="3">
        <f>ROUND(0.0,2)</f>
        <v/>
      </c>
      <c r="U46" s="3">
        <f>ROUND(0.0,2)</f>
        <v/>
      </c>
      <c r="V46" s="3">
        <f>ROUND(0.0,2)</f>
        <v/>
      </c>
      <c r="W46" s="4">
        <f>IFERROR((Q46/P46),0)</f>
        <v/>
      </c>
      <c r="X46" s="4">
        <f>IFERROR(((0+O11+O12+O13+O14+O15+O16+O17+O19+O20+O21+O22+O23+O24+O25+O27+O28+O29+O30+O31+O32+O33+O35+O36+O37+O38+O39+O40+O41+O43+O44+O45+O46)/T2),0)</f>
        <v/>
      </c>
      <c r="Y46" s="5">
        <f>IFERROR(ROUND(O46/Q46,2),0)</f>
        <v/>
      </c>
      <c r="Z46" s="5">
        <f>IFERROR(ROUND(O46/R46,2),0)</f>
        <v/>
      </c>
      <c r="AA46" s="2" t="inlineStr">
        <is>
          <t>2023-10-21</t>
        </is>
      </c>
      <c r="AB46" s="5">
        <f>ROUND(0.0,2)</f>
        <v/>
      </c>
      <c r="AC46" s="3">
        <f>ROUND(0.0,2)</f>
        <v/>
      </c>
      <c r="AD46" s="3">
        <f>ROUND(0.0,2)</f>
        <v/>
      </c>
      <c r="AE46" s="3">
        <f>ROUND(0.0,2)</f>
        <v/>
      </c>
      <c r="AF46" s="3">
        <f>ROUND(0.0,2)</f>
        <v/>
      </c>
      <c r="AG46" s="3">
        <f>ROUND(0.0,2)</f>
        <v/>
      </c>
      <c r="AH46" s="3">
        <f>ROUND(0.0,2)</f>
        <v/>
      </c>
      <c r="AI46" s="3">
        <f>ROUND(0.0,2)</f>
        <v/>
      </c>
      <c r="AJ46" s="4">
        <f>IFERROR((AD46/AC46),0)</f>
        <v/>
      </c>
      <c r="AK46" s="4">
        <f>IFERROR(((0+AB11+AB12+AB13+AB14+AB15+AB16+AB17+AB19+AB20+AB21+AB22+AB23+AB24+AB25+AB27+AB28+AB29+AB30+AB31+AB32+AB33+AB35+AB36+AB37+AB38+AB39+AB40+AB41+AB43+AB44+AB45+AB46)/T2),0)</f>
        <v/>
      </c>
      <c r="AL46" s="5">
        <f>IFERROR(ROUND(AB46/AD46,2),0)</f>
        <v/>
      </c>
      <c r="AM46" s="5">
        <f>IFERROR(ROUND(AB46/AE46,2),0)</f>
        <v/>
      </c>
      <c r="AN46" s="2" t="inlineStr">
        <is>
          <t>2023-10-21</t>
        </is>
      </c>
      <c r="AO46" s="5">
        <f>ROUND(0.0,2)</f>
        <v/>
      </c>
      <c r="AP46" s="3">
        <f>ROUND(0.0,2)</f>
        <v/>
      </c>
      <c r="AQ46" s="3">
        <f>ROUND(0.0,2)</f>
        <v/>
      </c>
      <c r="AR46" s="3">
        <f>ROUND(0.0,2)</f>
        <v/>
      </c>
      <c r="AS46" s="3">
        <f>ROUND(0.0,2)</f>
        <v/>
      </c>
      <c r="AT46" s="3">
        <f>ROUND(0.0,2)</f>
        <v/>
      </c>
      <c r="AU46" s="3">
        <f>ROUND(0.0,2)</f>
        <v/>
      </c>
      <c r="AV46" s="3">
        <f>ROUND(0.0,2)</f>
        <v/>
      </c>
      <c r="AW46" s="4">
        <f>IFERROR((AQ46/AP46),0)</f>
        <v/>
      </c>
      <c r="AX46" s="4">
        <f>IFERROR(((0+AO11+AO12+AO13+AO14+AO15+AO16+AO17+AO19+AO20+AO21+AO22+AO23+AO24+AO25+AO27+AO28+AO29+AO30+AO31+AO32+AO33+AO35+AO36+AO37+AO38+AO39+AO40+AO41+AO43+AO44+AO45+AO46)/T2),0)</f>
        <v/>
      </c>
      <c r="AY46" s="5">
        <f>IFERROR(ROUND(AO46/AQ46,2),0)</f>
        <v/>
      </c>
      <c r="AZ46" s="5">
        <f>IFERROR(ROUND(AO46/AR46,2),0)</f>
        <v/>
      </c>
      <c r="BA46" s="2" t="inlineStr">
        <is>
          <t>2023-10-21</t>
        </is>
      </c>
      <c r="BB46" s="5">
        <f>ROUND(0.0,2)</f>
        <v/>
      </c>
      <c r="BC46" s="3">
        <f>ROUND(0.0,2)</f>
        <v/>
      </c>
      <c r="BD46" s="3">
        <f>ROUND(0.0,2)</f>
        <v/>
      </c>
      <c r="BE46" s="3">
        <f>ROUND(0.0,2)</f>
        <v/>
      </c>
      <c r="BF46" s="3">
        <f>ROUND(0.0,2)</f>
        <v/>
      </c>
      <c r="BG46" s="3">
        <f>ROUND(0.0,2)</f>
        <v/>
      </c>
      <c r="BH46" s="3">
        <f>ROUND(0.0,2)</f>
        <v/>
      </c>
      <c r="BI46" s="3">
        <f>ROUND(0.0,2)</f>
        <v/>
      </c>
      <c r="BJ46" s="4">
        <f>IFERROR((BD46/BC46),0)</f>
        <v/>
      </c>
      <c r="BK46" s="4">
        <f>IFERROR(((0+BB11+BB12+BB13+BB14+BB15+BB16+BB17+BB19+BB20+BB21+BB22+BB23+BB24+BB25+BB27+BB28+BB29+BB30+BB31+BB32+BB33+BB35+BB36+BB37+BB38+BB39+BB40+BB41+BB43+BB44+BB45+BB46)/T2),0)</f>
        <v/>
      </c>
      <c r="BL46" s="5">
        <f>IFERROR(ROUND(BB46/BD46,2),0)</f>
        <v/>
      </c>
      <c r="BM46" s="5">
        <f>IFERROR(ROUND(BB46/BE46,2),0)</f>
        <v/>
      </c>
      <c r="BN46" s="2" t="inlineStr">
        <is>
          <t>2023-10-21</t>
        </is>
      </c>
      <c r="BO46" s="5">
        <f>ROUND(0.0,2)</f>
        <v/>
      </c>
      <c r="BP46" s="3">
        <f>ROUND(0.0,2)</f>
        <v/>
      </c>
      <c r="BQ46" s="3">
        <f>ROUND(0.0,2)</f>
        <v/>
      </c>
      <c r="BR46" s="3">
        <f>ROUND(0.0,2)</f>
        <v/>
      </c>
      <c r="BS46" s="3">
        <f>ROUND(0.0,2)</f>
        <v/>
      </c>
      <c r="BT46" s="3">
        <f>ROUND(0.0,2)</f>
        <v/>
      </c>
      <c r="BU46" s="3">
        <f>ROUND(0.0,2)</f>
        <v/>
      </c>
      <c r="BV46" s="3">
        <f>ROUND(0.0,2)</f>
        <v/>
      </c>
      <c r="BW46" s="4">
        <f>IFERROR((BQ46/BP46),0)</f>
        <v/>
      </c>
      <c r="BX46" s="4">
        <f>IFERROR(((0+BO11+BO12+BO13+BO14+BO15+BO16+BO17+BO19+BO20+BO21+BO22+BO23+BO24+BO25+BO27+BO28+BO29+BO30+BO31+BO32+BO33+BO35+BO36+BO37+BO38+BO39+BO40+BO41+BO43+BO44+BO45+BO46)/T2),0)</f>
        <v/>
      </c>
      <c r="BY46" s="5">
        <f>IFERROR(ROUND(BO46/BQ46,2),0)</f>
        <v/>
      </c>
      <c r="BZ46" s="5">
        <f>IFERROR(ROUND(BO46/BR46,2),0)</f>
        <v/>
      </c>
      <c r="CA46" s="2" t="inlineStr">
        <is>
          <t>2023-10-21</t>
        </is>
      </c>
      <c r="CB46" s="5">
        <f>ROUND(0.0,2)</f>
        <v/>
      </c>
      <c r="CC46" s="3">
        <f>ROUND(0.0,2)</f>
        <v/>
      </c>
      <c r="CD46" s="3">
        <f>ROUND(0.0,2)</f>
        <v/>
      </c>
      <c r="CE46" s="3">
        <f>ROUND(0.0,2)</f>
        <v/>
      </c>
      <c r="CF46" s="3">
        <f>ROUND(0.0,2)</f>
        <v/>
      </c>
      <c r="CG46" s="3">
        <f>ROUND(0.0,2)</f>
        <v/>
      </c>
      <c r="CH46" s="3">
        <f>ROUND(0.0,2)</f>
        <v/>
      </c>
      <c r="CI46" s="3">
        <f>ROUND(0.0,2)</f>
        <v/>
      </c>
      <c r="CJ46" s="4">
        <f>IFERROR((CD46/CC46),0)</f>
        <v/>
      </c>
      <c r="CK46" s="4">
        <f>IFERROR(((0+CB11+CB12+CB13+CB14+CB15+CB16+CB17+CB19+CB20+CB21+CB22+CB23+CB24+CB25+CB27+CB28+CB29+CB30+CB31+CB32+CB33+CB35+CB36+CB37+CB38+CB39+CB40+CB41+CB43+CB44+CB45+CB46)/T2),0)</f>
        <v/>
      </c>
      <c r="CL46" s="5">
        <f>IFERROR(ROUND(CB46/CD46,2),0)</f>
        <v/>
      </c>
      <c r="CM46" s="5">
        <f>IFERROR(ROUND(CB46/CE46,2),0)</f>
        <v/>
      </c>
      <c r="CN46" s="2" t="inlineStr">
        <is>
          <t>2023-10-21</t>
        </is>
      </c>
      <c r="CO46" s="5">
        <f>ROUND(0.0,2)</f>
        <v/>
      </c>
      <c r="CP46" s="3">
        <f>ROUND(0.0,2)</f>
        <v/>
      </c>
      <c r="CQ46" s="3">
        <f>ROUND(0.0,2)</f>
        <v/>
      </c>
      <c r="CR46" s="3">
        <f>ROUND(0.0,2)</f>
        <v/>
      </c>
      <c r="CS46" s="3">
        <f>ROUND(0.0,2)</f>
        <v/>
      </c>
      <c r="CT46" s="3">
        <f>ROUND(0.0,2)</f>
        <v/>
      </c>
      <c r="CU46" s="3">
        <f>ROUND(0.0,2)</f>
        <v/>
      </c>
      <c r="CV46" s="3">
        <f>ROUND(0.0,2)</f>
        <v/>
      </c>
      <c r="CW46" s="4">
        <f>IFERROR((CQ46/CP46),0)</f>
        <v/>
      </c>
      <c r="CX46" s="4">
        <f>IFERROR(((0+CO11+CO12+CO13+CO14+CO15+CO16+CO17+CO19+CO20+CO21+CO22+CO23+CO24+CO25+CO27+CO28+CO29+CO30+CO31+CO32+CO33+CO35+CO36+CO37+CO38+CO39+CO40+CO41+CO43+CO44+CO45+CO46)/T2),0)</f>
        <v/>
      </c>
      <c r="CY46" s="5">
        <f>IFERROR(ROUND(CO46/CQ46,2),0)</f>
        <v/>
      </c>
      <c r="CZ46" s="5">
        <f>IFERROR(ROUND(CO46/CR46,2),0)</f>
        <v/>
      </c>
      <c r="DA46" s="2" t="inlineStr">
        <is>
          <t>2023-10-21</t>
        </is>
      </c>
      <c r="DB46" s="5">
        <f>ROUND(0.0,2)</f>
        <v/>
      </c>
      <c r="DC46" s="3">
        <f>ROUND(0.0,2)</f>
        <v/>
      </c>
      <c r="DD46" s="3">
        <f>ROUND(0.0,2)</f>
        <v/>
      </c>
      <c r="DE46" s="3">
        <f>ROUND(0.0,2)</f>
        <v/>
      </c>
      <c r="DF46" s="3">
        <f>ROUND(0.0,2)</f>
        <v/>
      </c>
      <c r="DG46" s="3">
        <f>ROUND(0.0,2)</f>
        <v/>
      </c>
      <c r="DH46" s="3">
        <f>ROUND(0.0,2)</f>
        <v/>
      </c>
      <c r="DI46" s="3">
        <f>ROUND(0.0,2)</f>
        <v/>
      </c>
      <c r="DJ46" s="4">
        <f>IFERROR((DD46/DC46),0)</f>
        <v/>
      </c>
      <c r="DK46" s="4">
        <f>IFERROR(((0+DB11+DB12+DB13+DB14+DB15+DB16+DB17+DB19+DB20+DB21+DB22+DB23+DB24+DB25+DB27+DB28+DB29+DB30+DB31+DB32+DB33+DB35+DB36+DB37+DB38+DB39+DB40+DB41+DB43+DB44+DB45+DB46)/T2),0)</f>
        <v/>
      </c>
      <c r="DL46" s="5">
        <f>IFERROR(ROUND(DB46/DD46,2),0)</f>
        <v/>
      </c>
      <c r="DM46" s="5">
        <f>IFERROR(ROUND(DB46/DE46,2),0)</f>
        <v/>
      </c>
      <c r="DN46" s="2" t="inlineStr">
        <is>
          <t>2023-10-21</t>
        </is>
      </c>
      <c r="DO46" s="5">
        <f>ROUND(0.0,2)</f>
        <v/>
      </c>
      <c r="DP46" s="3">
        <f>ROUND(0.0,2)</f>
        <v/>
      </c>
      <c r="DQ46" s="3">
        <f>ROUND(0.0,2)</f>
        <v/>
      </c>
      <c r="DR46" s="3">
        <f>ROUND(0.0,2)</f>
        <v/>
      </c>
      <c r="DS46" s="3">
        <f>ROUND(0.0,2)</f>
        <v/>
      </c>
      <c r="DT46" s="3">
        <f>ROUND(0.0,2)</f>
        <v/>
      </c>
      <c r="DU46" s="3">
        <f>ROUND(0.0,2)</f>
        <v/>
      </c>
      <c r="DV46" s="3">
        <f>ROUND(0.0,2)</f>
        <v/>
      </c>
      <c r="DW46" s="4">
        <f>IFERROR((DQ46/DP46),0)</f>
        <v/>
      </c>
      <c r="DX46" s="4">
        <f>IFERROR(((0+DO11+DO12+DO13+DO14+DO15+DO16+DO17+DO19+DO20+DO21+DO22+DO23+DO24+DO25+DO27+DO28+DO29+DO30+DO31+DO32+DO33+DO35+DO36+DO37+DO38+DO39+DO40+DO41+DO43+DO44+DO45+DO46)/T2),0)</f>
        <v/>
      </c>
      <c r="DY46" s="5">
        <f>IFERROR(ROUND(DO46/DQ46,2),0)</f>
        <v/>
      </c>
      <c r="DZ46" s="5">
        <f>IFERROR(ROUND(DO46/DR46,2),0)</f>
        <v/>
      </c>
      <c r="EA46" s="2" t="inlineStr">
        <is>
          <t>2023-10-21</t>
        </is>
      </c>
      <c r="EB46" s="5">
        <f>ROUND(0.0,2)</f>
        <v/>
      </c>
      <c r="EC46" s="3">
        <f>ROUND(0.0,2)</f>
        <v/>
      </c>
      <c r="ED46" s="3">
        <f>ROUND(0.0,2)</f>
        <v/>
      </c>
      <c r="EE46" s="3">
        <f>ROUND(0.0,2)</f>
        <v/>
      </c>
      <c r="EF46" s="3">
        <f>ROUND(0.0,2)</f>
        <v/>
      </c>
      <c r="EG46" s="3">
        <f>ROUND(0.0,2)</f>
        <v/>
      </c>
      <c r="EH46" s="3">
        <f>ROUND(0.0,2)</f>
        <v/>
      </c>
      <c r="EI46" s="3">
        <f>ROUND(0.0,2)</f>
        <v/>
      </c>
      <c r="EJ46" s="4">
        <f>IFERROR((ED46/EC46),0)</f>
        <v/>
      </c>
      <c r="EK46" s="4">
        <f>IFERROR(((0+EB11+EB12+EB13+EB14+EB15+EB16+EB17+EB19+EB20+EB21+EB22+EB23+EB24+EB25+EB27+EB28+EB29+EB30+EB31+EB32+EB33+EB35+EB36+EB37+EB38+EB39+EB40+EB41+EB43+EB44+EB45+EB46)/T2),0)</f>
        <v/>
      </c>
      <c r="EL46" s="5">
        <f>IFERROR(ROUND(EB46/ED46,2),0)</f>
        <v/>
      </c>
      <c r="EM46" s="5">
        <f>IFERROR(ROUND(EB46/EE46,2),0)</f>
        <v/>
      </c>
      <c r="EN46" s="2" t="inlineStr">
        <is>
          <t>2023-10-21</t>
        </is>
      </c>
      <c r="EO46" s="5">
        <f>ROUND(0.0,2)</f>
        <v/>
      </c>
      <c r="EP46" s="3">
        <f>ROUND(0.0,2)</f>
        <v/>
      </c>
      <c r="EQ46" s="3">
        <f>ROUND(0.0,2)</f>
        <v/>
      </c>
      <c r="ER46" s="3">
        <f>ROUND(0.0,2)</f>
        <v/>
      </c>
      <c r="ES46" s="3">
        <f>ROUND(0.0,2)</f>
        <v/>
      </c>
      <c r="ET46" s="3">
        <f>ROUND(0.0,2)</f>
        <v/>
      </c>
      <c r="EU46" s="3">
        <f>ROUND(0.0,2)</f>
        <v/>
      </c>
      <c r="EV46" s="3">
        <f>ROUND(0.0,2)</f>
        <v/>
      </c>
      <c r="EW46" s="4">
        <f>IFERROR((EQ46/EP46),0)</f>
        <v/>
      </c>
      <c r="EX46" s="4">
        <f>IFERROR(((0+EO11+EO12+EO13+EO14+EO15+EO16+EO17+EO19+EO20+EO21+EO22+EO23+EO24+EO25+EO27+EO28+EO29+EO30+EO31+EO32+EO33+EO35+EO36+EO37+EO38+EO39+EO40+EO41+EO43+EO44+EO45+EO46)/T2),0)</f>
        <v/>
      </c>
      <c r="EY46" s="5">
        <f>IFERROR(ROUND(EO46/EQ46,2),0)</f>
        <v/>
      </c>
      <c r="EZ46" s="5">
        <f>IFERROR(ROUND(EO46/ER46,2),0)</f>
        <v/>
      </c>
      <c r="FA46" s="2" t="inlineStr">
        <is>
          <t>2023-10-21</t>
        </is>
      </c>
      <c r="FB46" s="5">
        <f>ROUND(0.0,2)</f>
        <v/>
      </c>
      <c r="FC46" s="3">
        <f>ROUND(0.0,2)</f>
        <v/>
      </c>
      <c r="FD46" s="3">
        <f>ROUND(0.0,2)</f>
        <v/>
      </c>
      <c r="FE46" s="3">
        <f>ROUND(0.0,2)</f>
        <v/>
      </c>
      <c r="FF46" s="3">
        <f>ROUND(0.0,2)</f>
        <v/>
      </c>
      <c r="FG46" s="3">
        <f>ROUND(0.0,2)</f>
        <v/>
      </c>
      <c r="FH46" s="3">
        <f>ROUND(0.0,2)</f>
        <v/>
      </c>
      <c r="FI46" s="3">
        <f>ROUND(0.0,2)</f>
        <v/>
      </c>
      <c r="FJ46" s="4">
        <f>IFERROR((FD46/FC46),0)</f>
        <v/>
      </c>
      <c r="FK46" s="4">
        <f>IFERROR(((0+FB11+FB12+FB13+FB14+FB15+FB16+FB17+FB19+FB20+FB21+FB22+FB23+FB24+FB25+FB27+FB28+FB29+FB30+FB31+FB32+FB33+FB35+FB36+FB37+FB38+FB39+FB40+FB41+FB43+FB44+FB45+FB46)/T2),0)</f>
        <v/>
      </c>
      <c r="FL46" s="5">
        <f>IFERROR(ROUND(FB46/FD46,2),0)</f>
        <v/>
      </c>
      <c r="FM46" s="5">
        <f>IFERROR(ROUND(FB46/FE46,2),0)</f>
        <v/>
      </c>
      <c r="FN46" s="2" t="inlineStr">
        <is>
          <t>2023-10-21</t>
        </is>
      </c>
      <c r="FO46" s="5">
        <f>ROUND(0.0,2)</f>
        <v/>
      </c>
      <c r="FP46" s="3">
        <f>ROUND(0.0,2)</f>
        <v/>
      </c>
      <c r="FQ46" s="3">
        <f>ROUND(0.0,2)</f>
        <v/>
      </c>
      <c r="FR46" s="3">
        <f>ROUND(0.0,2)</f>
        <v/>
      </c>
      <c r="FS46" s="3">
        <f>ROUND(0.0,2)</f>
        <v/>
      </c>
      <c r="FT46" s="3">
        <f>ROUND(0.0,2)</f>
        <v/>
      </c>
      <c r="FU46" s="3">
        <f>ROUND(0.0,2)</f>
        <v/>
      </c>
      <c r="FV46" s="3">
        <f>ROUND(0.0,2)</f>
        <v/>
      </c>
      <c r="FW46" s="4">
        <f>IFERROR((FQ46/FP46),0)</f>
        <v/>
      </c>
      <c r="FX46" s="4">
        <f>IFERROR(((0+FO11+FO12+FO13+FO14+FO15+FO16+FO17+FO19+FO20+FO21+FO22+FO23+FO24+FO25+FO27+FO28+FO29+FO30+FO31+FO32+FO33+FO35+FO36+FO37+FO38+FO39+FO40+FO41+FO43+FO44+FO45+FO46)/T2),0)</f>
        <v/>
      </c>
      <c r="FY46" s="5">
        <f>IFERROR(ROUND(FO46/FQ46,2),0)</f>
        <v/>
      </c>
      <c r="FZ46" s="5">
        <f>IFERROR(ROUND(FO46/FR46,2),0)</f>
        <v/>
      </c>
      <c r="GA46" s="2" t="inlineStr">
        <is>
          <t>2023-10-21</t>
        </is>
      </c>
      <c r="GB46" s="5">
        <f>ROUND(0.0,2)</f>
        <v/>
      </c>
      <c r="GC46" s="3">
        <f>ROUND(0.0,2)</f>
        <v/>
      </c>
      <c r="GD46" s="3">
        <f>ROUND(0.0,2)</f>
        <v/>
      </c>
      <c r="GE46" s="3">
        <f>ROUND(0.0,2)</f>
        <v/>
      </c>
      <c r="GF46" s="3">
        <f>ROUND(0.0,2)</f>
        <v/>
      </c>
      <c r="GG46" s="3">
        <f>ROUND(0.0,2)</f>
        <v/>
      </c>
      <c r="GH46" s="3">
        <f>ROUND(0.0,2)</f>
        <v/>
      </c>
      <c r="GI46" s="3">
        <f>ROUND(0.0,2)</f>
        <v/>
      </c>
      <c r="GJ46" s="4">
        <f>IFERROR((GD46/GC46),0)</f>
        <v/>
      </c>
      <c r="GK46" s="4">
        <f>IFERROR(((0+GB11+GB12+GB13+GB14+GB15+GB16+GB17+GB19+GB20+GB21+GB22+GB23+GB24+GB25+GB27+GB28+GB29+GB30+GB31+GB32+GB33+GB35+GB36+GB37+GB38+GB39+GB40+GB41+GB43+GB44+GB45+GB46)/T2),0)</f>
        <v/>
      </c>
      <c r="GL46" s="5">
        <f>IFERROR(ROUND(GB46/GD46,2),0)</f>
        <v/>
      </c>
      <c r="GM46" s="5">
        <f>IFERROR(ROUND(GB46/GE46,2),0)</f>
        <v/>
      </c>
      <c r="GN46" s="2" t="inlineStr">
        <is>
          <t>2023-10-21</t>
        </is>
      </c>
      <c r="GO46" s="5">
        <f>ROUND(0.0,2)</f>
        <v/>
      </c>
      <c r="GP46" s="3">
        <f>ROUND(0.0,2)</f>
        <v/>
      </c>
      <c r="GQ46" s="3">
        <f>ROUND(0.0,2)</f>
        <v/>
      </c>
      <c r="GR46" s="3">
        <f>ROUND(0.0,2)</f>
        <v/>
      </c>
      <c r="GS46" s="3">
        <f>ROUND(0.0,2)</f>
        <v/>
      </c>
      <c r="GT46" s="3">
        <f>ROUND(0.0,2)</f>
        <v/>
      </c>
      <c r="GU46" s="3">
        <f>ROUND(0.0,2)</f>
        <v/>
      </c>
      <c r="GV46" s="3">
        <f>ROUND(0.0,2)</f>
        <v/>
      </c>
      <c r="GW46" s="4">
        <f>IFERROR((GQ46/GP46),0)</f>
        <v/>
      </c>
      <c r="GX46" s="4">
        <f>IFERROR(((0+GO11+GO12+GO13+GO14+GO15+GO16+GO17+GO19+GO20+GO21+GO22+GO23+GO24+GO25+GO27+GO28+GO29+GO30+GO31+GO32+GO33+GO35+GO36+GO37+GO38+GO39+GO40+GO41+GO43+GO44+GO45+GO46)/T2),0)</f>
        <v/>
      </c>
      <c r="GY46" s="5">
        <f>IFERROR(ROUND(GO46/GQ46,2),0)</f>
        <v/>
      </c>
      <c r="GZ46" s="5">
        <f>IFERROR(ROUND(GO46/GR46,2),0)</f>
        <v/>
      </c>
      <c r="HA46" s="2" t="inlineStr">
        <is>
          <t>2023-10-21</t>
        </is>
      </c>
      <c r="HB46" s="5">
        <f>ROUND(0.0,2)</f>
        <v/>
      </c>
      <c r="HC46" s="3">
        <f>ROUND(0.0,2)</f>
        <v/>
      </c>
      <c r="HD46" s="3">
        <f>ROUND(0.0,2)</f>
        <v/>
      </c>
      <c r="HE46" s="3">
        <f>ROUND(0.0,2)</f>
        <v/>
      </c>
      <c r="HF46" s="3">
        <f>ROUND(0.0,2)</f>
        <v/>
      </c>
      <c r="HG46" s="3">
        <f>ROUND(0.0,2)</f>
        <v/>
      </c>
      <c r="HH46" s="3">
        <f>ROUND(0.0,2)</f>
        <v/>
      </c>
      <c r="HI46" s="3">
        <f>ROUND(0.0,2)</f>
        <v/>
      </c>
      <c r="HJ46" s="4">
        <f>IFERROR((HD46/HC46),0)</f>
        <v/>
      </c>
      <c r="HK46" s="4">
        <f>IFERROR(((0+HB11+HB12+HB13+HB14+HB15+HB16+HB17+HB19+HB20+HB21+HB22+HB23+HB24+HB25+HB27+HB28+HB29+HB30+HB31+HB32+HB33+HB35+HB36+HB37+HB38+HB39+HB40+HB41+HB43+HB44+HB45+HB46)/T2),0)</f>
        <v/>
      </c>
      <c r="HL46" s="5">
        <f>IFERROR(ROUND(HB46/HD46,2),0)</f>
        <v/>
      </c>
      <c r="HM46" s="5">
        <f>IFERROR(ROUND(HB46/HE46,2),0)</f>
        <v/>
      </c>
      <c r="HN46" s="2" t="inlineStr">
        <is>
          <t>2023-10-21</t>
        </is>
      </c>
      <c r="HO46" s="5">
        <f>ROUND(0.0,2)</f>
        <v/>
      </c>
      <c r="HP46" s="3">
        <f>ROUND(0.0,2)</f>
        <v/>
      </c>
      <c r="HQ46" s="3">
        <f>ROUND(0.0,2)</f>
        <v/>
      </c>
      <c r="HR46" s="3">
        <f>ROUND(0.0,2)</f>
        <v/>
      </c>
      <c r="HS46" s="3">
        <f>ROUND(0.0,2)</f>
        <v/>
      </c>
      <c r="HT46" s="3">
        <f>ROUND(0.0,2)</f>
        <v/>
      </c>
      <c r="HU46" s="3">
        <f>ROUND(0.0,2)</f>
        <v/>
      </c>
      <c r="HV46" s="3">
        <f>ROUND(0.0,2)</f>
        <v/>
      </c>
      <c r="HW46" s="4">
        <f>IFERROR((HQ46/HP46),0)</f>
        <v/>
      </c>
      <c r="HX46" s="4">
        <f>IFERROR(((0+HO11+HO12+HO13+HO14+HO15+HO16+HO17+HO19+HO20+HO21+HO22+HO23+HO24+HO25+HO27+HO28+HO29+HO30+HO31+HO32+HO33+HO35+HO36+HO37+HO38+HO39+HO40+HO41+HO43+HO44+HO45+HO46)/T2),0)</f>
        <v/>
      </c>
      <c r="HY46" s="5">
        <f>IFERROR(ROUND(HO46/HQ46,2),0)</f>
        <v/>
      </c>
      <c r="HZ46" s="5">
        <f>IFERROR(ROUND(HO46/HR46,2),0)</f>
        <v/>
      </c>
      <c r="IA46" s="2" t="inlineStr">
        <is>
          <t>2023-10-21</t>
        </is>
      </c>
      <c r="IB46" s="5">
        <f>ROUND(0.0,2)</f>
        <v/>
      </c>
      <c r="IC46" s="3">
        <f>ROUND(0.0,2)</f>
        <v/>
      </c>
      <c r="ID46" s="3">
        <f>ROUND(0.0,2)</f>
        <v/>
      </c>
      <c r="IE46" s="3">
        <f>ROUND(0.0,2)</f>
        <v/>
      </c>
      <c r="IF46" s="3">
        <f>ROUND(0.0,2)</f>
        <v/>
      </c>
      <c r="IG46" s="3">
        <f>ROUND(0.0,2)</f>
        <v/>
      </c>
      <c r="IH46" s="3">
        <f>ROUND(0.0,2)</f>
        <v/>
      </c>
      <c r="II46" s="3">
        <f>ROUND(0.0,2)</f>
        <v/>
      </c>
      <c r="IJ46" s="4">
        <f>IFERROR((ID46/IC46),0)</f>
        <v/>
      </c>
      <c r="IK46" s="4">
        <f>IFERROR(((0+IB11+IB12+IB13+IB14+IB15+IB16+IB17+IB19+IB20+IB21+IB22+IB23+IB24+IB25+IB27+IB28+IB29+IB30+IB31+IB32+IB33+IB35+IB36+IB37+IB38+IB39+IB40+IB41+IB43+IB44+IB45+IB46)/T2),0)</f>
        <v/>
      </c>
      <c r="IL46" s="5">
        <f>IFERROR(ROUND(IB46/ID46,2),0)</f>
        <v/>
      </c>
      <c r="IM46" s="5">
        <f>IFERROR(ROUND(IB46/IE46,2),0)</f>
        <v/>
      </c>
      <c r="IN46" s="2" t="inlineStr">
        <is>
          <t>2023-10-21</t>
        </is>
      </c>
      <c r="IO46" s="5">
        <f>ROUND(0.0,2)</f>
        <v/>
      </c>
      <c r="IP46" s="3">
        <f>ROUND(0.0,2)</f>
        <v/>
      </c>
      <c r="IQ46" s="3">
        <f>ROUND(0.0,2)</f>
        <v/>
      </c>
      <c r="IR46" s="3">
        <f>ROUND(0.0,2)</f>
        <v/>
      </c>
      <c r="IS46" s="3">
        <f>ROUND(0.0,2)</f>
        <v/>
      </c>
      <c r="IT46" s="3">
        <f>ROUND(0.0,2)</f>
        <v/>
      </c>
      <c r="IU46" s="3">
        <f>ROUND(0.0,2)</f>
        <v/>
      </c>
      <c r="IV46" s="3">
        <f>ROUND(0.0,2)</f>
        <v/>
      </c>
      <c r="IW46" s="4">
        <f>IFERROR((IQ46/IP46),0)</f>
        <v/>
      </c>
      <c r="IX46" s="4">
        <f>IFERROR(((0+IO11+IO12+IO13+IO14+IO15+IO16+IO17+IO19+IO20+IO21+IO22+IO23+IO24+IO25+IO27+IO28+IO29+IO30+IO31+IO32+IO33+IO35+IO36+IO37+IO38+IO39+IO40+IO41+IO43+IO44+IO45+IO46)/T2),0)</f>
        <v/>
      </c>
      <c r="IY46" s="5">
        <f>IFERROR(ROUND(IO46/IQ46,2),0)</f>
        <v/>
      </c>
      <c r="IZ46" s="5">
        <f>IFERROR(ROUND(IO46/IR46,2),0)</f>
        <v/>
      </c>
      <c r="JA46" s="2" t="inlineStr">
        <is>
          <t>2023-10-21</t>
        </is>
      </c>
      <c r="JB46" s="5">
        <f>ROUND(0.0,2)</f>
        <v/>
      </c>
      <c r="JC46" s="3">
        <f>ROUND(0.0,2)</f>
        <v/>
      </c>
      <c r="JD46" s="3">
        <f>ROUND(0.0,2)</f>
        <v/>
      </c>
      <c r="JE46" s="3">
        <f>ROUND(0.0,2)</f>
        <v/>
      </c>
      <c r="JF46" s="3">
        <f>ROUND(0.0,2)</f>
        <v/>
      </c>
      <c r="JG46" s="3">
        <f>ROUND(0.0,2)</f>
        <v/>
      </c>
      <c r="JH46" s="3">
        <f>ROUND(0.0,2)</f>
        <v/>
      </c>
      <c r="JI46" s="3">
        <f>ROUND(0.0,2)</f>
        <v/>
      </c>
      <c r="JJ46" s="4">
        <f>IFERROR((JD46/JC46),0)</f>
        <v/>
      </c>
      <c r="JK46" s="4">
        <f>IFERROR(((0+JB11+JB12+JB13+JB14+JB15+JB16+JB17+JB19+JB20+JB21+JB22+JB23+JB24+JB25+JB27+JB28+JB29+JB30+JB31+JB32+JB33+JB35+JB36+JB37+JB38+JB39+JB40+JB41+JB43+JB44+JB45+JB46)/T2),0)</f>
        <v/>
      </c>
      <c r="JL46" s="5">
        <f>IFERROR(ROUND(JB46/JD46,2),0)</f>
        <v/>
      </c>
      <c r="JM46" s="5">
        <f>IFERROR(ROUND(JB46/JE46,2),0)</f>
        <v/>
      </c>
    </row>
    <row r="47">
      <c r="A47" s="2" t="inlineStr">
        <is>
          <t>2023-10-22</t>
        </is>
      </c>
      <c r="B47" s="5">
        <f>ROUND(0.0,2)</f>
        <v/>
      </c>
      <c r="C47" s="3">
        <f>ROUND(0.0,2)</f>
        <v/>
      </c>
      <c r="D47" s="3">
        <f>ROUND(0.0,2)</f>
        <v/>
      </c>
      <c r="E47" s="3">
        <f>ROUND(0.0,2)</f>
        <v/>
      </c>
      <c r="F47" s="3">
        <f>ROUND(0.0,2)</f>
        <v/>
      </c>
      <c r="G47" s="3">
        <f>ROUND(0.0,2)</f>
        <v/>
      </c>
      <c r="H47" s="3">
        <f>ROUND(0.0,2)</f>
        <v/>
      </c>
      <c r="I47" s="3">
        <f>ROUND(0.0,2)</f>
        <v/>
      </c>
      <c r="J47" s="4">
        <f>IFERROR((D47/C47),0)</f>
        <v/>
      </c>
      <c r="K47" s="4">
        <f>IFERROR(((0+B11+B12+B13+B14+B15+B16+B17+B19+B20+B21+B22+B23+B24+B25+B27+B28+B29+B30+B31+B32+B33+B35+B36+B37+B38+B39+B40+B41+B43+B44+B45+B46+B47)/T2),0)</f>
        <v/>
      </c>
      <c r="L47" s="5">
        <f>IFERROR(ROUND(B47/D47,2),0)</f>
        <v/>
      </c>
      <c r="M47" s="5">
        <f>IFERROR(ROUND(B47/E47,2),0)</f>
        <v/>
      </c>
      <c r="N47" s="2" t="inlineStr">
        <is>
          <t>2023-10-22</t>
        </is>
      </c>
      <c r="O47" s="5">
        <f>ROUND(0.0,2)</f>
        <v/>
      </c>
      <c r="P47" s="3">
        <f>ROUND(0.0,2)</f>
        <v/>
      </c>
      <c r="Q47" s="3">
        <f>ROUND(0.0,2)</f>
        <v/>
      </c>
      <c r="R47" s="3">
        <f>ROUND(0.0,2)</f>
        <v/>
      </c>
      <c r="S47" s="3">
        <f>ROUND(0.0,2)</f>
        <v/>
      </c>
      <c r="T47" s="3">
        <f>ROUND(0.0,2)</f>
        <v/>
      </c>
      <c r="U47" s="3">
        <f>ROUND(0.0,2)</f>
        <v/>
      </c>
      <c r="V47" s="3">
        <f>ROUND(0.0,2)</f>
        <v/>
      </c>
      <c r="W47" s="4">
        <f>IFERROR((Q47/P47),0)</f>
        <v/>
      </c>
      <c r="X47" s="4">
        <f>IFERROR(((0+O11+O12+O13+O14+O15+O16+O17+O19+O20+O21+O22+O23+O24+O25+O27+O28+O29+O30+O31+O32+O33+O35+O36+O37+O38+O39+O40+O41+O43+O44+O45+O46+O47)/T2),0)</f>
        <v/>
      </c>
      <c r="Y47" s="5">
        <f>IFERROR(ROUND(O47/Q47,2),0)</f>
        <v/>
      </c>
      <c r="Z47" s="5">
        <f>IFERROR(ROUND(O47/R47,2),0)</f>
        <v/>
      </c>
      <c r="AA47" s="2" t="inlineStr">
        <is>
          <t>2023-10-22</t>
        </is>
      </c>
      <c r="AB47" s="5">
        <f>ROUND(0.0,2)</f>
        <v/>
      </c>
      <c r="AC47" s="3">
        <f>ROUND(0.0,2)</f>
        <v/>
      </c>
      <c r="AD47" s="3">
        <f>ROUND(0.0,2)</f>
        <v/>
      </c>
      <c r="AE47" s="3">
        <f>ROUND(0.0,2)</f>
        <v/>
      </c>
      <c r="AF47" s="3">
        <f>ROUND(0.0,2)</f>
        <v/>
      </c>
      <c r="AG47" s="3">
        <f>ROUND(0.0,2)</f>
        <v/>
      </c>
      <c r="AH47" s="3">
        <f>ROUND(0.0,2)</f>
        <v/>
      </c>
      <c r="AI47" s="3">
        <f>ROUND(0.0,2)</f>
        <v/>
      </c>
      <c r="AJ47" s="4">
        <f>IFERROR((AD47/AC47),0)</f>
        <v/>
      </c>
      <c r="AK47" s="4">
        <f>IFERROR(((0+AB11+AB12+AB13+AB14+AB15+AB16+AB17+AB19+AB20+AB21+AB22+AB23+AB24+AB25+AB27+AB28+AB29+AB30+AB31+AB32+AB33+AB35+AB36+AB37+AB38+AB39+AB40+AB41+AB43+AB44+AB45+AB46+AB47)/T2),0)</f>
        <v/>
      </c>
      <c r="AL47" s="5">
        <f>IFERROR(ROUND(AB47/AD47,2),0)</f>
        <v/>
      </c>
      <c r="AM47" s="5">
        <f>IFERROR(ROUND(AB47/AE47,2),0)</f>
        <v/>
      </c>
      <c r="AN47" s="2" t="inlineStr">
        <is>
          <t>2023-10-22</t>
        </is>
      </c>
      <c r="AO47" s="5">
        <f>ROUND(0.0,2)</f>
        <v/>
      </c>
      <c r="AP47" s="3">
        <f>ROUND(0.0,2)</f>
        <v/>
      </c>
      <c r="AQ47" s="3">
        <f>ROUND(0.0,2)</f>
        <v/>
      </c>
      <c r="AR47" s="3">
        <f>ROUND(0.0,2)</f>
        <v/>
      </c>
      <c r="AS47" s="3">
        <f>ROUND(0.0,2)</f>
        <v/>
      </c>
      <c r="AT47" s="3">
        <f>ROUND(0.0,2)</f>
        <v/>
      </c>
      <c r="AU47" s="3">
        <f>ROUND(0.0,2)</f>
        <v/>
      </c>
      <c r="AV47" s="3">
        <f>ROUND(0.0,2)</f>
        <v/>
      </c>
      <c r="AW47" s="4">
        <f>IFERROR((AQ47/AP47),0)</f>
        <v/>
      </c>
      <c r="AX47" s="4">
        <f>IFERROR(((0+AO11+AO12+AO13+AO14+AO15+AO16+AO17+AO19+AO20+AO21+AO22+AO23+AO24+AO25+AO27+AO28+AO29+AO30+AO31+AO32+AO33+AO35+AO36+AO37+AO38+AO39+AO40+AO41+AO43+AO44+AO45+AO46+AO47)/T2),0)</f>
        <v/>
      </c>
      <c r="AY47" s="5">
        <f>IFERROR(ROUND(AO47/AQ47,2),0)</f>
        <v/>
      </c>
      <c r="AZ47" s="5">
        <f>IFERROR(ROUND(AO47/AR47,2),0)</f>
        <v/>
      </c>
      <c r="BA47" s="2" t="inlineStr">
        <is>
          <t>2023-10-22</t>
        </is>
      </c>
      <c r="BB47" s="5">
        <f>ROUND(0.0,2)</f>
        <v/>
      </c>
      <c r="BC47" s="3">
        <f>ROUND(0.0,2)</f>
        <v/>
      </c>
      <c r="BD47" s="3">
        <f>ROUND(0.0,2)</f>
        <v/>
      </c>
      <c r="BE47" s="3">
        <f>ROUND(0.0,2)</f>
        <v/>
      </c>
      <c r="BF47" s="3">
        <f>ROUND(0.0,2)</f>
        <v/>
      </c>
      <c r="BG47" s="3">
        <f>ROUND(0.0,2)</f>
        <v/>
      </c>
      <c r="BH47" s="3">
        <f>ROUND(0.0,2)</f>
        <v/>
      </c>
      <c r="BI47" s="3">
        <f>ROUND(0.0,2)</f>
        <v/>
      </c>
      <c r="BJ47" s="4">
        <f>IFERROR((BD47/BC47),0)</f>
        <v/>
      </c>
      <c r="BK47" s="4">
        <f>IFERROR(((0+BB11+BB12+BB13+BB14+BB15+BB16+BB17+BB19+BB20+BB21+BB22+BB23+BB24+BB25+BB27+BB28+BB29+BB30+BB31+BB32+BB33+BB35+BB36+BB37+BB38+BB39+BB40+BB41+BB43+BB44+BB45+BB46+BB47)/T2),0)</f>
        <v/>
      </c>
      <c r="BL47" s="5">
        <f>IFERROR(ROUND(BB47/BD47,2),0)</f>
        <v/>
      </c>
      <c r="BM47" s="5">
        <f>IFERROR(ROUND(BB47/BE47,2),0)</f>
        <v/>
      </c>
      <c r="BN47" s="2" t="inlineStr">
        <is>
          <t>2023-10-22</t>
        </is>
      </c>
      <c r="BO47" s="5">
        <f>ROUND(0.0,2)</f>
        <v/>
      </c>
      <c r="BP47" s="3">
        <f>ROUND(0.0,2)</f>
        <v/>
      </c>
      <c r="BQ47" s="3">
        <f>ROUND(0.0,2)</f>
        <v/>
      </c>
      <c r="BR47" s="3">
        <f>ROUND(0.0,2)</f>
        <v/>
      </c>
      <c r="BS47" s="3">
        <f>ROUND(0.0,2)</f>
        <v/>
      </c>
      <c r="BT47" s="3">
        <f>ROUND(0.0,2)</f>
        <v/>
      </c>
      <c r="BU47" s="3">
        <f>ROUND(0.0,2)</f>
        <v/>
      </c>
      <c r="BV47" s="3">
        <f>ROUND(0.0,2)</f>
        <v/>
      </c>
      <c r="BW47" s="4">
        <f>IFERROR((BQ47/BP47),0)</f>
        <v/>
      </c>
      <c r="BX47" s="4">
        <f>IFERROR(((0+BO11+BO12+BO13+BO14+BO15+BO16+BO17+BO19+BO20+BO21+BO22+BO23+BO24+BO25+BO27+BO28+BO29+BO30+BO31+BO32+BO33+BO35+BO36+BO37+BO38+BO39+BO40+BO41+BO43+BO44+BO45+BO46+BO47)/T2),0)</f>
        <v/>
      </c>
      <c r="BY47" s="5">
        <f>IFERROR(ROUND(BO47/BQ47,2),0)</f>
        <v/>
      </c>
      <c r="BZ47" s="5">
        <f>IFERROR(ROUND(BO47/BR47,2),0)</f>
        <v/>
      </c>
      <c r="CA47" s="2" t="inlineStr">
        <is>
          <t>2023-10-22</t>
        </is>
      </c>
      <c r="CB47" s="5">
        <f>ROUND(0.0,2)</f>
        <v/>
      </c>
      <c r="CC47" s="3">
        <f>ROUND(0.0,2)</f>
        <v/>
      </c>
      <c r="CD47" s="3">
        <f>ROUND(0.0,2)</f>
        <v/>
      </c>
      <c r="CE47" s="3">
        <f>ROUND(0.0,2)</f>
        <v/>
      </c>
      <c r="CF47" s="3">
        <f>ROUND(0.0,2)</f>
        <v/>
      </c>
      <c r="CG47" s="3">
        <f>ROUND(0.0,2)</f>
        <v/>
      </c>
      <c r="CH47" s="3">
        <f>ROUND(0.0,2)</f>
        <v/>
      </c>
      <c r="CI47" s="3">
        <f>ROUND(0.0,2)</f>
        <v/>
      </c>
      <c r="CJ47" s="4">
        <f>IFERROR((CD47/CC47),0)</f>
        <v/>
      </c>
      <c r="CK47" s="4">
        <f>IFERROR(((0+CB11+CB12+CB13+CB14+CB15+CB16+CB17+CB19+CB20+CB21+CB22+CB23+CB24+CB25+CB27+CB28+CB29+CB30+CB31+CB32+CB33+CB35+CB36+CB37+CB38+CB39+CB40+CB41+CB43+CB44+CB45+CB46+CB47)/T2),0)</f>
        <v/>
      </c>
      <c r="CL47" s="5">
        <f>IFERROR(ROUND(CB47/CD47,2),0)</f>
        <v/>
      </c>
      <c r="CM47" s="5">
        <f>IFERROR(ROUND(CB47/CE47,2),0)</f>
        <v/>
      </c>
      <c r="CN47" s="2" t="inlineStr">
        <is>
          <t>2023-10-22</t>
        </is>
      </c>
      <c r="CO47" s="5">
        <f>ROUND(0.0,2)</f>
        <v/>
      </c>
      <c r="CP47" s="3">
        <f>ROUND(0.0,2)</f>
        <v/>
      </c>
      <c r="CQ47" s="3">
        <f>ROUND(0.0,2)</f>
        <v/>
      </c>
      <c r="CR47" s="3">
        <f>ROUND(0.0,2)</f>
        <v/>
      </c>
      <c r="CS47" s="3">
        <f>ROUND(0.0,2)</f>
        <v/>
      </c>
      <c r="CT47" s="3">
        <f>ROUND(0.0,2)</f>
        <v/>
      </c>
      <c r="CU47" s="3">
        <f>ROUND(0.0,2)</f>
        <v/>
      </c>
      <c r="CV47" s="3">
        <f>ROUND(0.0,2)</f>
        <v/>
      </c>
      <c r="CW47" s="4">
        <f>IFERROR((CQ47/CP47),0)</f>
        <v/>
      </c>
      <c r="CX47" s="4">
        <f>IFERROR(((0+CO11+CO12+CO13+CO14+CO15+CO16+CO17+CO19+CO20+CO21+CO22+CO23+CO24+CO25+CO27+CO28+CO29+CO30+CO31+CO32+CO33+CO35+CO36+CO37+CO38+CO39+CO40+CO41+CO43+CO44+CO45+CO46+CO47)/T2),0)</f>
        <v/>
      </c>
      <c r="CY47" s="5">
        <f>IFERROR(ROUND(CO47/CQ47,2),0)</f>
        <v/>
      </c>
      <c r="CZ47" s="5">
        <f>IFERROR(ROUND(CO47/CR47,2),0)</f>
        <v/>
      </c>
      <c r="DA47" s="2" t="inlineStr">
        <is>
          <t>2023-10-22</t>
        </is>
      </c>
      <c r="DB47" s="5">
        <f>ROUND(0.0,2)</f>
        <v/>
      </c>
      <c r="DC47" s="3">
        <f>ROUND(0.0,2)</f>
        <v/>
      </c>
      <c r="DD47" s="3">
        <f>ROUND(0.0,2)</f>
        <v/>
      </c>
      <c r="DE47" s="3">
        <f>ROUND(0.0,2)</f>
        <v/>
      </c>
      <c r="DF47" s="3">
        <f>ROUND(0.0,2)</f>
        <v/>
      </c>
      <c r="DG47" s="3">
        <f>ROUND(0.0,2)</f>
        <v/>
      </c>
      <c r="DH47" s="3">
        <f>ROUND(0.0,2)</f>
        <v/>
      </c>
      <c r="DI47" s="3">
        <f>ROUND(0.0,2)</f>
        <v/>
      </c>
      <c r="DJ47" s="4">
        <f>IFERROR((DD47/DC47),0)</f>
        <v/>
      </c>
      <c r="DK47" s="4">
        <f>IFERROR(((0+DB11+DB12+DB13+DB14+DB15+DB16+DB17+DB19+DB20+DB21+DB22+DB23+DB24+DB25+DB27+DB28+DB29+DB30+DB31+DB32+DB33+DB35+DB36+DB37+DB38+DB39+DB40+DB41+DB43+DB44+DB45+DB46+DB47)/T2),0)</f>
        <v/>
      </c>
      <c r="DL47" s="5">
        <f>IFERROR(ROUND(DB47/DD47,2),0)</f>
        <v/>
      </c>
      <c r="DM47" s="5">
        <f>IFERROR(ROUND(DB47/DE47,2),0)</f>
        <v/>
      </c>
      <c r="DN47" s="2" t="inlineStr">
        <is>
          <t>2023-10-22</t>
        </is>
      </c>
      <c r="DO47" s="5">
        <f>ROUND(0.0,2)</f>
        <v/>
      </c>
      <c r="DP47" s="3">
        <f>ROUND(0.0,2)</f>
        <v/>
      </c>
      <c r="DQ47" s="3">
        <f>ROUND(0.0,2)</f>
        <v/>
      </c>
      <c r="DR47" s="3">
        <f>ROUND(0.0,2)</f>
        <v/>
      </c>
      <c r="DS47" s="3">
        <f>ROUND(0.0,2)</f>
        <v/>
      </c>
      <c r="DT47" s="3">
        <f>ROUND(0.0,2)</f>
        <v/>
      </c>
      <c r="DU47" s="3">
        <f>ROUND(0.0,2)</f>
        <v/>
      </c>
      <c r="DV47" s="3">
        <f>ROUND(0.0,2)</f>
        <v/>
      </c>
      <c r="DW47" s="4">
        <f>IFERROR((DQ47/DP47),0)</f>
        <v/>
      </c>
      <c r="DX47" s="4">
        <f>IFERROR(((0+DO11+DO12+DO13+DO14+DO15+DO16+DO17+DO19+DO20+DO21+DO22+DO23+DO24+DO25+DO27+DO28+DO29+DO30+DO31+DO32+DO33+DO35+DO36+DO37+DO38+DO39+DO40+DO41+DO43+DO44+DO45+DO46+DO47)/T2),0)</f>
        <v/>
      </c>
      <c r="DY47" s="5">
        <f>IFERROR(ROUND(DO47/DQ47,2),0)</f>
        <v/>
      </c>
      <c r="DZ47" s="5">
        <f>IFERROR(ROUND(DO47/DR47,2),0)</f>
        <v/>
      </c>
      <c r="EA47" s="2" t="inlineStr">
        <is>
          <t>2023-10-22</t>
        </is>
      </c>
      <c r="EB47" s="5">
        <f>ROUND(0.0,2)</f>
        <v/>
      </c>
      <c r="EC47" s="3">
        <f>ROUND(0.0,2)</f>
        <v/>
      </c>
      <c r="ED47" s="3">
        <f>ROUND(0.0,2)</f>
        <v/>
      </c>
      <c r="EE47" s="3">
        <f>ROUND(0.0,2)</f>
        <v/>
      </c>
      <c r="EF47" s="3">
        <f>ROUND(0.0,2)</f>
        <v/>
      </c>
      <c r="EG47" s="3">
        <f>ROUND(0.0,2)</f>
        <v/>
      </c>
      <c r="EH47" s="3">
        <f>ROUND(0.0,2)</f>
        <v/>
      </c>
      <c r="EI47" s="3">
        <f>ROUND(0.0,2)</f>
        <v/>
      </c>
      <c r="EJ47" s="4">
        <f>IFERROR((ED47/EC47),0)</f>
        <v/>
      </c>
      <c r="EK47" s="4">
        <f>IFERROR(((0+EB11+EB12+EB13+EB14+EB15+EB16+EB17+EB19+EB20+EB21+EB22+EB23+EB24+EB25+EB27+EB28+EB29+EB30+EB31+EB32+EB33+EB35+EB36+EB37+EB38+EB39+EB40+EB41+EB43+EB44+EB45+EB46+EB47)/T2),0)</f>
        <v/>
      </c>
      <c r="EL47" s="5">
        <f>IFERROR(ROUND(EB47/ED47,2),0)</f>
        <v/>
      </c>
      <c r="EM47" s="5">
        <f>IFERROR(ROUND(EB47/EE47,2),0)</f>
        <v/>
      </c>
      <c r="EN47" s="2" t="inlineStr">
        <is>
          <t>2023-10-22</t>
        </is>
      </c>
      <c r="EO47" s="5">
        <f>ROUND(0.0,2)</f>
        <v/>
      </c>
      <c r="EP47" s="3">
        <f>ROUND(0.0,2)</f>
        <v/>
      </c>
      <c r="EQ47" s="3">
        <f>ROUND(0.0,2)</f>
        <v/>
      </c>
      <c r="ER47" s="3">
        <f>ROUND(0.0,2)</f>
        <v/>
      </c>
      <c r="ES47" s="3">
        <f>ROUND(0.0,2)</f>
        <v/>
      </c>
      <c r="ET47" s="3">
        <f>ROUND(0.0,2)</f>
        <v/>
      </c>
      <c r="EU47" s="3">
        <f>ROUND(0.0,2)</f>
        <v/>
      </c>
      <c r="EV47" s="3">
        <f>ROUND(0.0,2)</f>
        <v/>
      </c>
      <c r="EW47" s="4">
        <f>IFERROR((EQ47/EP47),0)</f>
        <v/>
      </c>
      <c r="EX47" s="4">
        <f>IFERROR(((0+EO11+EO12+EO13+EO14+EO15+EO16+EO17+EO19+EO20+EO21+EO22+EO23+EO24+EO25+EO27+EO28+EO29+EO30+EO31+EO32+EO33+EO35+EO36+EO37+EO38+EO39+EO40+EO41+EO43+EO44+EO45+EO46+EO47)/T2),0)</f>
        <v/>
      </c>
      <c r="EY47" s="5">
        <f>IFERROR(ROUND(EO47/EQ47,2),0)</f>
        <v/>
      </c>
      <c r="EZ47" s="5">
        <f>IFERROR(ROUND(EO47/ER47,2),0)</f>
        <v/>
      </c>
      <c r="FA47" s="2" t="inlineStr">
        <is>
          <t>2023-10-22</t>
        </is>
      </c>
      <c r="FB47" s="5">
        <f>ROUND(0.0,2)</f>
        <v/>
      </c>
      <c r="FC47" s="3">
        <f>ROUND(0.0,2)</f>
        <v/>
      </c>
      <c r="FD47" s="3">
        <f>ROUND(0.0,2)</f>
        <v/>
      </c>
      <c r="FE47" s="3">
        <f>ROUND(0.0,2)</f>
        <v/>
      </c>
      <c r="FF47" s="3">
        <f>ROUND(0.0,2)</f>
        <v/>
      </c>
      <c r="FG47" s="3">
        <f>ROUND(0.0,2)</f>
        <v/>
      </c>
      <c r="FH47" s="3">
        <f>ROUND(0.0,2)</f>
        <v/>
      </c>
      <c r="FI47" s="3">
        <f>ROUND(0.0,2)</f>
        <v/>
      </c>
      <c r="FJ47" s="4">
        <f>IFERROR((FD47/FC47),0)</f>
        <v/>
      </c>
      <c r="FK47" s="4">
        <f>IFERROR(((0+FB11+FB12+FB13+FB14+FB15+FB16+FB17+FB19+FB20+FB21+FB22+FB23+FB24+FB25+FB27+FB28+FB29+FB30+FB31+FB32+FB33+FB35+FB36+FB37+FB38+FB39+FB40+FB41+FB43+FB44+FB45+FB46+FB47)/T2),0)</f>
        <v/>
      </c>
      <c r="FL47" s="5">
        <f>IFERROR(ROUND(FB47/FD47,2),0)</f>
        <v/>
      </c>
      <c r="FM47" s="5">
        <f>IFERROR(ROUND(FB47/FE47,2),0)</f>
        <v/>
      </c>
      <c r="FN47" s="2" t="inlineStr">
        <is>
          <t>2023-10-22</t>
        </is>
      </c>
      <c r="FO47" s="5">
        <f>ROUND(0.0,2)</f>
        <v/>
      </c>
      <c r="FP47" s="3">
        <f>ROUND(0.0,2)</f>
        <v/>
      </c>
      <c r="FQ47" s="3">
        <f>ROUND(0.0,2)</f>
        <v/>
      </c>
      <c r="FR47" s="3">
        <f>ROUND(0.0,2)</f>
        <v/>
      </c>
      <c r="FS47" s="3">
        <f>ROUND(0.0,2)</f>
        <v/>
      </c>
      <c r="FT47" s="3">
        <f>ROUND(0.0,2)</f>
        <v/>
      </c>
      <c r="FU47" s="3">
        <f>ROUND(0.0,2)</f>
        <v/>
      </c>
      <c r="FV47" s="3">
        <f>ROUND(0.0,2)</f>
        <v/>
      </c>
      <c r="FW47" s="4">
        <f>IFERROR((FQ47/FP47),0)</f>
        <v/>
      </c>
      <c r="FX47" s="4">
        <f>IFERROR(((0+FO11+FO12+FO13+FO14+FO15+FO16+FO17+FO19+FO20+FO21+FO22+FO23+FO24+FO25+FO27+FO28+FO29+FO30+FO31+FO32+FO33+FO35+FO36+FO37+FO38+FO39+FO40+FO41+FO43+FO44+FO45+FO46+FO47)/T2),0)</f>
        <v/>
      </c>
      <c r="FY47" s="5">
        <f>IFERROR(ROUND(FO47/FQ47,2),0)</f>
        <v/>
      </c>
      <c r="FZ47" s="5">
        <f>IFERROR(ROUND(FO47/FR47,2),0)</f>
        <v/>
      </c>
      <c r="GA47" s="2" t="inlineStr">
        <is>
          <t>2023-10-22</t>
        </is>
      </c>
      <c r="GB47" s="5">
        <f>ROUND(0.0,2)</f>
        <v/>
      </c>
      <c r="GC47" s="3">
        <f>ROUND(0.0,2)</f>
        <v/>
      </c>
      <c r="GD47" s="3">
        <f>ROUND(0.0,2)</f>
        <v/>
      </c>
      <c r="GE47" s="3">
        <f>ROUND(0.0,2)</f>
        <v/>
      </c>
      <c r="GF47" s="3">
        <f>ROUND(0.0,2)</f>
        <v/>
      </c>
      <c r="GG47" s="3">
        <f>ROUND(0.0,2)</f>
        <v/>
      </c>
      <c r="GH47" s="3">
        <f>ROUND(0.0,2)</f>
        <v/>
      </c>
      <c r="GI47" s="3">
        <f>ROUND(0.0,2)</f>
        <v/>
      </c>
      <c r="GJ47" s="4">
        <f>IFERROR((GD47/GC47),0)</f>
        <v/>
      </c>
      <c r="GK47" s="4">
        <f>IFERROR(((0+GB11+GB12+GB13+GB14+GB15+GB16+GB17+GB19+GB20+GB21+GB22+GB23+GB24+GB25+GB27+GB28+GB29+GB30+GB31+GB32+GB33+GB35+GB36+GB37+GB38+GB39+GB40+GB41+GB43+GB44+GB45+GB46+GB47)/T2),0)</f>
        <v/>
      </c>
      <c r="GL47" s="5">
        <f>IFERROR(ROUND(GB47/GD47,2),0)</f>
        <v/>
      </c>
      <c r="GM47" s="5">
        <f>IFERROR(ROUND(GB47/GE47,2),0)</f>
        <v/>
      </c>
      <c r="GN47" s="2" t="inlineStr">
        <is>
          <t>2023-10-22</t>
        </is>
      </c>
      <c r="GO47" s="5">
        <f>ROUND(0.0,2)</f>
        <v/>
      </c>
      <c r="GP47" s="3">
        <f>ROUND(0.0,2)</f>
        <v/>
      </c>
      <c r="GQ47" s="3">
        <f>ROUND(0.0,2)</f>
        <v/>
      </c>
      <c r="GR47" s="3">
        <f>ROUND(0.0,2)</f>
        <v/>
      </c>
      <c r="GS47" s="3">
        <f>ROUND(0.0,2)</f>
        <v/>
      </c>
      <c r="GT47" s="3">
        <f>ROUND(0.0,2)</f>
        <v/>
      </c>
      <c r="GU47" s="3">
        <f>ROUND(0.0,2)</f>
        <v/>
      </c>
      <c r="GV47" s="3">
        <f>ROUND(0.0,2)</f>
        <v/>
      </c>
      <c r="GW47" s="4">
        <f>IFERROR((GQ47/GP47),0)</f>
        <v/>
      </c>
      <c r="GX47" s="4">
        <f>IFERROR(((0+GO11+GO12+GO13+GO14+GO15+GO16+GO17+GO19+GO20+GO21+GO22+GO23+GO24+GO25+GO27+GO28+GO29+GO30+GO31+GO32+GO33+GO35+GO36+GO37+GO38+GO39+GO40+GO41+GO43+GO44+GO45+GO46+GO47)/T2),0)</f>
        <v/>
      </c>
      <c r="GY47" s="5">
        <f>IFERROR(ROUND(GO47/GQ47,2),0)</f>
        <v/>
      </c>
      <c r="GZ47" s="5">
        <f>IFERROR(ROUND(GO47/GR47,2),0)</f>
        <v/>
      </c>
      <c r="HA47" s="2" t="inlineStr">
        <is>
          <t>2023-10-22</t>
        </is>
      </c>
      <c r="HB47" s="5">
        <f>ROUND(0.0,2)</f>
        <v/>
      </c>
      <c r="HC47" s="3">
        <f>ROUND(0.0,2)</f>
        <v/>
      </c>
      <c r="HD47" s="3">
        <f>ROUND(0.0,2)</f>
        <v/>
      </c>
      <c r="HE47" s="3">
        <f>ROUND(0.0,2)</f>
        <v/>
      </c>
      <c r="HF47" s="3">
        <f>ROUND(0.0,2)</f>
        <v/>
      </c>
      <c r="HG47" s="3">
        <f>ROUND(0.0,2)</f>
        <v/>
      </c>
      <c r="HH47" s="3">
        <f>ROUND(0.0,2)</f>
        <v/>
      </c>
      <c r="HI47" s="3">
        <f>ROUND(0.0,2)</f>
        <v/>
      </c>
      <c r="HJ47" s="4">
        <f>IFERROR((HD47/HC47),0)</f>
        <v/>
      </c>
      <c r="HK47" s="4">
        <f>IFERROR(((0+HB11+HB12+HB13+HB14+HB15+HB16+HB17+HB19+HB20+HB21+HB22+HB23+HB24+HB25+HB27+HB28+HB29+HB30+HB31+HB32+HB33+HB35+HB36+HB37+HB38+HB39+HB40+HB41+HB43+HB44+HB45+HB46+HB47)/T2),0)</f>
        <v/>
      </c>
      <c r="HL47" s="5">
        <f>IFERROR(ROUND(HB47/HD47,2),0)</f>
        <v/>
      </c>
      <c r="HM47" s="5">
        <f>IFERROR(ROUND(HB47/HE47,2),0)</f>
        <v/>
      </c>
      <c r="HN47" s="2" t="inlineStr">
        <is>
          <t>2023-10-22</t>
        </is>
      </c>
      <c r="HO47" s="5">
        <f>ROUND(0.0,2)</f>
        <v/>
      </c>
      <c r="HP47" s="3">
        <f>ROUND(0.0,2)</f>
        <v/>
      </c>
      <c r="HQ47" s="3">
        <f>ROUND(0.0,2)</f>
        <v/>
      </c>
      <c r="HR47" s="3">
        <f>ROUND(0.0,2)</f>
        <v/>
      </c>
      <c r="HS47" s="3">
        <f>ROUND(0.0,2)</f>
        <v/>
      </c>
      <c r="HT47" s="3">
        <f>ROUND(0.0,2)</f>
        <v/>
      </c>
      <c r="HU47" s="3">
        <f>ROUND(0.0,2)</f>
        <v/>
      </c>
      <c r="HV47" s="3">
        <f>ROUND(0.0,2)</f>
        <v/>
      </c>
      <c r="HW47" s="4">
        <f>IFERROR((HQ47/HP47),0)</f>
        <v/>
      </c>
      <c r="HX47" s="4">
        <f>IFERROR(((0+HO11+HO12+HO13+HO14+HO15+HO16+HO17+HO19+HO20+HO21+HO22+HO23+HO24+HO25+HO27+HO28+HO29+HO30+HO31+HO32+HO33+HO35+HO36+HO37+HO38+HO39+HO40+HO41+HO43+HO44+HO45+HO46+HO47)/T2),0)</f>
        <v/>
      </c>
      <c r="HY47" s="5">
        <f>IFERROR(ROUND(HO47/HQ47,2),0)</f>
        <v/>
      </c>
      <c r="HZ47" s="5">
        <f>IFERROR(ROUND(HO47/HR47,2),0)</f>
        <v/>
      </c>
      <c r="IA47" s="2" t="inlineStr">
        <is>
          <t>2023-10-22</t>
        </is>
      </c>
      <c r="IB47" s="5">
        <f>ROUND(0.0,2)</f>
        <v/>
      </c>
      <c r="IC47" s="3">
        <f>ROUND(0.0,2)</f>
        <v/>
      </c>
      <c r="ID47" s="3">
        <f>ROUND(0.0,2)</f>
        <v/>
      </c>
      <c r="IE47" s="3">
        <f>ROUND(0.0,2)</f>
        <v/>
      </c>
      <c r="IF47" s="3">
        <f>ROUND(0.0,2)</f>
        <v/>
      </c>
      <c r="IG47" s="3">
        <f>ROUND(0.0,2)</f>
        <v/>
      </c>
      <c r="IH47" s="3">
        <f>ROUND(0.0,2)</f>
        <v/>
      </c>
      <c r="II47" s="3">
        <f>ROUND(0.0,2)</f>
        <v/>
      </c>
      <c r="IJ47" s="4">
        <f>IFERROR((ID47/IC47),0)</f>
        <v/>
      </c>
      <c r="IK47" s="4">
        <f>IFERROR(((0+IB11+IB12+IB13+IB14+IB15+IB16+IB17+IB19+IB20+IB21+IB22+IB23+IB24+IB25+IB27+IB28+IB29+IB30+IB31+IB32+IB33+IB35+IB36+IB37+IB38+IB39+IB40+IB41+IB43+IB44+IB45+IB46+IB47)/T2),0)</f>
        <v/>
      </c>
      <c r="IL47" s="5">
        <f>IFERROR(ROUND(IB47/ID47,2),0)</f>
        <v/>
      </c>
      <c r="IM47" s="5">
        <f>IFERROR(ROUND(IB47/IE47,2),0)</f>
        <v/>
      </c>
      <c r="IN47" s="2" t="inlineStr">
        <is>
          <t>2023-10-22</t>
        </is>
      </c>
      <c r="IO47" s="5">
        <f>ROUND(0.0,2)</f>
        <v/>
      </c>
      <c r="IP47" s="3">
        <f>ROUND(0.0,2)</f>
        <v/>
      </c>
      <c r="IQ47" s="3">
        <f>ROUND(0.0,2)</f>
        <v/>
      </c>
      <c r="IR47" s="3">
        <f>ROUND(0.0,2)</f>
        <v/>
      </c>
      <c r="IS47" s="3">
        <f>ROUND(0.0,2)</f>
        <v/>
      </c>
      <c r="IT47" s="3">
        <f>ROUND(0.0,2)</f>
        <v/>
      </c>
      <c r="IU47" s="3">
        <f>ROUND(0.0,2)</f>
        <v/>
      </c>
      <c r="IV47" s="3">
        <f>ROUND(0.0,2)</f>
        <v/>
      </c>
      <c r="IW47" s="4">
        <f>IFERROR((IQ47/IP47),0)</f>
        <v/>
      </c>
      <c r="IX47" s="4">
        <f>IFERROR(((0+IO11+IO12+IO13+IO14+IO15+IO16+IO17+IO19+IO20+IO21+IO22+IO23+IO24+IO25+IO27+IO28+IO29+IO30+IO31+IO32+IO33+IO35+IO36+IO37+IO38+IO39+IO40+IO41+IO43+IO44+IO45+IO46+IO47)/T2),0)</f>
        <v/>
      </c>
      <c r="IY47" s="5">
        <f>IFERROR(ROUND(IO47/IQ47,2),0)</f>
        <v/>
      </c>
      <c r="IZ47" s="5">
        <f>IFERROR(ROUND(IO47/IR47,2),0)</f>
        <v/>
      </c>
      <c r="JA47" s="2" t="inlineStr">
        <is>
          <t>2023-10-22</t>
        </is>
      </c>
      <c r="JB47" s="5">
        <f>ROUND(0.0,2)</f>
        <v/>
      </c>
      <c r="JC47" s="3">
        <f>ROUND(0.0,2)</f>
        <v/>
      </c>
      <c r="JD47" s="3">
        <f>ROUND(0.0,2)</f>
        <v/>
      </c>
      <c r="JE47" s="3">
        <f>ROUND(0.0,2)</f>
        <v/>
      </c>
      <c r="JF47" s="3">
        <f>ROUND(0.0,2)</f>
        <v/>
      </c>
      <c r="JG47" s="3">
        <f>ROUND(0.0,2)</f>
        <v/>
      </c>
      <c r="JH47" s="3">
        <f>ROUND(0.0,2)</f>
        <v/>
      </c>
      <c r="JI47" s="3">
        <f>ROUND(0.0,2)</f>
        <v/>
      </c>
      <c r="JJ47" s="4">
        <f>IFERROR((JD47/JC47),0)</f>
        <v/>
      </c>
      <c r="JK47" s="4">
        <f>IFERROR(((0+JB11+JB12+JB13+JB14+JB15+JB16+JB17+JB19+JB20+JB21+JB22+JB23+JB24+JB25+JB27+JB28+JB29+JB30+JB31+JB32+JB33+JB35+JB36+JB37+JB38+JB39+JB40+JB41+JB43+JB44+JB45+JB46+JB47)/T2),0)</f>
        <v/>
      </c>
      <c r="JL47" s="5">
        <f>IFERROR(ROUND(JB47/JD47,2),0)</f>
        <v/>
      </c>
      <c r="JM47" s="5">
        <f>IFERROR(ROUND(JB47/JE47,2),0)</f>
        <v/>
      </c>
    </row>
    <row r="48">
      <c r="A48" s="2" t="inlineStr">
        <is>
          <t>2023-10-23</t>
        </is>
      </c>
      <c r="B48" s="5">
        <f>ROUND(0.0,2)</f>
        <v/>
      </c>
      <c r="C48" s="3">
        <f>ROUND(0.0,2)</f>
        <v/>
      </c>
      <c r="D48" s="3">
        <f>ROUND(0.0,2)</f>
        <v/>
      </c>
      <c r="E48" s="3">
        <f>ROUND(0.0,2)</f>
        <v/>
      </c>
      <c r="F48" s="3">
        <f>ROUND(0.0,2)</f>
        <v/>
      </c>
      <c r="G48" s="3">
        <f>ROUND(0.0,2)</f>
        <v/>
      </c>
      <c r="H48" s="3">
        <f>ROUND(0.0,2)</f>
        <v/>
      </c>
      <c r="I48" s="3">
        <f>ROUND(0.0,2)</f>
        <v/>
      </c>
      <c r="J48" s="4">
        <f>IFERROR((D48/C48),0)</f>
        <v/>
      </c>
      <c r="K48" s="4">
        <f>IFERROR(((0+B11+B12+B13+B14+B15+B16+B17+B19+B20+B21+B22+B23+B24+B25+B27+B28+B29+B30+B31+B32+B33+B35+B36+B37+B38+B39+B40+B41+B43+B44+B45+B46+B47+B48)/T2),0)</f>
        <v/>
      </c>
      <c r="L48" s="5">
        <f>IFERROR(ROUND(B48/D48,2),0)</f>
        <v/>
      </c>
      <c r="M48" s="5">
        <f>IFERROR(ROUND(B48/E48,2),0)</f>
        <v/>
      </c>
      <c r="N48" s="2" t="inlineStr">
        <is>
          <t>2023-10-23</t>
        </is>
      </c>
      <c r="O48" s="5">
        <f>ROUND(0.0,2)</f>
        <v/>
      </c>
      <c r="P48" s="3">
        <f>ROUND(0.0,2)</f>
        <v/>
      </c>
      <c r="Q48" s="3">
        <f>ROUND(0.0,2)</f>
        <v/>
      </c>
      <c r="R48" s="3">
        <f>ROUND(0.0,2)</f>
        <v/>
      </c>
      <c r="S48" s="3">
        <f>ROUND(0.0,2)</f>
        <v/>
      </c>
      <c r="T48" s="3">
        <f>ROUND(0.0,2)</f>
        <v/>
      </c>
      <c r="U48" s="3">
        <f>ROUND(0.0,2)</f>
        <v/>
      </c>
      <c r="V48" s="3">
        <f>ROUND(0.0,2)</f>
        <v/>
      </c>
      <c r="W48" s="4">
        <f>IFERROR((Q48/P48),0)</f>
        <v/>
      </c>
      <c r="X48" s="4">
        <f>IFERROR(((0+O11+O12+O13+O14+O15+O16+O17+O19+O20+O21+O22+O23+O24+O25+O27+O28+O29+O30+O31+O32+O33+O35+O36+O37+O38+O39+O40+O41+O43+O44+O45+O46+O47+O48)/T2),0)</f>
        <v/>
      </c>
      <c r="Y48" s="5">
        <f>IFERROR(ROUND(O48/Q48,2),0)</f>
        <v/>
      </c>
      <c r="Z48" s="5">
        <f>IFERROR(ROUND(O48/R48,2),0)</f>
        <v/>
      </c>
      <c r="AA48" s="2" t="inlineStr">
        <is>
          <t>2023-10-23</t>
        </is>
      </c>
      <c r="AB48" s="5">
        <f>ROUND(0.0,2)</f>
        <v/>
      </c>
      <c r="AC48" s="3">
        <f>ROUND(0.0,2)</f>
        <v/>
      </c>
      <c r="AD48" s="3">
        <f>ROUND(0.0,2)</f>
        <v/>
      </c>
      <c r="AE48" s="3">
        <f>ROUND(0.0,2)</f>
        <v/>
      </c>
      <c r="AF48" s="3">
        <f>ROUND(0.0,2)</f>
        <v/>
      </c>
      <c r="AG48" s="3">
        <f>ROUND(0.0,2)</f>
        <v/>
      </c>
      <c r="AH48" s="3">
        <f>ROUND(0.0,2)</f>
        <v/>
      </c>
      <c r="AI48" s="3">
        <f>ROUND(0.0,2)</f>
        <v/>
      </c>
      <c r="AJ48" s="4">
        <f>IFERROR((AD48/AC48),0)</f>
        <v/>
      </c>
      <c r="AK48" s="4">
        <f>IFERROR(((0+AB11+AB12+AB13+AB14+AB15+AB16+AB17+AB19+AB20+AB21+AB22+AB23+AB24+AB25+AB27+AB28+AB29+AB30+AB31+AB32+AB33+AB35+AB36+AB37+AB38+AB39+AB40+AB41+AB43+AB44+AB45+AB46+AB47+AB48)/T2),0)</f>
        <v/>
      </c>
      <c r="AL48" s="5">
        <f>IFERROR(ROUND(AB48/AD48,2),0)</f>
        <v/>
      </c>
      <c r="AM48" s="5">
        <f>IFERROR(ROUND(AB48/AE48,2),0)</f>
        <v/>
      </c>
      <c r="AN48" s="2" t="inlineStr">
        <is>
          <t>2023-10-23</t>
        </is>
      </c>
      <c r="AO48" s="5">
        <f>ROUND(0.0,2)</f>
        <v/>
      </c>
      <c r="AP48" s="3">
        <f>ROUND(0.0,2)</f>
        <v/>
      </c>
      <c r="AQ48" s="3">
        <f>ROUND(0.0,2)</f>
        <v/>
      </c>
      <c r="AR48" s="3">
        <f>ROUND(0.0,2)</f>
        <v/>
      </c>
      <c r="AS48" s="3">
        <f>ROUND(0.0,2)</f>
        <v/>
      </c>
      <c r="AT48" s="3">
        <f>ROUND(0.0,2)</f>
        <v/>
      </c>
      <c r="AU48" s="3">
        <f>ROUND(0.0,2)</f>
        <v/>
      </c>
      <c r="AV48" s="3">
        <f>ROUND(0.0,2)</f>
        <v/>
      </c>
      <c r="AW48" s="4">
        <f>IFERROR((AQ48/AP48),0)</f>
        <v/>
      </c>
      <c r="AX48" s="4">
        <f>IFERROR(((0+AO11+AO12+AO13+AO14+AO15+AO16+AO17+AO19+AO20+AO21+AO22+AO23+AO24+AO25+AO27+AO28+AO29+AO30+AO31+AO32+AO33+AO35+AO36+AO37+AO38+AO39+AO40+AO41+AO43+AO44+AO45+AO46+AO47+AO48)/T2),0)</f>
        <v/>
      </c>
      <c r="AY48" s="5">
        <f>IFERROR(ROUND(AO48/AQ48,2),0)</f>
        <v/>
      </c>
      <c r="AZ48" s="5">
        <f>IFERROR(ROUND(AO48/AR48,2),0)</f>
        <v/>
      </c>
      <c r="BA48" s="2" t="inlineStr">
        <is>
          <t>2023-10-23</t>
        </is>
      </c>
      <c r="BB48" s="5">
        <f>ROUND(0.0,2)</f>
        <v/>
      </c>
      <c r="BC48" s="3">
        <f>ROUND(0.0,2)</f>
        <v/>
      </c>
      <c r="BD48" s="3">
        <f>ROUND(0.0,2)</f>
        <v/>
      </c>
      <c r="BE48" s="3">
        <f>ROUND(0.0,2)</f>
        <v/>
      </c>
      <c r="BF48" s="3">
        <f>ROUND(0.0,2)</f>
        <v/>
      </c>
      <c r="BG48" s="3">
        <f>ROUND(0.0,2)</f>
        <v/>
      </c>
      <c r="BH48" s="3">
        <f>ROUND(0.0,2)</f>
        <v/>
      </c>
      <c r="BI48" s="3">
        <f>ROUND(0.0,2)</f>
        <v/>
      </c>
      <c r="BJ48" s="4">
        <f>IFERROR((BD48/BC48),0)</f>
        <v/>
      </c>
      <c r="BK48" s="4">
        <f>IFERROR(((0+BB11+BB12+BB13+BB14+BB15+BB16+BB17+BB19+BB20+BB21+BB22+BB23+BB24+BB25+BB27+BB28+BB29+BB30+BB31+BB32+BB33+BB35+BB36+BB37+BB38+BB39+BB40+BB41+BB43+BB44+BB45+BB46+BB47+BB48)/T2),0)</f>
        <v/>
      </c>
      <c r="BL48" s="5">
        <f>IFERROR(ROUND(BB48/BD48,2),0)</f>
        <v/>
      </c>
      <c r="BM48" s="5">
        <f>IFERROR(ROUND(BB48/BE48,2),0)</f>
        <v/>
      </c>
      <c r="BN48" s="2" t="inlineStr">
        <is>
          <t>2023-10-23</t>
        </is>
      </c>
      <c r="BO48" s="5">
        <f>ROUND(0.0,2)</f>
        <v/>
      </c>
      <c r="BP48" s="3">
        <f>ROUND(0.0,2)</f>
        <v/>
      </c>
      <c r="BQ48" s="3">
        <f>ROUND(0.0,2)</f>
        <v/>
      </c>
      <c r="BR48" s="3">
        <f>ROUND(0.0,2)</f>
        <v/>
      </c>
      <c r="BS48" s="3">
        <f>ROUND(0.0,2)</f>
        <v/>
      </c>
      <c r="BT48" s="3">
        <f>ROUND(0.0,2)</f>
        <v/>
      </c>
      <c r="BU48" s="3">
        <f>ROUND(0.0,2)</f>
        <v/>
      </c>
      <c r="BV48" s="3">
        <f>ROUND(0.0,2)</f>
        <v/>
      </c>
      <c r="BW48" s="4">
        <f>IFERROR((BQ48/BP48),0)</f>
        <v/>
      </c>
      <c r="BX48" s="4">
        <f>IFERROR(((0+BO11+BO12+BO13+BO14+BO15+BO16+BO17+BO19+BO20+BO21+BO22+BO23+BO24+BO25+BO27+BO28+BO29+BO30+BO31+BO32+BO33+BO35+BO36+BO37+BO38+BO39+BO40+BO41+BO43+BO44+BO45+BO46+BO47+BO48)/T2),0)</f>
        <v/>
      </c>
      <c r="BY48" s="5">
        <f>IFERROR(ROUND(BO48/BQ48,2),0)</f>
        <v/>
      </c>
      <c r="BZ48" s="5">
        <f>IFERROR(ROUND(BO48/BR48,2),0)</f>
        <v/>
      </c>
      <c r="CA48" s="2" t="inlineStr">
        <is>
          <t>2023-10-23</t>
        </is>
      </c>
      <c r="CB48" s="5">
        <f>ROUND(0.0,2)</f>
        <v/>
      </c>
      <c r="CC48" s="3">
        <f>ROUND(0.0,2)</f>
        <v/>
      </c>
      <c r="CD48" s="3">
        <f>ROUND(0.0,2)</f>
        <v/>
      </c>
      <c r="CE48" s="3">
        <f>ROUND(0.0,2)</f>
        <v/>
      </c>
      <c r="CF48" s="3">
        <f>ROUND(0.0,2)</f>
        <v/>
      </c>
      <c r="CG48" s="3">
        <f>ROUND(0.0,2)</f>
        <v/>
      </c>
      <c r="CH48" s="3">
        <f>ROUND(0.0,2)</f>
        <v/>
      </c>
      <c r="CI48" s="3">
        <f>ROUND(0.0,2)</f>
        <v/>
      </c>
      <c r="CJ48" s="4">
        <f>IFERROR((CD48/CC48),0)</f>
        <v/>
      </c>
      <c r="CK48" s="4">
        <f>IFERROR(((0+CB11+CB12+CB13+CB14+CB15+CB16+CB17+CB19+CB20+CB21+CB22+CB23+CB24+CB25+CB27+CB28+CB29+CB30+CB31+CB32+CB33+CB35+CB36+CB37+CB38+CB39+CB40+CB41+CB43+CB44+CB45+CB46+CB47+CB48)/T2),0)</f>
        <v/>
      </c>
      <c r="CL48" s="5">
        <f>IFERROR(ROUND(CB48/CD48,2),0)</f>
        <v/>
      </c>
      <c r="CM48" s="5">
        <f>IFERROR(ROUND(CB48/CE48,2),0)</f>
        <v/>
      </c>
      <c r="CN48" s="2" t="inlineStr">
        <is>
          <t>2023-10-23</t>
        </is>
      </c>
      <c r="CO48" s="5">
        <f>ROUND(0.0,2)</f>
        <v/>
      </c>
      <c r="CP48" s="3">
        <f>ROUND(0.0,2)</f>
        <v/>
      </c>
      <c r="CQ48" s="3">
        <f>ROUND(0.0,2)</f>
        <v/>
      </c>
      <c r="CR48" s="3">
        <f>ROUND(0.0,2)</f>
        <v/>
      </c>
      <c r="CS48" s="3">
        <f>ROUND(0.0,2)</f>
        <v/>
      </c>
      <c r="CT48" s="3">
        <f>ROUND(0.0,2)</f>
        <v/>
      </c>
      <c r="CU48" s="3">
        <f>ROUND(0.0,2)</f>
        <v/>
      </c>
      <c r="CV48" s="3">
        <f>ROUND(0.0,2)</f>
        <v/>
      </c>
      <c r="CW48" s="4">
        <f>IFERROR((CQ48/CP48),0)</f>
        <v/>
      </c>
      <c r="CX48" s="4">
        <f>IFERROR(((0+CO11+CO12+CO13+CO14+CO15+CO16+CO17+CO19+CO20+CO21+CO22+CO23+CO24+CO25+CO27+CO28+CO29+CO30+CO31+CO32+CO33+CO35+CO36+CO37+CO38+CO39+CO40+CO41+CO43+CO44+CO45+CO46+CO47+CO48)/T2),0)</f>
        <v/>
      </c>
      <c r="CY48" s="5">
        <f>IFERROR(ROUND(CO48/CQ48,2),0)</f>
        <v/>
      </c>
      <c r="CZ48" s="5">
        <f>IFERROR(ROUND(CO48/CR48,2),0)</f>
        <v/>
      </c>
      <c r="DA48" s="2" t="inlineStr">
        <is>
          <t>2023-10-23</t>
        </is>
      </c>
      <c r="DB48" s="5">
        <f>ROUND(0.0,2)</f>
        <v/>
      </c>
      <c r="DC48" s="3">
        <f>ROUND(0.0,2)</f>
        <v/>
      </c>
      <c r="DD48" s="3">
        <f>ROUND(0.0,2)</f>
        <v/>
      </c>
      <c r="DE48" s="3">
        <f>ROUND(0.0,2)</f>
        <v/>
      </c>
      <c r="DF48" s="3">
        <f>ROUND(0.0,2)</f>
        <v/>
      </c>
      <c r="DG48" s="3">
        <f>ROUND(0.0,2)</f>
        <v/>
      </c>
      <c r="DH48" s="3">
        <f>ROUND(0.0,2)</f>
        <v/>
      </c>
      <c r="DI48" s="3">
        <f>ROUND(0.0,2)</f>
        <v/>
      </c>
      <c r="DJ48" s="4">
        <f>IFERROR((DD48/DC48),0)</f>
        <v/>
      </c>
      <c r="DK48" s="4">
        <f>IFERROR(((0+DB11+DB12+DB13+DB14+DB15+DB16+DB17+DB19+DB20+DB21+DB22+DB23+DB24+DB25+DB27+DB28+DB29+DB30+DB31+DB32+DB33+DB35+DB36+DB37+DB38+DB39+DB40+DB41+DB43+DB44+DB45+DB46+DB47+DB48)/T2),0)</f>
        <v/>
      </c>
      <c r="DL48" s="5">
        <f>IFERROR(ROUND(DB48/DD48,2),0)</f>
        <v/>
      </c>
      <c r="DM48" s="5">
        <f>IFERROR(ROUND(DB48/DE48,2),0)</f>
        <v/>
      </c>
      <c r="DN48" s="2" t="inlineStr">
        <is>
          <t>2023-10-23</t>
        </is>
      </c>
      <c r="DO48" s="5">
        <f>ROUND(0.0,2)</f>
        <v/>
      </c>
      <c r="DP48" s="3">
        <f>ROUND(0.0,2)</f>
        <v/>
      </c>
      <c r="DQ48" s="3">
        <f>ROUND(0.0,2)</f>
        <v/>
      </c>
      <c r="DR48" s="3">
        <f>ROUND(0.0,2)</f>
        <v/>
      </c>
      <c r="DS48" s="3">
        <f>ROUND(0.0,2)</f>
        <v/>
      </c>
      <c r="DT48" s="3">
        <f>ROUND(0.0,2)</f>
        <v/>
      </c>
      <c r="DU48" s="3">
        <f>ROUND(0.0,2)</f>
        <v/>
      </c>
      <c r="DV48" s="3">
        <f>ROUND(0.0,2)</f>
        <v/>
      </c>
      <c r="DW48" s="4">
        <f>IFERROR((DQ48/DP48),0)</f>
        <v/>
      </c>
      <c r="DX48" s="4">
        <f>IFERROR(((0+DO11+DO12+DO13+DO14+DO15+DO16+DO17+DO19+DO20+DO21+DO22+DO23+DO24+DO25+DO27+DO28+DO29+DO30+DO31+DO32+DO33+DO35+DO36+DO37+DO38+DO39+DO40+DO41+DO43+DO44+DO45+DO46+DO47+DO48)/T2),0)</f>
        <v/>
      </c>
      <c r="DY48" s="5">
        <f>IFERROR(ROUND(DO48/DQ48,2),0)</f>
        <v/>
      </c>
      <c r="DZ48" s="5">
        <f>IFERROR(ROUND(DO48/DR48,2),0)</f>
        <v/>
      </c>
      <c r="EA48" s="2" t="inlineStr">
        <is>
          <t>2023-10-23</t>
        </is>
      </c>
      <c r="EB48" s="5">
        <f>ROUND(0.0,2)</f>
        <v/>
      </c>
      <c r="EC48" s="3">
        <f>ROUND(0.0,2)</f>
        <v/>
      </c>
      <c r="ED48" s="3">
        <f>ROUND(0.0,2)</f>
        <v/>
      </c>
      <c r="EE48" s="3">
        <f>ROUND(0.0,2)</f>
        <v/>
      </c>
      <c r="EF48" s="3">
        <f>ROUND(0.0,2)</f>
        <v/>
      </c>
      <c r="EG48" s="3">
        <f>ROUND(0.0,2)</f>
        <v/>
      </c>
      <c r="EH48" s="3">
        <f>ROUND(0.0,2)</f>
        <v/>
      </c>
      <c r="EI48" s="3">
        <f>ROUND(0.0,2)</f>
        <v/>
      </c>
      <c r="EJ48" s="4">
        <f>IFERROR((ED48/EC48),0)</f>
        <v/>
      </c>
      <c r="EK48" s="4">
        <f>IFERROR(((0+EB11+EB12+EB13+EB14+EB15+EB16+EB17+EB19+EB20+EB21+EB22+EB23+EB24+EB25+EB27+EB28+EB29+EB30+EB31+EB32+EB33+EB35+EB36+EB37+EB38+EB39+EB40+EB41+EB43+EB44+EB45+EB46+EB47+EB48)/T2),0)</f>
        <v/>
      </c>
      <c r="EL48" s="5">
        <f>IFERROR(ROUND(EB48/ED48,2),0)</f>
        <v/>
      </c>
      <c r="EM48" s="5">
        <f>IFERROR(ROUND(EB48/EE48,2),0)</f>
        <v/>
      </c>
      <c r="EN48" s="2" t="inlineStr">
        <is>
          <t>2023-10-23</t>
        </is>
      </c>
      <c r="EO48" s="5">
        <f>ROUND(0.0,2)</f>
        <v/>
      </c>
      <c r="EP48" s="3">
        <f>ROUND(0.0,2)</f>
        <v/>
      </c>
      <c r="EQ48" s="3">
        <f>ROUND(0.0,2)</f>
        <v/>
      </c>
      <c r="ER48" s="3">
        <f>ROUND(0.0,2)</f>
        <v/>
      </c>
      <c r="ES48" s="3">
        <f>ROUND(0.0,2)</f>
        <v/>
      </c>
      <c r="ET48" s="3">
        <f>ROUND(0.0,2)</f>
        <v/>
      </c>
      <c r="EU48" s="3">
        <f>ROUND(0.0,2)</f>
        <v/>
      </c>
      <c r="EV48" s="3">
        <f>ROUND(0.0,2)</f>
        <v/>
      </c>
      <c r="EW48" s="4">
        <f>IFERROR((EQ48/EP48),0)</f>
        <v/>
      </c>
      <c r="EX48" s="4">
        <f>IFERROR(((0+EO11+EO12+EO13+EO14+EO15+EO16+EO17+EO19+EO20+EO21+EO22+EO23+EO24+EO25+EO27+EO28+EO29+EO30+EO31+EO32+EO33+EO35+EO36+EO37+EO38+EO39+EO40+EO41+EO43+EO44+EO45+EO46+EO47+EO48)/T2),0)</f>
        <v/>
      </c>
      <c r="EY48" s="5">
        <f>IFERROR(ROUND(EO48/EQ48,2),0)</f>
        <v/>
      </c>
      <c r="EZ48" s="5">
        <f>IFERROR(ROUND(EO48/ER48,2),0)</f>
        <v/>
      </c>
      <c r="FA48" s="2" t="inlineStr">
        <is>
          <t>2023-10-23</t>
        </is>
      </c>
      <c r="FB48" s="5">
        <f>ROUND(0.0,2)</f>
        <v/>
      </c>
      <c r="FC48" s="3">
        <f>ROUND(0.0,2)</f>
        <v/>
      </c>
      <c r="FD48" s="3">
        <f>ROUND(0.0,2)</f>
        <v/>
      </c>
      <c r="FE48" s="3">
        <f>ROUND(0.0,2)</f>
        <v/>
      </c>
      <c r="FF48" s="3">
        <f>ROUND(0.0,2)</f>
        <v/>
      </c>
      <c r="FG48" s="3">
        <f>ROUND(0.0,2)</f>
        <v/>
      </c>
      <c r="FH48" s="3">
        <f>ROUND(0.0,2)</f>
        <v/>
      </c>
      <c r="FI48" s="3">
        <f>ROUND(0.0,2)</f>
        <v/>
      </c>
      <c r="FJ48" s="4">
        <f>IFERROR((FD48/FC48),0)</f>
        <v/>
      </c>
      <c r="FK48" s="4">
        <f>IFERROR(((0+FB11+FB12+FB13+FB14+FB15+FB16+FB17+FB19+FB20+FB21+FB22+FB23+FB24+FB25+FB27+FB28+FB29+FB30+FB31+FB32+FB33+FB35+FB36+FB37+FB38+FB39+FB40+FB41+FB43+FB44+FB45+FB46+FB47+FB48)/T2),0)</f>
        <v/>
      </c>
      <c r="FL48" s="5">
        <f>IFERROR(ROUND(FB48/FD48,2),0)</f>
        <v/>
      </c>
      <c r="FM48" s="5">
        <f>IFERROR(ROUND(FB48/FE48,2),0)</f>
        <v/>
      </c>
      <c r="FN48" s="2" t="inlineStr">
        <is>
          <t>2023-10-23</t>
        </is>
      </c>
      <c r="FO48" s="5">
        <f>ROUND(0.0,2)</f>
        <v/>
      </c>
      <c r="FP48" s="3">
        <f>ROUND(0.0,2)</f>
        <v/>
      </c>
      <c r="FQ48" s="3">
        <f>ROUND(0.0,2)</f>
        <v/>
      </c>
      <c r="FR48" s="3">
        <f>ROUND(0.0,2)</f>
        <v/>
      </c>
      <c r="FS48" s="3">
        <f>ROUND(0.0,2)</f>
        <v/>
      </c>
      <c r="FT48" s="3">
        <f>ROUND(0.0,2)</f>
        <v/>
      </c>
      <c r="FU48" s="3">
        <f>ROUND(0.0,2)</f>
        <v/>
      </c>
      <c r="FV48" s="3">
        <f>ROUND(0.0,2)</f>
        <v/>
      </c>
      <c r="FW48" s="4">
        <f>IFERROR((FQ48/FP48),0)</f>
        <v/>
      </c>
      <c r="FX48" s="4">
        <f>IFERROR(((0+FO11+FO12+FO13+FO14+FO15+FO16+FO17+FO19+FO20+FO21+FO22+FO23+FO24+FO25+FO27+FO28+FO29+FO30+FO31+FO32+FO33+FO35+FO36+FO37+FO38+FO39+FO40+FO41+FO43+FO44+FO45+FO46+FO47+FO48)/T2),0)</f>
        <v/>
      </c>
      <c r="FY48" s="5">
        <f>IFERROR(ROUND(FO48/FQ48,2),0)</f>
        <v/>
      </c>
      <c r="FZ48" s="5">
        <f>IFERROR(ROUND(FO48/FR48,2),0)</f>
        <v/>
      </c>
      <c r="GA48" s="2" t="inlineStr">
        <is>
          <t>2023-10-23</t>
        </is>
      </c>
      <c r="GB48" s="5">
        <f>ROUND(0.0,2)</f>
        <v/>
      </c>
      <c r="GC48" s="3">
        <f>ROUND(0.0,2)</f>
        <v/>
      </c>
      <c r="GD48" s="3">
        <f>ROUND(0.0,2)</f>
        <v/>
      </c>
      <c r="GE48" s="3">
        <f>ROUND(0.0,2)</f>
        <v/>
      </c>
      <c r="GF48" s="3">
        <f>ROUND(0.0,2)</f>
        <v/>
      </c>
      <c r="GG48" s="3">
        <f>ROUND(0.0,2)</f>
        <v/>
      </c>
      <c r="GH48" s="3">
        <f>ROUND(0.0,2)</f>
        <v/>
      </c>
      <c r="GI48" s="3">
        <f>ROUND(0.0,2)</f>
        <v/>
      </c>
      <c r="GJ48" s="4">
        <f>IFERROR((GD48/GC48),0)</f>
        <v/>
      </c>
      <c r="GK48" s="4">
        <f>IFERROR(((0+GB11+GB12+GB13+GB14+GB15+GB16+GB17+GB19+GB20+GB21+GB22+GB23+GB24+GB25+GB27+GB28+GB29+GB30+GB31+GB32+GB33+GB35+GB36+GB37+GB38+GB39+GB40+GB41+GB43+GB44+GB45+GB46+GB47+GB48)/T2),0)</f>
        <v/>
      </c>
      <c r="GL48" s="5">
        <f>IFERROR(ROUND(GB48/GD48,2),0)</f>
        <v/>
      </c>
      <c r="GM48" s="5">
        <f>IFERROR(ROUND(GB48/GE48,2),0)</f>
        <v/>
      </c>
      <c r="GN48" s="2" t="inlineStr">
        <is>
          <t>2023-10-23</t>
        </is>
      </c>
      <c r="GO48" s="5">
        <f>ROUND(0.0,2)</f>
        <v/>
      </c>
      <c r="GP48" s="3">
        <f>ROUND(0.0,2)</f>
        <v/>
      </c>
      <c r="GQ48" s="3">
        <f>ROUND(0.0,2)</f>
        <v/>
      </c>
      <c r="GR48" s="3">
        <f>ROUND(0.0,2)</f>
        <v/>
      </c>
      <c r="GS48" s="3">
        <f>ROUND(0.0,2)</f>
        <v/>
      </c>
      <c r="GT48" s="3">
        <f>ROUND(0.0,2)</f>
        <v/>
      </c>
      <c r="GU48" s="3">
        <f>ROUND(0.0,2)</f>
        <v/>
      </c>
      <c r="GV48" s="3">
        <f>ROUND(0.0,2)</f>
        <v/>
      </c>
      <c r="GW48" s="4">
        <f>IFERROR((GQ48/GP48),0)</f>
        <v/>
      </c>
      <c r="GX48" s="4">
        <f>IFERROR(((0+GO11+GO12+GO13+GO14+GO15+GO16+GO17+GO19+GO20+GO21+GO22+GO23+GO24+GO25+GO27+GO28+GO29+GO30+GO31+GO32+GO33+GO35+GO36+GO37+GO38+GO39+GO40+GO41+GO43+GO44+GO45+GO46+GO47+GO48)/T2),0)</f>
        <v/>
      </c>
      <c r="GY48" s="5">
        <f>IFERROR(ROUND(GO48/GQ48,2),0)</f>
        <v/>
      </c>
      <c r="GZ48" s="5">
        <f>IFERROR(ROUND(GO48/GR48,2),0)</f>
        <v/>
      </c>
      <c r="HA48" s="2" t="inlineStr">
        <is>
          <t>2023-10-23</t>
        </is>
      </c>
      <c r="HB48" s="5">
        <f>ROUND(0.0,2)</f>
        <v/>
      </c>
      <c r="HC48" s="3">
        <f>ROUND(0.0,2)</f>
        <v/>
      </c>
      <c r="HD48" s="3">
        <f>ROUND(0.0,2)</f>
        <v/>
      </c>
      <c r="HE48" s="3">
        <f>ROUND(0.0,2)</f>
        <v/>
      </c>
      <c r="HF48" s="3">
        <f>ROUND(0.0,2)</f>
        <v/>
      </c>
      <c r="HG48" s="3">
        <f>ROUND(0.0,2)</f>
        <v/>
      </c>
      <c r="HH48" s="3">
        <f>ROUND(0.0,2)</f>
        <v/>
      </c>
      <c r="HI48" s="3">
        <f>ROUND(0.0,2)</f>
        <v/>
      </c>
      <c r="HJ48" s="4">
        <f>IFERROR((HD48/HC48),0)</f>
        <v/>
      </c>
      <c r="HK48" s="4">
        <f>IFERROR(((0+HB11+HB12+HB13+HB14+HB15+HB16+HB17+HB19+HB20+HB21+HB22+HB23+HB24+HB25+HB27+HB28+HB29+HB30+HB31+HB32+HB33+HB35+HB36+HB37+HB38+HB39+HB40+HB41+HB43+HB44+HB45+HB46+HB47+HB48)/T2),0)</f>
        <v/>
      </c>
      <c r="HL48" s="5">
        <f>IFERROR(ROUND(HB48/HD48,2),0)</f>
        <v/>
      </c>
      <c r="HM48" s="5">
        <f>IFERROR(ROUND(HB48/HE48,2),0)</f>
        <v/>
      </c>
      <c r="HN48" s="2" t="inlineStr">
        <is>
          <t>2023-10-23</t>
        </is>
      </c>
      <c r="HO48" s="5">
        <f>ROUND(0.0,2)</f>
        <v/>
      </c>
      <c r="HP48" s="3">
        <f>ROUND(0.0,2)</f>
        <v/>
      </c>
      <c r="HQ48" s="3">
        <f>ROUND(0.0,2)</f>
        <v/>
      </c>
      <c r="HR48" s="3">
        <f>ROUND(0.0,2)</f>
        <v/>
      </c>
      <c r="HS48" s="3">
        <f>ROUND(0.0,2)</f>
        <v/>
      </c>
      <c r="HT48" s="3">
        <f>ROUND(0.0,2)</f>
        <v/>
      </c>
      <c r="HU48" s="3">
        <f>ROUND(0.0,2)</f>
        <v/>
      </c>
      <c r="HV48" s="3">
        <f>ROUND(0.0,2)</f>
        <v/>
      </c>
      <c r="HW48" s="4">
        <f>IFERROR((HQ48/HP48),0)</f>
        <v/>
      </c>
      <c r="HX48" s="4">
        <f>IFERROR(((0+HO11+HO12+HO13+HO14+HO15+HO16+HO17+HO19+HO20+HO21+HO22+HO23+HO24+HO25+HO27+HO28+HO29+HO30+HO31+HO32+HO33+HO35+HO36+HO37+HO38+HO39+HO40+HO41+HO43+HO44+HO45+HO46+HO47+HO48)/T2),0)</f>
        <v/>
      </c>
      <c r="HY48" s="5">
        <f>IFERROR(ROUND(HO48/HQ48,2),0)</f>
        <v/>
      </c>
      <c r="HZ48" s="5">
        <f>IFERROR(ROUND(HO48/HR48,2),0)</f>
        <v/>
      </c>
      <c r="IA48" s="2" t="inlineStr">
        <is>
          <t>2023-10-23</t>
        </is>
      </c>
      <c r="IB48" s="5">
        <f>ROUND(0.0,2)</f>
        <v/>
      </c>
      <c r="IC48" s="3">
        <f>ROUND(0.0,2)</f>
        <v/>
      </c>
      <c r="ID48" s="3">
        <f>ROUND(0.0,2)</f>
        <v/>
      </c>
      <c r="IE48" s="3">
        <f>ROUND(0.0,2)</f>
        <v/>
      </c>
      <c r="IF48" s="3">
        <f>ROUND(0.0,2)</f>
        <v/>
      </c>
      <c r="IG48" s="3">
        <f>ROUND(0.0,2)</f>
        <v/>
      </c>
      <c r="IH48" s="3">
        <f>ROUND(0.0,2)</f>
        <v/>
      </c>
      <c r="II48" s="3">
        <f>ROUND(0.0,2)</f>
        <v/>
      </c>
      <c r="IJ48" s="4">
        <f>IFERROR((ID48/IC48),0)</f>
        <v/>
      </c>
      <c r="IK48" s="4">
        <f>IFERROR(((0+IB11+IB12+IB13+IB14+IB15+IB16+IB17+IB19+IB20+IB21+IB22+IB23+IB24+IB25+IB27+IB28+IB29+IB30+IB31+IB32+IB33+IB35+IB36+IB37+IB38+IB39+IB40+IB41+IB43+IB44+IB45+IB46+IB47+IB48)/T2),0)</f>
        <v/>
      </c>
      <c r="IL48" s="5">
        <f>IFERROR(ROUND(IB48/ID48,2),0)</f>
        <v/>
      </c>
      <c r="IM48" s="5">
        <f>IFERROR(ROUND(IB48/IE48,2),0)</f>
        <v/>
      </c>
      <c r="IN48" s="2" t="inlineStr">
        <is>
          <t>2023-10-23</t>
        </is>
      </c>
      <c r="IO48" s="5">
        <f>ROUND(0.0,2)</f>
        <v/>
      </c>
      <c r="IP48" s="3">
        <f>ROUND(0.0,2)</f>
        <v/>
      </c>
      <c r="IQ48" s="3">
        <f>ROUND(0.0,2)</f>
        <v/>
      </c>
      <c r="IR48" s="3">
        <f>ROUND(0.0,2)</f>
        <v/>
      </c>
      <c r="IS48" s="3">
        <f>ROUND(0.0,2)</f>
        <v/>
      </c>
      <c r="IT48" s="3">
        <f>ROUND(0.0,2)</f>
        <v/>
      </c>
      <c r="IU48" s="3">
        <f>ROUND(0.0,2)</f>
        <v/>
      </c>
      <c r="IV48" s="3">
        <f>ROUND(0.0,2)</f>
        <v/>
      </c>
      <c r="IW48" s="4">
        <f>IFERROR((IQ48/IP48),0)</f>
        <v/>
      </c>
      <c r="IX48" s="4">
        <f>IFERROR(((0+IO11+IO12+IO13+IO14+IO15+IO16+IO17+IO19+IO20+IO21+IO22+IO23+IO24+IO25+IO27+IO28+IO29+IO30+IO31+IO32+IO33+IO35+IO36+IO37+IO38+IO39+IO40+IO41+IO43+IO44+IO45+IO46+IO47+IO48)/T2),0)</f>
        <v/>
      </c>
      <c r="IY48" s="5">
        <f>IFERROR(ROUND(IO48/IQ48,2),0)</f>
        <v/>
      </c>
      <c r="IZ48" s="5">
        <f>IFERROR(ROUND(IO48/IR48,2),0)</f>
        <v/>
      </c>
      <c r="JA48" s="2" t="inlineStr">
        <is>
          <t>2023-10-23</t>
        </is>
      </c>
      <c r="JB48" s="5">
        <f>ROUND(0.0,2)</f>
        <v/>
      </c>
      <c r="JC48" s="3">
        <f>ROUND(0.0,2)</f>
        <v/>
      </c>
      <c r="JD48" s="3">
        <f>ROUND(0.0,2)</f>
        <v/>
      </c>
      <c r="JE48" s="3">
        <f>ROUND(0.0,2)</f>
        <v/>
      </c>
      <c r="JF48" s="3">
        <f>ROUND(0.0,2)</f>
        <v/>
      </c>
      <c r="JG48" s="3">
        <f>ROUND(0.0,2)</f>
        <v/>
      </c>
      <c r="JH48" s="3">
        <f>ROUND(0.0,2)</f>
        <v/>
      </c>
      <c r="JI48" s="3">
        <f>ROUND(0.0,2)</f>
        <v/>
      </c>
      <c r="JJ48" s="4">
        <f>IFERROR((JD48/JC48),0)</f>
        <v/>
      </c>
      <c r="JK48" s="4">
        <f>IFERROR(((0+JB11+JB12+JB13+JB14+JB15+JB16+JB17+JB19+JB20+JB21+JB22+JB23+JB24+JB25+JB27+JB28+JB29+JB30+JB31+JB32+JB33+JB35+JB36+JB37+JB38+JB39+JB40+JB41+JB43+JB44+JB45+JB46+JB47+JB48)/T2),0)</f>
        <v/>
      </c>
      <c r="JL48" s="5">
        <f>IFERROR(ROUND(JB48/JD48,2),0)</f>
        <v/>
      </c>
      <c r="JM48" s="5">
        <f>IFERROR(ROUND(JB48/JE48,2),0)</f>
        <v/>
      </c>
    </row>
    <row r="49">
      <c r="A49" s="2" t="inlineStr">
        <is>
          <t>2023-10-24</t>
        </is>
      </c>
      <c r="B49" s="5">
        <f>ROUND(0.0,2)</f>
        <v/>
      </c>
      <c r="C49" s="3">
        <f>ROUND(0.0,2)</f>
        <v/>
      </c>
      <c r="D49" s="3">
        <f>ROUND(0.0,2)</f>
        <v/>
      </c>
      <c r="E49" s="3">
        <f>ROUND(0.0,2)</f>
        <v/>
      </c>
      <c r="F49" s="3">
        <f>ROUND(0.0,2)</f>
        <v/>
      </c>
      <c r="G49" s="3">
        <f>ROUND(0.0,2)</f>
        <v/>
      </c>
      <c r="H49" s="3">
        <f>ROUND(0.0,2)</f>
        <v/>
      </c>
      <c r="I49" s="3">
        <f>ROUND(0.0,2)</f>
        <v/>
      </c>
      <c r="J49" s="4">
        <f>IFERROR((D49/C49),0)</f>
        <v/>
      </c>
      <c r="K49" s="4">
        <f>IFERROR(((0+B11+B12+B13+B14+B15+B16+B17+B19+B20+B21+B22+B23+B24+B25+B27+B28+B29+B30+B31+B32+B33+B35+B36+B37+B38+B39+B40+B41+B43+B44+B45+B46+B47+B48+B49)/T2),0)</f>
        <v/>
      </c>
      <c r="L49" s="5">
        <f>IFERROR(ROUND(B49/D49,2),0)</f>
        <v/>
      </c>
      <c r="M49" s="5">
        <f>IFERROR(ROUND(B49/E49,2),0)</f>
        <v/>
      </c>
      <c r="N49" s="2" t="inlineStr">
        <is>
          <t>2023-10-24</t>
        </is>
      </c>
      <c r="O49" s="5">
        <f>ROUND(0.0,2)</f>
        <v/>
      </c>
      <c r="P49" s="3">
        <f>ROUND(0.0,2)</f>
        <v/>
      </c>
      <c r="Q49" s="3">
        <f>ROUND(0.0,2)</f>
        <v/>
      </c>
      <c r="R49" s="3">
        <f>ROUND(0.0,2)</f>
        <v/>
      </c>
      <c r="S49" s="3">
        <f>ROUND(0.0,2)</f>
        <v/>
      </c>
      <c r="T49" s="3">
        <f>ROUND(0.0,2)</f>
        <v/>
      </c>
      <c r="U49" s="3">
        <f>ROUND(0.0,2)</f>
        <v/>
      </c>
      <c r="V49" s="3">
        <f>ROUND(0.0,2)</f>
        <v/>
      </c>
      <c r="W49" s="4">
        <f>IFERROR((Q49/P49),0)</f>
        <v/>
      </c>
      <c r="X49" s="4">
        <f>IFERROR(((0+O11+O12+O13+O14+O15+O16+O17+O19+O20+O21+O22+O23+O24+O25+O27+O28+O29+O30+O31+O32+O33+O35+O36+O37+O38+O39+O40+O41+O43+O44+O45+O46+O47+O48+O49)/T2),0)</f>
        <v/>
      </c>
      <c r="Y49" s="5">
        <f>IFERROR(ROUND(O49/Q49,2),0)</f>
        <v/>
      </c>
      <c r="Z49" s="5">
        <f>IFERROR(ROUND(O49/R49,2),0)</f>
        <v/>
      </c>
      <c r="AA49" s="2" t="inlineStr">
        <is>
          <t>2023-10-24</t>
        </is>
      </c>
      <c r="AB49" s="5">
        <f>ROUND(0.0,2)</f>
        <v/>
      </c>
      <c r="AC49" s="3">
        <f>ROUND(0.0,2)</f>
        <v/>
      </c>
      <c r="AD49" s="3">
        <f>ROUND(0.0,2)</f>
        <v/>
      </c>
      <c r="AE49" s="3">
        <f>ROUND(0.0,2)</f>
        <v/>
      </c>
      <c r="AF49" s="3">
        <f>ROUND(0.0,2)</f>
        <v/>
      </c>
      <c r="AG49" s="3">
        <f>ROUND(0.0,2)</f>
        <v/>
      </c>
      <c r="AH49" s="3">
        <f>ROUND(0.0,2)</f>
        <v/>
      </c>
      <c r="AI49" s="3">
        <f>ROUND(0.0,2)</f>
        <v/>
      </c>
      <c r="AJ49" s="4">
        <f>IFERROR((AD49/AC49),0)</f>
        <v/>
      </c>
      <c r="AK49" s="4">
        <f>IFERROR(((0+AB11+AB12+AB13+AB14+AB15+AB16+AB17+AB19+AB20+AB21+AB22+AB23+AB24+AB25+AB27+AB28+AB29+AB30+AB31+AB32+AB33+AB35+AB36+AB37+AB38+AB39+AB40+AB41+AB43+AB44+AB45+AB46+AB47+AB48+AB49)/T2),0)</f>
        <v/>
      </c>
      <c r="AL49" s="5">
        <f>IFERROR(ROUND(AB49/AD49,2),0)</f>
        <v/>
      </c>
      <c r="AM49" s="5">
        <f>IFERROR(ROUND(AB49/AE49,2),0)</f>
        <v/>
      </c>
      <c r="AN49" s="2" t="inlineStr">
        <is>
          <t>2023-10-24</t>
        </is>
      </c>
      <c r="AO49" s="5">
        <f>ROUND(0.0,2)</f>
        <v/>
      </c>
      <c r="AP49" s="3">
        <f>ROUND(0.0,2)</f>
        <v/>
      </c>
      <c r="AQ49" s="3">
        <f>ROUND(0.0,2)</f>
        <v/>
      </c>
      <c r="AR49" s="3">
        <f>ROUND(0.0,2)</f>
        <v/>
      </c>
      <c r="AS49" s="3">
        <f>ROUND(0.0,2)</f>
        <v/>
      </c>
      <c r="AT49" s="3">
        <f>ROUND(0.0,2)</f>
        <v/>
      </c>
      <c r="AU49" s="3">
        <f>ROUND(0.0,2)</f>
        <v/>
      </c>
      <c r="AV49" s="3">
        <f>ROUND(0.0,2)</f>
        <v/>
      </c>
      <c r="AW49" s="4">
        <f>IFERROR((AQ49/AP49),0)</f>
        <v/>
      </c>
      <c r="AX49" s="4">
        <f>IFERROR(((0+AO11+AO12+AO13+AO14+AO15+AO16+AO17+AO19+AO20+AO21+AO22+AO23+AO24+AO25+AO27+AO28+AO29+AO30+AO31+AO32+AO33+AO35+AO36+AO37+AO38+AO39+AO40+AO41+AO43+AO44+AO45+AO46+AO47+AO48+AO49)/T2),0)</f>
        <v/>
      </c>
      <c r="AY49" s="5">
        <f>IFERROR(ROUND(AO49/AQ49,2),0)</f>
        <v/>
      </c>
      <c r="AZ49" s="5">
        <f>IFERROR(ROUND(AO49/AR49,2),0)</f>
        <v/>
      </c>
      <c r="BA49" s="2" t="inlineStr">
        <is>
          <t>2023-10-24</t>
        </is>
      </c>
      <c r="BB49" s="5">
        <f>ROUND(0.0,2)</f>
        <v/>
      </c>
      <c r="BC49" s="3">
        <f>ROUND(0.0,2)</f>
        <v/>
      </c>
      <c r="BD49" s="3">
        <f>ROUND(0.0,2)</f>
        <v/>
      </c>
      <c r="BE49" s="3">
        <f>ROUND(0.0,2)</f>
        <v/>
      </c>
      <c r="BF49" s="3">
        <f>ROUND(0.0,2)</f>
        <v/>
      </c>
      <c r="BG49" s="3">
        <f>ROUND(0.0,2)</f>
        <v/>
      </c>
      <c r="BH49" s="3">
        <f>ROUND(0.0,2)</f>
        <v/>
      </c>
      <c r="BI49" s="3">
        <f>ROUND(0.0,2)</f>
        <v/>
      </c>
      <c r="BJ49" s="4">
        <f>IFERROR((BD49/BC49),0)</f>
        <v/>
      </c>
      <c r="BK49" s="4">
        <f>IFERROR(((0+BB11+BB12+BB13+BB14+BB15+BB16+BB17+BB19+BB20+BB21+BB22+BB23+BB24+BB25+BB27+BB28+BB29+BB30+BB31+BB32+BB33+BB35+BB36+BB37+BB38+BB39+BB40+BB41+BB43+BB44+BB45+BB46+BB47+BB48+BB49)/T2),0)</f>
        <v/>
      </c>
      <c r="BL49" s="5">
        <f>IFERROR(ROUND(BB49/BD49,2),0)</f>
        <v/>
      </c>
      <c r="BM49" s="5">
        <f>IFERROR(ROUND(BB49/BE49,2),0)</f>
        <v/>
      </c>
      <c r="BN49" s="2" t="inlineStr">
        <is>
          <t>2023-10-24</t>
        </is>
      </c>
      <c r="BO49" s="5">
        <f>ROUND(0.0,2)</f>
        <v/>
      </c>
      <c r="BP49" s="3">
        <f>ROUND(0.0,2)</f>
        <v/>
      </c>
      <c r="BQ49" s="3">
        <f>ROUND(0.0,2)</f>
        <v/>
      </c>
      <c r="BR49" s="3">
        <f>ROUND(0.0,2)</f>
        <v/>
      </c>
      <c r="BS49" s="3">
        <f>ROUND(0.0,2)</f>
        <v/>
      </c>
      <c r="BT49" s="3">
        <f>ROUND(0.0,2)</f>
        <v/>
      </c>
      <c r="BU49" s="3">
        <f>ROUND(0.0,2)</f>
        <v/>
      </c>
      <c r="BV49" s="3">
        <f>ROUND(0.0,2)</f>
        <v/>
      </c>
      <c r="BW49" s="4">
        <f>IFERROR((BQ49/BP49),0)</f>
        <v/>
      </c>
      <c r="BX49" s="4">
        <f>IFERROR(((0+BO11+BO12+BO13+BO14+BO15+BO16+BO17+BO19+BO20+BO21+BO22+BO23+BO24+BO25+BO27+BO28+BO29+BO30+BO31+BO32+BO33+BO35+BO36+BO37+BO38+BO39+BO40+BO41+BO43+BO44+BO45+BO46+BO47+BO48+BO49)/T2),0)</f>
        <v/>
      </c>
      <c r="BY49" s="5">
        <f>IFERROR(ROUND(BO49/BQ49,2),0)</f>
        <v/>
      </c>
      <c r="BZ49" s="5">
        <f>IFERROR(ROUND(BO49/BR49,2),0)</f>
        <v/>
      </c>
      <c r="CA49" s="2" t="inlineStr">
        <is>
          <t>2023-10-24</t>
        </is>
      </c>
      <c r="CB49" s="5">
        <f>ROUND(0.0,2)</f>
        <v/>
      </c>
      <c r="CC49" s="3">
        <f>ROUND(0.0,2)</f>
        <v/>
      </c>
      <c r="CD49" s="3">
        <f>ROUND(0.0,2)</f>
        <v/>
      </c>
      <c r="CE49" s="3">
        <f>ROUND(0.0,2)</f>
        <v/>
      </c>
      <c r="CF49" s="3">
        <f>ROUND(0.0,2)</f>
        <v/>
      </c>
      <c r="CG49" s="3">
        <f>ROUND(0.0,2)</f>
        <v/>
      </c>
      <c r="CH49" s="3">
        <f>ROUND(0.0,2)</f>
        <v/>
      </c>
      <c r="CI49" s="3">
        <f>ROUND(0.0,2)</f>
        <v/>
      </c>
      <c r="CJ49" s="4">
        <f>IFERROR((CD49/CC49),0)</f>
        <v/>
      </c>
      <c r="CK49" s="4">
        <f>IFERROR(((0+CB11+CB12+CB13+CB14+CB15+CB16+CB17+CB19+CB20+CB21+CB22+CB23+CB24+CB25+CB27+CB28+CB29+CB30+CB31+CB32+CB33+CB35+CB36+CB37+CB38+CB39+CB40+CB41+CB43+CB44+CB45+CB46+CB47+CB48+CB49)/T2),0)</f>
        <v/>
      </c>
      <c r="CL49" s="5">
        <f>IFERROR(ROUND(CB49/CD49,2),0)</f>
        <v/>
      </c>
      <c r="CM49" s="5">
        <f>IFERROR(ROUND(CB49/CE49,2),0)</f>
        <v/>
      </c>
      <c r="CN49" s="2" t="inlineStr">
        <is>
          <t>2023-10-24</t>
        </is>
      </c>
      <c r="CO49" s="5">
        <f>ROUND(0.0,2)</f>
        <v/>
      </c>
      <c r="CP49" s="3">
        <f>ROUND(0.0,2)</f>
        <v/>
      </c>
      <c r="CQ49" s="3">
        <f>ROUND(0.0,2)</f>
        <v/>
      </c>
      <c r="CR49" s="3">
        <f>ROUND(0.0,2)</f>
        <v/>
      </c>
      <c r="CS49" s="3">
        <f>ROUND(0.0,2)</f>
        <v/>
      </c>
      <c r="CT49" s="3">
        <f>ROUND(0.0,2)</f>
        <v/>
      </c>
      <c r="CU49" s="3">
        <f>ROUND(0.0,2)</f>
        <v/>
      </c>
      <c r="CV49" s="3">
        <f>ROUND(0.0,2)</f>
        <v/>
      </c>
      <c r="CW49" s="4">
        <f>IFERROR((CQ49/CP49),0)</f>
        <v/>
      </c>
      <c r="CX49" s="4">
        <f>IFERROR(((0+CO11+CO12+CO13+CO14+CO15+CO16+CO17+CO19+CO20+CO21+CO22+CO23+CO24+CO25+CO27+CO28+CO29+CO30+CO31+CO32+CO33+CO35+CO36+CO37+CO38+CO39+CO40+CO41+CO43+CO44+CO45+CO46+CO47+CO48+CO49)/T2),0)</f>
        <v/>
      </c>
      <c r="CY49" s="5">
        <f>IFERROR(ROUND(CO49/CQ49,2),0)</f>
        <v/>
      </c>
      <c r="CZ49" s="5">
        <f>IFERROR(ROUND(CO49/CR49,2),0)</f>
        <v/>
      </c>
      <c r="DA49" s="2" t="inlineStr">
        <is>
          <t>2023-10-24</t>
        </is>
      </c>
      <c r="DB49" s="5">
        <f>ROUND(0.0,2)</f>
        <v/>
      </c>
      <c r="DC49" s="3">
        <f>ROUND(0.0,2)</f>
        <v/>
      </c>
      <c r="DD49" s="3">
        <f>ROUND(0.0,2)</f>
        <v/>
      </c>
      <c r="DE49" s="3">
        <f>ROUND(0.0,2)</f>
        <v/>
      </c>
      <c r="DF49" s="3">
        <f>ROUND(0.0,2)</f>
        <v/>
      </c>
      <c r="DG49" s="3">
        <f>ROUND(0.0,2)</f>
        <v/>
      </c>
      <c r="DH49" s="3">
        <f>ROUND(0.0,2)</f>
        <v/>
      </c>
      <c r="DI49" s="3">
        <f>ROUND(0.0,2)</f>
        <v/>
      </c>
      <c r="DJ49" s="4">
        <f>IFERROR((DD49/DC49),0)</f>
        <v/>
      </c>
      <c r="DK49" s="4">
        <f>IFERROR(((0+DB11+DB12+DB13+DB14+DB15+DB16+DB17+DB19+DB20+DB21+DB22+DB23+DB24+DB25+DB27+DB28+DB29+DB30+DB31+DB32+DB33+DB35+DB36+DB37+DB38+DB39+DB40+DB41+DB43+DB44+DB45+DB46+DB47+DB48+DB49)/T2),0)</f>
        <v/>
      </c>
      <c r="DL49" s="5">
        <f>IFERROR(ROUND(DB49/DD49,2),0)</f>
        <v/>
      </c>
      <c r="DM49" s="5">
        <f>IFERROR(ROUND(DB49/DE49,2),0)</f>
        <v/>
      </c>
      <c r="DN49" s="2" t="inlineStr">
        <is>
          <t>2023-10-24</t>
        </is>
      </c>
      <c r="DO49" s="5">
        <f>ROUND(0.0,2)</f>
        <v/>
      </c>
      <c r="DP49" s="3">
        <f>ROUND(0.0,2)</f>
        <v/>
      </c>
      <c r="DQ49" s="3">
        <f>ROUND(0.0,2)</f>
        <v/>
      </c>
      <c r="DR49" s="3">
        <f>ROUND(0.0,2)</f>
        <v/>
      </c>
      <c r="DS49" s="3">
        <f>ROUND(0.0,2)</f>
        <v/>
      </c>
      <c r="DT49" s="3">
        <f>ROUND(0.0,2)</f>
        <v/>
      </c>
      <c r="DU49" s="3">
        <f>ROUND(0.0,2)</f>
        <v/>
      </c>
      <c r="DV49" s="3">
        <f>ROUND(0.0,2)</f>
        <v/>
      </c>
      <c r="DW49" s="4">
        <f>IFERROR((DQ49/DP49),0)</f>
        <v/>
      </c>
      <c r="DX49" s="4">
        <f>IFERROR(((0+DO11+DO12+DO13+DO14+DO15+DO16+DO17+DO19+DO20+DO21+DO22+DO23+DO24+DO25+DO27+DO28+DO29+DO30+DO31+DO32+DO33+DO35+DO36+DO37+DO38+DO39+DO40+DO41+DO43+DO44+DO45+DO46+DO47+DO48+DO49)/T2),0)</f>
        <v/>
      </c>
      <c r="DY49" s="5">
        <f>IFERROR(ROUND(DO49/DQ49,2),0)</f>
        <v/>
      </c>
      <c r="DZ49" s="5">
        <f>IFERROR(ROUND(DO49/DR49,2),0)</f>
        <v/>
      </c>
      <c r="EA49" s="2" t="inlineStr">
        <is>
          <t>2023-10-24</t>
        </is>
      </c>
      <c r="EB49" s="5">
        <f>ROUND(0.0,2)</f>
        <v/>
      </c>
      <c r="EC49" s="3">
        <f>ROUND(0.0,2)</f>
        <v/>
      </c>
      <c r="ED49" s="3">
        <f>ROUND(0.0,2)</f>
        <v/>
      </c>
      <c r="EE49" s="3">
        <f>ROUND(0.0,2)</f>
        <v/>
      </c>
      <c r="EF49" s="3">
        <f>ROUND(0.0,2)</f>
        <v/>
      </c>
      <c r="EG49" s="3">
        <f>ROUND(0.0,2)</f>
        <v/>
      </c>
      <c r="EH49" s="3">
        <f>ROUND(0.0,2)</f>
        <v/>
      </c>
      <c r="EI49" s="3">
        <f>ROUND(0.0,2)</f>
        <v/>
      </c>
      <c r="EJ49" s="4">
        <f>IFERROR((ED49/EC49),0)</f>
        <v/>
      </c>
      <c r="EK49" s="4">
        <f>IFERROR(((0+EB11+EB12+EB13+EB14+EB15+EB16+EB17+EB19+EB20+EB21+EB22+EB23+EB24+EB25+EB27+EB28+EB29+EB30+EB31+EB32+EB33+EB35+EB36+EB37+EB38+EB39+EB40+EB41+EB43+EB44+EB45+EB46+EB47+EB48+EB49)/T2),0)</f>
        <v/>
      </c>
      <c r="EL49" s="5">
        <f>IFERROR(ROUND(EB49/ED49,2),0)</f>
        <v/>
      </c>
      <c r="EM49" s="5">
        <f>IFERROR(ROUND(EB49/EE49,2),0)</f>
        <v/>
      </c>
      <c r="EN49" s="2" t="inlineStr">
        <is>
          <t>2023-10-24</t>
        </is>
      </c>
      <c r="EO49" s="5">
        <f>ROUND(0.0,2)</f>
        <v/>
      </c>
      <c r="EP49" s="3">
        <f>ROUND(0.0,2)</f>
        <v/>
      </c>
      <c r="EQ49" s="3">
        <f>ROUND(0.0,2)</f>
        <v/>
      </c>
      <c r="ER49" s="3">
        <f>ROUND(0.0,2)</f>
        <v/>
      </c>
      <c r="ES49" s="3">
        <f>ROUND(0.0,2)</f>
        <v/>
      </c>
      <c r="ET49" s="3">
        <f>ROUND(0.0,2)</f>
        <v/>
      </c>
      <c r="EU49" s="3">
        <f>ROUND(0.0,2)</f>
        <v/>
      </c>
      <c r="EV49" s="3">
        <f>ROUND(0.0,2)</f>
        <v/>
      </c>
      <c r="EW49" s="4">
        <f>IFERROR((EQ49/EP49),0)</f>
        <v/>
      </c>
      <c r="EX49" s="4">
        <f>IFERROR(((0+EO11+EO12+EO13+EO14+EO15+EO16+EO17+EO19+EO20+EO21+EO22+EO23+EO24+EO25+EO27+EO28+EO29+EO30+EO31+EO32+EO33+EO35+EO36+EO37+EO38+EO39+EO40+EO41+EO43+EO44+EO45+EO46+EO47+EO48+EO49)/T2),0)</f>
        <v/>
      </c>
      <c r="EY49" s="5">
        <f>IFERROR(ROUND(EO49/EQ49,2),0)</f>
        <v/>
      </c>
      <c r="EZ49" s="5">
        <f>IFERROR(ROUND(EO49/ER49,2),0)</f>
        <v/>
      </c>
      <c r="FA49" s="2" t="inlineStr">
        <is>
          <t>2023-10-24</t>
        </is>
      </c>
      <c r="FB49" s="5">
        <f>ROUND(0.0,2)</f>
        <v/>
      </c>
      <c r="FC49" s="3">
        <f>ROUND(0.0,2)</f>
        <v/>
      </c>
      <c r="FD49" s="3">
        <f>ROUND(0.0,2)</f>
        <v/>
      </c>
      <c r="FE49" s="3">
        <f>ROUND(0.0,2)</f>
        <v/>
      </c>
      <c r="FF49" s="3">
        <f>ROUND(0.0,2)</f>
        <v/>
      </c>
      <c r="FG49" s="3">
        <f>ROUND(0.0,2)</f>
        <v/>
      </c>
      <c r="FH49" s="3">
        <f>ROUND(0.0,2)</f>
        <v/>
      </c>
      <c r="FI49" s="3">
        <f>ROUND(0.0,2)</f>
        <v/>
      </c>
      <c r="FJ49" s="4">
        <f>IFERROR((FD49/FC49),0)</f>
        <v/>
      </c>
      <c r="FK49" s="4">
        <f>IFERROR(((0+FB11+FB12+FB13+FB14+FB15+FB16+FB17+FB19+FB20+FB21+FB22+FB23+FB24+FB25+FB27+FB28+FB29+FB30+FB31+FB32+FB33+FB35+FB36+FB37+FB38+FB39+FB40+FB41+FB43+FB44+FB45+FB46+FB47+FB48+FB49)/T2),0)</f>
        <v/>
      </c>
      <c r="FL49" s="5">
        <f>IFERROR(ROUND(FB49/FD49,2),0)</f>
        <v/>
      </c>
      <c r="FM49" s="5">
        <f>IFERROR(ROUND(FB49/FE49,2),0)</f>
        <v/>
      </c>
      <c r="FN49" s="2" t="inlineStr">
        <is>
          <t>2023-10-24</t>
        </is>
      </c>
      <c r="FO49" s="5">
        <f>ROUND(0.0,2)</f>
        <v/>
      </c>
      <c r="FP49" s="3">
        <f>ROUND(0.0,2)</f>
        <v/>
      </c>
      <c r="FQ49" s="3">
        <f>ROUND(0.0,2)</f>
        <v/>
      </c>
      <c r="FR49" s="3">
        <f>ROUND(0.0,2)</f>
        <v/>
      </c>
      <c r="FS49" s="3">
        <f>ROUND(0.0,2)</f>
        <v/>
      </c>
      <c r="FT49" s="3">
        <f>ROUND(0.0,2)</f>
        <v/>
      </c>
      <c r="FU49" s="3">
        <f>ROUND(0.0,2)</f>
        <v/>
      </c>
      <c r="FV49" s="3">
        <f>ROUND(0.0,2)</f>
        <v/>
      </c>
      <c r="FW49" s="4">
        <f>IFERROR((FQ49/FP49),0)</f>
        <v/>
      </c>
      <c r="FX49" s="4">
        <f>IFERROR(((0+FO11+FO12+FO13+FO14+FO15+FO16+FO17+FO19+FO20+FO21+FO22+FO23+FO24+FO25+FO27+FO28+FO29+FO30+FO31+FO32+FO33+FO35+FO36+FO37+FO38+FO39+FO40+FO41+FO43+FO44+FO45+FO46+FO47+FO48+FO49)/T2),0)</f>
        <v/>
      </c>
      <c r="FY49" s="5">
        <f>IFERROR(ROUND(FO49/FQ49,2),0)</f>
        <v/>
      </c>
      <c r="FZ49" s="5">
        <f>IFERROR(ROUND(FO49/FR49,2),0)</f>
        <v/>
      </c>
      <c r="GA49" s="2" t="inlineStr">
        <is>
          <t>2023-10-24</t>
        </is>
      </c>
      <c r="GB49" s="5">
        <f>ROUND(0.0,2)</f>
        <v/>
      </c>
      <c r="GC49" s="3">
        <f>ROUND(0.0,2)</f>
        <v/>
      </c>
      <c r="GD49" s="3">
        <f>ROUND(0.0,2)</f>
        <v/>
      </c>
      <c r="GE49" s="3">
        <f>ROUND(0.0,2)</f>
        <v/>
      </c>
      <c r="GF49" s="3">
        <f>ROUND(0.0,2)</f>
        <v/>
      </c>
      <c r="GG49" s="3">
        <f>ROUND(0.0,2)</f>
        <v/>
      </c>
      <c r="GH49" s="3">
        <f>ROUND(0.0,2)</f>
        <v/>
      </c>
      <c r="GI49" s="3">
        <f>ROUND(0.0,2)</f>
        <v/>
      </c>
      <c r="GJ49" s="4">
        <f>IFERROR((GD49/GC49),0)</f>
        <v/>
      </c>
      <c r="GK49" s="4">
        <f>IFERROR(((0+GB11+GB12+GB13+GB14+GB15+GB16+GB17+GB19+GB20+GB21+GB22+GB23+GB24+GB25+GB27+GB28+GB29+GB30+GB31+GB32+GB33+GB35+GB36+GB37+GB38+GB39+GB40+GB41+GB43+GB44+GB45+GB46+GB47+GB48+GB49)/T2),0)</f>
        <v/>
      </c>
      <c r="GL49" s="5">
        <f>IFERROR(ROUND(GB49/GD49,2),0)</f>
        <v/>
      </c>
      <c r="GM49" s="5">
        <f>IFERROR(ROUND(GB49/GE49,2),0)</f>
        <v/>
      </c>
      <c r="GN49" s="2" t="inlineStr">
        <is>
          <t>2023-10-24</t>
        </is>
      </c>
      <c r="GO49" s="5">
        <f>ROUND(0.0,2)</f>
        <v/>
      </c>
      <c r="GP49" s="3">
        <f>ROUND(0.0,2)</f>
        <v/>
      </c>
      <c r="GQ49" s="3">
        <f>ROUND(0.0,2)</f>
        <v/>
      </c>
      <c r="GR49" s="3">
        <f>ROUND(0.0,2)</f>
        <v/>
      </c>
      <c r="GS49" s="3">
        <f>ROUND(0.0,2)</f>
        <v/>
      </c>
      <c r="GT49" s="3">
        <f>ROUND(0.0,2)</f>
        <v/>
      </c>
      <c r="GU49" s="3">
        <f>ROUND(0.0,2)</f>
        <v/>
      </c>
      <c r="GV49" s="3">
        <f>ROUND(0.0,2)</f>
        <v/>
      </c>
      <c r="GW49" s="4">
        <f>IFERROR((GQ49/GP49),0)</f>
        <v/>
      </c>
      <c r="GX49" s="4">
        <f>IFERROR(((0+GO11+GO12+GO13+GO14+GO15+GO16+GO17+GO19+GO20+GO21+GO22+GO23+GO24+GO25+GO27+GO28+GO29+GO30+GO31+GO32+GO33+GO35+GO36+GO37+GO38+GO39+GO40+GO41+GO43+GO44+GO45+GO46+GO47+GO48+GO49)/T2),0)</f>
        <v/>
      </c>
      <c r="GY49" s="5">
        <f>IFERROR(ROUND(GO49/GQ49,2),0)</f>
        <v/>
      </c>
      <c r="GZ49" s="5">
        <f>IFERROR(ROUND(GO49/GR49,2),0)</f>
        <v/>
      </c>
      <c r="HA49" s="2" t="inlineStr">
        <is>
          <t>2023-10-24</t>
        </is>
      </c>
      <c r="HB49" s="5">
        <f>ROUND(0.0,2)</f>
        <v/>
      </c>
      <c r="HC49" s="3">
        <f>ROUND(0.0,2)</f>
        <v/>
      </c>
      <c r="HD49" s="3">
        <f>ROUND(0.0,2)</f>
        <v/>
      </c>
      <c r="HE49" s="3">
        <f>ROUND(0.0,2)</f>
        <v/>
      </c>
      <c r="HF49" s="3">
        <f>ROUND(0.0,2)</f>
        <v/>
      </c>
      <c r="HG49" s="3">
        <f>ROUND(0.0,2)</f>
        <v/>
      </c>
      <c r="HH49" s="3">
        <f>ROUND(0.0,2)</f>
        <v/>
      </c>
      <c r="HI49" s="3">
        <f>ROUND(0.0,2)</f>
        <v/>
      </c>
      <c r="HJ49" s="4">
        <f>IFERROR((HD49/HC49),0)</f>
        <v/>
      </c>
      <c r="HK49" s="4">
        <f>IFERROR(((0+HB11+HB12+HB13+HB14+HB15+HB16+HB17+HB19+HB20+HB21+HB22+HB23+HB24+HB25+HB27+HB28+HB29+HB30+HB31+HB32+HB33+HB35+HB36+HB37+HB38+HB39+HB40+HB41+HB43+HB44+HB45+HB46+HB47+HB48+HB49)/T2),0)</f>
        <v/>
      </c>
      <c r="HL49" s="5">
        <f>IFERROR(ROUND(HB49/HD49,2),0)</f>
        <v/>
      </c>
      <c r="HM49" s="5">
        <f>IFERROR(ROUND(HB49/HE49,2),0)</f>
        <v/>
      </c>
      <c r="HN49" s="2" t="inlineStr">
        <is>
          <t>2023-10-24</t>
        </is>
      </c>
      <c r="HO49" s="5">
        <f>ROUND(0.0,2)</f>
        <v/>
      </c>
      <c r="HP49" s="3">
        <f>ROUND(0.0,2)</f>
        <v/>
      </c>
      <c r="HQ49" s="3">
        <f>ROUND(0.0,2)</f>
        <v/>
      </c>
      <c r="HR49" s="3">
        <f>ROUND(0.0,2)</f>
        <v/>
      </c>
      <c r="HS49" s="3">
        <f>ROUND(0.0,2)</f>
        <v/>
      </c>
      <c r="HT49" s="3">
        <f>ROUND(0.0,2)</f>
        <v/>
      </c>
      <c r="HU49" s="3">
        <f>ROUND(0.0,2)</f>
        <v/>
      </c>
      <c r="HV49" s="3">
        <f>ROUND(0.0,2)</f>
        <v/>
      </c>
      <c r="HW49" s="4">
        <f>IFERROR((HQ49/HP49),0)</f>
        <v/>
      </c>
      <c r="HX49" s="4">
        <f>IFERROR(((0+HO11+HO12+HO13+HO14+HO15+HO16+HO17+HO19+HO20+HO21+HO22+HO23+HO24+HO25+HO27+HO28+HO29+HO30+HO31+HO32+HO33+HO35+HO36+HO37+HO38+HO39+HO40+HO41+HO43+HO44+HO45+HO46+HO47+HO48+HO49)/T2),0)</f>
        <v/>
      </c>
      <c r="HY49" s="5">
        <f>IFERROR(ROUND(HO49/HQ49,2),0)</f>
        <v/>
      </c>
      <c r="HZ49" s="5">
        <f>IFERROR(ROUND(HO49/HR49,2),0)</f>
        <v/>
      </c>
      <c r="IA49" s="2" t="inlineStr">
        <is>
          <t>2023-10-24</t>
        </is>
      </c>
      <c r="IB49" s="5">
        <f>ROUND(0.0,2)</f>
        <v/>
      </c>
      <c r="IC49" s="3">
        <f>ROUND(0.0,2)</f>
        <v/>
      </c>
      <c r="ID49" s="3">
        <f>ROUND(0.0,2)</f>
        <v/>
      </c>
      <c r="IE49" s="3">
        <f>ROUND(0.0,2)</f>
        <v/>
      </c>
      <c r="IF49" s="3">
        <f>ROUND(0.0,2)</f>
        <v/>
      </c>
      <c r="IG49" s="3">
        <f>ROUND(0.0,2)</f>
        <v/>
      </c>
      <c r="IH49" s="3">
        <f>ROUND(0.0,2)</f>
        <v/>
      </c>
      <c r="II49" s="3">
        <f>ROUND(0.0,2)</f>
        <v/>
      </c>
      <c r="IJ49" s="4">
        <f>IFERROR((ID49/IC49),0)</f>
        <v/>
      </c>
      <c r="IK49" s="4">
        <f>IFERROR(((0+IB11+IB12+IB13+IB14+IB15+IB16+IB17+IB19+IB20+IB21+IB22+IB23+IB24+IB25+IB27+IB28+IB29+IB30+IB31+IB32+IB33+IB35+IB36+IB37+IB38+IB39+IB40+IB41+IB43+IB44+IB45+IB46+IB47+IB48+IB49)/T2),0)</f>
        <v/>
      </c>
      <c r="IL49" s="5">
        <f>IFERROR(ROUND(IB49/ID49,2),0)</f>
        <v/>
      </c>
      <c r="IM49" s="5">
        <f>IFERROR(ROUND(IB49/IE49,2),0)</f>
        <v/>
      </c>
      <c r="IN49" s="2" t="inlineStr">
        <is>
          <t>2023-10-24</t>
        </is>
      </c>
      <c r="IO49" s="5">
        <f>ROUND(0.0,2)</f>
        <v/>
      </c>
      <c r="IP49" s="3">
        <f>ROUND(0.0,2)</f>
        <v/>
      </c>
      <c r="IQ49" s="3">
        <f>ROUND(0.0,2)</f>
        <v/>
      </c>
      <c r="IR49" s="3">
        <f>ROUND(0.0,2)</f>
        <v/>
      </c>
      <c r="IS49" s="3">
        <f>ROUND(0.0,2)</f>
        <v/>
      </c>
      <c r="IT49" s="3">
        <f>ROUND(0.0,2)</f>
        <v/>
      </c>
      <c r="IU49" s="3">
        <f>ROUND(0.0,2)</f>
        <v/>
      </c>
      <c r="IV49" s="3">
        <f>ROUND(0.0,2)</f>
        <v/>
      </c>
      <c r="IW49" s="4">
        <f>IFERROR((IQ49/IP49),0)</f>
        <v/>
      </c>
      <c r="IX49" s="4">
        <f>IFERROR(((0+IO11+IO12+IO13+IO14+IO15+IO16+IO17+IO19+IO20+IO21+IO22+IO23+IO24+IO25+IO27+IO28+IO29+IO30+IO31+IO32+IO33+IO35+IO36+IO37+IO38+IO39+IO40+IO41+IO43+IO44+IO45+IO46+IO47+IO48+IO49)/T2),0)</f>
        <v/>
      </c>
      <c r="IY49" s="5">
        <f>IFERROR(ROUND(IO49/IQ49,2),0)</f>
        <v/>
      </c>
      <c r="IZ49" s="5">
        <f>IFERROR(ROUND(IO49/IR49,2),0)</f>
        <v/>
      </c>
      <c r="JA49" s="2" t="inlineStr">
        <is>
          <t>2023-10-24</t>
        </is>
      </c>
      <c r="JB49" s="5">
        <f>ROUND(0.0,2)</f>
        <v/>
      </c>
      <c r="JC49" s="3">
        <f>ROUND(0.0,2)</f>
        <v/>
      </c>
      <c r="JD49" s="3">
        <f>ROUND(0.0,2)</f>
        <v/>
      </c>
      <c r="JE49" s="3">
        <f>ROUND(0.0,2)</f>
        <v/>
      </c>
      <c r="JF49" s="3">
        <f>ROUND(0.0,2)</f>
        <v/>
      </c>
      <c r="JG49" s="3">
        <f>ROUND(0.0,2)</f>
        <v/>
      </c>
      <c r="JH49" s="3">
        <f>ROUND(0.0,2)</f>
        <v/>
      </c>
      <c r="JI49" s="3">
        <f>ROUND(0.0,2)</f>
        <v/>
      </c>
      <c r="JJ49" s="4">
        <f>IFERROR((JD49/JC49),0)</f>
        <v/>
      </c>
      <c r="JK49" s="4">
        <f>IFERROR(((0+JB11+JB12+JB13+JB14+JB15+JB16+JB17+JB19+JB20+JB21+JB22+JB23+JB24+JB25+JB27+JB28+JB29+JB30+JB31+JB32+JB33+JB35+JB36+JB37+JB38+JB39+JB40+JB41+JB43+JB44+JB45+JB46+JB47+JB48+JB49)/T2),0)</f>
        <v/>
      </c>
      <c r="JL49" s="5">
        <f>IFERROR(ROUND(JB49/JD49,2),0)</f>
        <v/>
      </c>
      <c r="JM49" s="5">
        <f>IFERROR(ROUND(JB49/JE49,2),0)</f>
        <v/>
      </c>
    </row>
    <row r="50">
      <c r="A50" s="2" t="inlineStr">
        <is>
          <t>5 Weekly Total</t>
        </is>
      </c>
      <c r="B50" s="5">
        <f>ROUND(232.43,2)</f>
        <v/>
      </c>
      <c r="C50" s="3">
        <f>ROUND(417707.0,2)</f>
        <v/>
      </c>
      <c r="D50" s="3">
        <f>ROUND(17437.0,2)</f>
        <v/>
      </c>
      <c r="E50" s="3">
        <f>ROUND(130731.0,2)</f>
        <v/>
      </c>
      <c r="F50" s="3">
        <f>ROUND(113920.0,2)</f>
        <v/>
      </c>
      <c r="G50" s="3">
        <f>ROUND(55071.0,2)</f>
        <v/>
      </c>
      <c r="H50" s="3">
        <f>ROUND(37540.0,2)</f>
        <v/>
      </c>
      <c r="I50" s="3">
        <f>ROUND(23290.0,2)</f>
        <v/>
      </c>
      <c r="J50" s="4">
        <f>IFERROR((D50/C50),0)</f>
        <v/>
      </c>
      <c r="K50" s="4">
        <f>IFERROR(((0+B11+B12+B13+B14+B15+B16+B17+B19+B20+B21+B22+B23+B24+B25+B27+B28+B29+B30+B31+B32+B33+B35+B36+B37+B38+B39+B40+B41+B43+B44+B45+B46+B47+B48+B49)/T2),0)</f>
        <v/>
      </c>
      <c r="L50" s="5">
        <f>IFERROR(ROUND(B50/D50,2),0)</f>
        <v/>
      </c>
      <c r="M50" s="5">
        <f>IFERROR(ROUND(B50/E50,2),0)</f>
        <v/>
      </c>
      <c r="N50" s="2" t="inlineStr">
        <is>
          <t>5 Weekly Total</t>
        </is>
      </c>
      <c r="O50" s="5">
        <f>ROUND(2.46,2)</f>
        <v/>
      </c>
      <c r="P50" s="3">
        <f>ROUND(7000.0,2)</f>
        <v/>
      </c>
      <c r="Q50" s="3">
        <f>ROUND(181.0,2)</f>
        <v/>
      </c>
      <c r="R50" s="3">
        <f>ROUND(1647.0,2)</f>
        <v/>
      </c>
      <c r="S50" s="3">
        <f>ROUND(1245.0,2)</f>
        <v/>
      </c>
      <c r="T50" s="3">
        <f>ROUND(592.0,2)</f>
        <v/>
      </c>
      <c r="U50" s="3">
        <f>ROUND(371.0,2)</f>
        <v/>
      </c>
      <c r="V50" s="3">
        <f>ROUND(178.0,2)</f>
        <v/>
      </c>
      <c r="W50" s="4">
        <f>IFERROR((Q50/P50),0)</f>
        <v/>
      </c>
      <c r="X50" s="4">
        <f>IFERROR(((0+O11+O12+O13+O14+O15+O16+O17+O19+O20+O21+O22+O23+O24+O25+O27+O28+O29+O30+O31+O32+O33+O35+O36+O37+O38+O39+O40+O41+O43+O44+O45+O46+O47+O48+O49)/T2),0)</f>
        <v/>
      </c>
      <c r="Y50" s="5">
        <f>IFERROR(ROUND(O50/Q50,2),0)</f>
        <v/>
      </c>
      <c r="Z50" s="5">
        <f>IFERROR(ROUND(O50/R50,2),0)</f>
        <v/>
      </c>
      <c r="AA50" s="2" t="inlineStr">
        <is>
          <t>5 Weekly Total</t>
        </is>
      </c>
      <c r="AB50" s="5">
        <f>ROUND(6.33,2)</f>
        <v/>
      </c>
      <c r="AC50" s="3">
        <f>ROUND(6700.0,2)</f>
        <v/>
      </c>
      <c r="AD50" s="3">
        <f>ROUND(487.0,2)</f>
        <v/>
      </c>
      <c r="AE50" s="3">
        <f>ROUND(3597.0,2)</f>
        <v/>
      </c>
      <c r="AF50" s="3">
        <f>ROUND(3288.0,2)</f>
        <v/>
      </c>
      <c r="AG50" s="3">
        <f>ROUND(1985.0,2)</f>
        <v/>
      </c>
      <c r="AH50" s="3">
        <f>ROUND(1632.0,2)</f>
        <v/>
      </c>
      <c r="AI50" s="3">
        <f>ROUND(96.0,2)</f>
        <v/>
      </c>
      <c r="AJ50" s="4">
        <f>IFERROR((AD50/AC50),0)</f>
        <v/>
      </c>
      <c r="AK50" s="4">
        <f>IFERROR(((0+AB11+AB12+AB13+AB14+AB15+AB16+AB17+AB19+AB20+AB21+AB22+AB23+AB24+AB25+AB27+AB28+AB29+AB30+AB31+AB32+AB33+AB35+AB36+AB37+AB38+AB39+AB40+AB41+AB43+AB44+AB45+AB46+AB47+AB48+AB49)/T2),0)</f>
        <v/>
      </c>
      <c r="AL50" s="5">
        <f>IFERROR(ROUND(AB50/AD50,2),0)</f>
        <v/>
      </c>
      <c r="AM50" s="5">
        <f>IFERROR(ROUND(AB50/AE50,2),0)</f>
        <v/>
      </c>
      <c r="AN50" s="2" t="inlineStr">
        <is>
          <t>5 Weekly Total</t>
        </is>
      </c>
      <c r="AO50" s="5">
        <f>ROUND(3.63,2)</f>
        <v/>
      </c>
      <c r="AP50" s="3">
        <f>ROUND(3894.0,2)</f>
        <v/>
      </c>
      <c r="AQ50" s="3">
        <f>ROUND(258.0,2)</f>
        <v/>
      </c>
      <c r="AR50" s="3">
        <f>ROUND(2129.0,2)</f>
        <v/>
      </c>
      <c r="AS50" s="3">
        <f>ROUND(2002.0,2)</f>
        <v/>
      </c>
      <c r="AT50" s="3">
        <f>ROUND(1274.0,2)</f>
        <v/>
      </c>
      <c r="AU50" s="3">
        <f>ROUND(1104.0,2)</f>
        <v/>
      </c>
      <c r="AV50" s="3">
        <f>ROUND(982.0,2)</f>
        <v/>
      </c>
      <c r="AW50" s="4">
        <f>IFERROR((AQ50/AP50),0)</f>
        <v/>
      </c>
      <c r="AX50" s="4">
        <f>IFERROR(((0+AO11+AO12+AO13+AO14+AO15+AO16+AO17+AO19+AO20+AO21+AO22+AO23+AO24+AO25+AO27+AO28+AO29+AO30+AO31+AO32+AO33+AO35+AO36+AO37+AO38+AO39+AO40+AO41+AO43+AO44+AO45+AO46+AO47+AO48+AO49)/T2),0)</f>
        <v/>
      </c>
      <c r="AY50" s="5">
        <f>IFERROR(ROUND(AO50/AQ50,2),0)</f>
        <v/>
      </c>
      <c r="AZ50" s="5">
        <f>IFERROR(ROUND(AO50/AR50,2),0)</f>
        <v/>
      </c>
      <c r="BA50" s="2" t="inlineStr">
        <is>
          <t>5 Weekly Total</t>
        </is>
      </c>
      <c r="BB50" s="5">
        <f>ROUND(17.38,2)</f>
        <v/>
      </c>
      <c r="BC50" s="3">
        <f>ROUND(50299.0,2)</f>
        <v/>
      </c>
      <c r="BD50" s="3">
        <f>ROUND(1526.0,2)</f>
        <v/>
      </c>
      <c r="BE50" s="3">
        <f>ROUND(10279.0,2)</f>
        <v/>
      </c>
      <c r="BF50" s="3">
        <f>ROUND(7439.0,2)</f>
        <v/>
      </c>
      <c r="BG50" s="3">
        <f>ROUND(3077.0,2)</f>
        <v/>
      </c>
      <c r="BH50" s="3">
        <f>ROUND(1763.0,2)</f>
        <v/>
      </c>
      <c r="BI50" s="3">
        <f>ROUND(947.0,2)</f>
        <v/>
      </c>
      <c r="BJ50" s="4">
        <f>IFERROR((BD50/BC50),0)</f>
        <v/>
      </c>
      <c r="BK50" s="4">
        <f>IFERROR(((0+BB11+BB12+BB13+BB14+BB15+BB16+BB17+BB19+BB20+BB21+BB22+BB23+BB24+BB25+BB27+BB28+BB29+BB30+BB31+BB32+BB33+BB35+BB36+BB37+BB38+BB39+BB40+BB41+BB43+BB44+BB45+BB46+BB47+BB48+BB49)/T2),0)</f>
        <v/>
      </c>
      <c r="BL50" s="5">
        <f>IFERROR(ROUND(BB50/BD50,2),0)</f>
        <v/>
      </c>
      <c r="BM50" s="5">
        <f>IFERROR(ROUND(BB50/BE50,2),0)</f>
        <v/>
      </c>
      <c r="BN50" s="2" t="inlineStr">
        <is>
          <t>5 Weekly Total</t>
        </is>
      </c>
      <c r="BO50" s="5">
        <f>ROUND(23.66,2)</f>
        <v/>
      </c>
      <c r="BP50" s="3">
        <f>ROUND(67619.0,2)</f>
        <v/>
      </c>
      <c r="BQ50" s="3">
        <f>ROUND(2045.0,2)</f>
        <v/>
      </c>
      <c r="BR50" s="3">
        <f>ROUND(16455.0,2)</f>
        <v/>
      </c>
      <c r="BS50" s="3">
        <f>ROUND(14049.0,2)</f>
        <v/>
      </c>
      <c r="BT50" s="3">
        <f>ROUND(8020.0,2)</f>
        <v/>
      </c>
      <c r="BU50" s="3">
        <f>ROUND(6418.0,2)</f>
        <v/>
      </c>
      <c r="BV50" s="3">
        <f>ROUND(4260.0,2)</f>
        <v/>
      </c>
      <c r="BW50" s="4">
        <f>IFERROR((BQ50/BP50),0)</f>
        <v/>
      </c>
      <c r="BX50" s="4">
        <f>IFERROR(((0+BO11+BO12+BO13+BO14+BO15+BO16+BO17+BO19+BO20+BO21+BO22+BO23+BO24+BO25+BO27+BO28+BO29+BO30+BO31+BO32+BO33+BO35+BO36+BO37+BO38+BO39+BO40+BO41+BO43+BO44+BO45+BO46+BO47+BO48+BO49)/T2),0)</f>
        <v/>
      </c>
      <c r="BY50" s="5">
        <f>IFERROR(ROUND(BO50/BQ50,2),0)</f>
        <v/>
      </c>
      <c r="BZ50" s="5">
        <f>IFERROR(ROUND(BO50/BR50,2),0)</f>
        <v/>
      </c>
      <c r="CA50" s="2" t="inlineStr">
        <is>
          <t>5 Weekly Total</t>
        </is>
      </c>
      <c r="CB50" s="5">
        <f>ROUND(3.59,2)</f>
        <v/>
      </c>
      <c r="CC50" s="3">
        <f>ROUND(6942.0,2)</f>
        <v/>
      </c>
      <c r="CD50" s="3">
        <f>ROUND(301.0,2)</f>
        <v/>
      </c>
      <c r="CE50" s="3">
        <f>ROUND(1968.0,2)</f>
        <v/>
      </c>
      <c r="CF50" s="3">
        <f>ROUND(1506.0,2)</f>
        <v/>
      </c>
      <c r="CG50" s="3">
        <f>ROUND(743.0,2)</f>
        <v/>
      </c>
      <c r="CH50" s="3">
        <f>ROUND(507.0,2)</f>
        <v/>
      </c>
      <c r="CI50" s="3">
        <f>ROUND(167.0,2)</f>
        <v/>
      </c>
      <c r="CJ50" s="4">
        <f>IFERROR((CD50/CC50),0)</f>
        <v/>
      </c>
      <c r="CK50" s="4">
        <f>IFERROR(((0+CB11+CB12+CB13+CB14+CB15+CB16+CB17+CB19+CB20+CB21+CB22+CB23+CB24+CB25+CB27+CB28+CB29+CB30+CB31+CB32+CB33+CB35+CB36+CB37+CB38+CB39+CB40+CB41+CB43+CB44+CB45+CB46+CB47+CB48+CB49)/T2),0)</f>
        <v/>
      </c>
      <c r="CL50" s="5">
        <f>IFERROR(ROUND(CB50/CD50,2),0)</f>
        <v/>
      </c>
      <c r="CM50" s="5">
        <f>IFERROR(ROUND(CB50/CE50,2),0)</f>
        <v/>
      </c>
      <c r="CN50" s="2" t="inlineStr">
        <is>
          <t>5 Weekly Total</t>
        </is>
      </c>
      <c r="CO50" s="5">
        <f>ROUND(73.14,2)</f>
        <v/>
      </c>
      <c r="CP50" s="3">
        <f>ROUND(84624.0,2)</f>
        <v/>
      </c>
      <c r="CQ50" s="3">
        <f>ROUND(5472.0,2)</f>
        <v/>
      </c>
      <c r="CR50" s="3">
        <f>ROUND(55647.0,2)</f>
        <v/>
      </c>
      <c r="CS50" s="3">
        <f>ROUND(53475.0,2)</f>
        <v/>
      </c>
      <c r="CT50" s="3">
        <f>ROUND(23363.0,2)</f>
        <v/>
      </c>
      <c r="CU50" s="3">
        <f>ROUND(14148.0,2)</f>
        <v/>
      </c>
      <c r="CV50" s="3">
        <f>ROUND(9992.0,2)</f>
        <v/>
      </c>
      <c r="CW50" s="4">
        <f>IFERROR((CQ50/CP50),0)</f>
        <v/>
      </c>
      <c r="CX50" s="4">
        <f>IFERROR(((0+CO11+CO12+CO13+CO14+CO15+CO16+CO17+CO19+CO20+CO21+CO22+CO23+CO24+CO25+CO27+CO28+CO29+CO30+CO31+CO32+CO33+CO35+CO36+CO37+CO38+CO39+CO40+CO41+CO43+CO44+CO45+CO46+CO47+CO48+CO49)/T2),0)</f>
        <v/>
      </c>
      <c r="CY50" s="5">
        <f>IFERROR(ROUND(CO50/CQ50,2),0)</f>
        <v/>
      </c>
      <c r="CZ50" s="5">
        <f>IFERROR(ROUND(CO50/CR50,2),0)</f>
        <v/>
      </c>
      <c r="DA50" s="2" t="inlineStr">
        <is>
          <t>5 Weekly Total</t>
        </is>
      </c>
      <c r="DB50" s="5">
        <f>ROUND(8.25,2)</f>
        <v/>
      </c>
      <c r="DC50" s="3">
        <f>ROUND(21075.0,2)</f>
        <v/>
      </c>
      <c r="DD50" s="3">
        <f>ROUND(684.0,2)</f>
        <v/>
      </c>
      <c r="DE50" s="3">
        <f>ROUND(2390.0,2)</f>
        <v/>
      </c>
      <c r="DF50" s="3">
        <f>ROUND(1452.0,2)</f>
        <v/>
      </c>
      <c r="DG50" s="3">
        <f>ROUND(630.0,2)</f>
        <v/>
      </c>
      <c r="DH50" s="3">
        <f>ROUND(333.0,2)</f>
        <v/>
      </c>
      <c r="DI50" s="3">
        <f>ROUND(150.0,2)</f>
        <v/>
      </c>
      <c r="DJ50" s="4">
        <f>IFERROR((DD50/DC50),0)</f>
        <v/>
      </c>
      <c r="DK50" s="4">
        <f>IFERROR(((0+DB11+DB12+DB13+DB14+DB15+DB16+DB17+DB19+DB20+DB21+DB22+DB23+DB24+DB25+DB27+DB28+DB29+DB30+DB31+DB32+DB33+DB35+DB36+DB37+DB38+DB39+DB40+DB41+DB43+DB44+DB45+DB46+DB47+DB48+DB49)/T2),0)</f>
        <v/>
      </c>
      <c r="DL50" s="5">
        <f>IFERROR(ROUND(DB50/DD50,2),0)</f>
        <v/>
      </c>
      <c r="DM50" s="5">
        <f>IFERROR(ROUND(DB50/DE50,2),0)</f>
        <v/>
      </c>
      <c r="DN50" s="2" t="inlineStr">
        <is>
          <t>5 Weekly Total</t>
        </is>
      </c>
      <c r="DO50" s="5">
        <f>ROUND(17.54,2)</f>
        <v/>
      </c>
      <c r="DP50" s="3">
        <f>ROUND(51719.0,2)</f>
        <v/>
      </c>
      <c r="DQ50" s="3">
        <f>ROUND(1622.0,2)</f>
        <v/>
      </c>
      <c r="DR50" s="3">
        <f>ROUND(8006.0,2)</f>
        <v/>
      </c>
      <c r="DS50" s="3">
        <f>ROUND(6079.0,2)</f>
        <v/>
      </c>
      <c r="DT50" s="3">
        <f>ROUND(3532.0,2)</f>
        <v/>
      </c>
      <c r="DU50" s="3">
        <f>ROUND(2396.0,2)</f>
        <v/>
      </c>
      <c r="DV50" s="3">
        <f>ROUND(1197.0,2)</f>
        <v/>
      </c>
      <c r="DW50" s="4">
        <f>IFERROR((DQ50/DP50),0)</f>
        <v/>
      </c>
      <c r="DX50" s="4">
        <f>IFERROR(((0+DO11+DO12+DO13+DO14+DO15+DO16+DO17+DO19+DO20+DO21+DO22+DO23+DO24+DO25+DO27+DO28+DO29+DO30+DO31+DO32+DO33+DO35+DO36+DO37+DO38+DO39+DO40+DO41+DO43+DO44+DO45+DO46+DO47+DO48+DO49)/T2),0)</f>
        <v/>
      </c>
      <c r="DY50" s="5">
        <f>IFERROR(ROUND(DO50/DQ50,2),0)</f>
        <v/>
      </c>
      <c r="DZ50" s="5">
        <f>IFERROR(ROUND(DO50/DR50,2),0)</f>
        <v/>
      </c>
      <c r="EA50" s="2" t="inlineStr">
        <is>
          <t>5 Weekly Total</t>
        </is>
      </c>
      <c r="EB50" s="5">
        <f>ROUND(8.03,2)</f>
        <v/>
      </c>
      <c r="EC50" s="3">
        <f>ROUND(22658.0,2)</f>
        <v/>
      </c>
      <c r="ED50" s="3">
        <f>ROUND(730.0,2)</f>
        <v/>
      </c>
      <c r="EE50" s="3">
        <f>ROUND(4704.0,2)</f>
        <v/>
      </c>
      <c r="EF50" s="3">
        <f>ROUND(3065.0,2)</f>
        <v/>
      </c>
      <c r="EG50" s="3">
        <f>ROUND(1551.0,2)</f>
        <v/>
      </c>
      <c r="EH50" s="3">
        <f>ROUND(1268.0,2)</f>
        <v/>
      </c>
      <c r="EI50" s="3">
        <f>ROUND(453.0,2)</f>
        <v/>
      </c>
      <c r="EJ50" s="4">
        <f>IFERROR((ED50/EC50),0)</f>
        <v/>
      </c>
      <c r="EK50" s="4">
        <f>IFERROR(((0+EB11+EB12+EB13+EB14+EB15+EB16+EB17+EB19+EB20+EB21+EB22+EB23+EB24+EB25+EB27+EB28+EB29+EB30+EB31+EB32+EB33+EB35+EB36+EB37+EB38+EB39+EB40+EB41+EB43+EB44+EB45+EB46+EB47+EB48+EB49)/T2),0)</f>
        <v/>
      </c>
      <c r="EL50" s="5">
        <f>IFERROR(ROUND(EB50/ED50,2),0)</f>
        <v/>
      </c>
      <c r="EM50" s="5">
        <f>IFERROR(ROUND(EB50/EE50,2),0)</f>
        <v/>
      </c>
      <c r="EN50" s="2" t="inlineStr">
        <is>
          <t>5 Weekly Total</t>
        </is>
      </c>
      <c r="EO50" s="5">
        <f>ROUND(3.1,2)</f>
        <v/>
      </c>
      <c r="EP50" s="3">
        <f>ROUND(4264.0,2)</f>
        <v/>
      </c>
      <c r="EQ50" s="3">
        <f>ROUND(200.0,2)</f>
        <v/>
      </c>
      <c r="ER50" s="3">
        <f>ROUND(463.0,2)</f>
        <v/>
      </c>
      <c r="ES50" s="3">
        <f>ROUND(329.0,2)</f>
        <v/>
      </c>
      <c r="ET50" s="3">
        <f>ROUND(164.0,2)</f>
        <v/>
      </c>
      <c r="EU50" s="3">
        <f>ROUND(67.0,2)</f>
        <v/>
      </c>
      <c r="EV50" s="3">
        <f>ROUND(36.0,2)</f>
        <v/>
      </c>
      <c r="EW50" s="4">
        <f>IFERROR((EQ50/EP50),0)</f>
        <v/>
      </c>
      <c r="EX50" s="4">
        <f>IFERROR(((0+EO11+EO12+EO13+EO14+EO15+EO16+EO17+EO19+EO20+EO21+EO22+EO23+EO24+EO25+EO27+EO28+EO29+EO30+EO31+EO32+EO33+EO35+EO36+EO37+EO38+EO39+EO40+EO41+EO43+EO44+EO45+EO46+EO47+EO48+EO49)/T2),0)</f>
        <v/>
      </c>
      <c r="EY50" s="5">
        <f>IFERROR(ROUND(EO50/EQ50,2),0)</f>
        <v/>
      </c>
      <c r="EZ50" s="5">
        <f>IFERROR(ROUND(EO50/ER50,2),0)</f>
        <v/>
      </c>
      <c r="FA50" s="2" t="inlineStr">
        <is>
          <t>5 Weekly Total</t>
        </is>
      </c>
      <c r="FB50" s="5">
        <f>ROUND(7.87,2)</f>
        <v/>
      </c>
      <c r="FC50" s="3">
        <f>ROUND(11642.0,2)</f>
        <v/>
      </c>
      <c r="FD50" s="3">
        <f>ROUND(501.0,2)</f>
        <v/>
      </c>
      <c r="FE50" s="3">
        <f>ROUND(1374.0,2)</f>
        <v/>
      </c>
      <c r="FF50" s="3">
        <f>ROUND(1125.0,2)</f>
        <v/>
      </c>
      <c r="FG50" s="3">
        <f>ROUND(625.0,2)</f>
        <v/>
      </c>
      <c r="FH50" s="3">
        <f>ROUND(432.0,2)</f>
        <v/>
      </c>
      <c r="FI50" s="3">
        <f>ROUND(179.0,2)</f>
        <v/>
      </c>
      <c r="FJ50" s="4">
        <f>IFERROR((FD50/FC50),0)</f>
        <v/>
      </c>
      <c r="FK50" s="4">
        <f>IFERROR(((0+FB11+FB12+FB13+FB14+FB15+FB16+FB17+FB19+FB20+FB21+FB22+FB23+FB24+FB25+FB27+FB28+FB29+FB30+FB31+FB32+FB33+FB35+FB36+FB37+FB38+FB39+FB40+FB41+FB43+FB44+FB45+FB46+FB47+FB48+FB49)/T2),0)</f>
        <v/>
      </c>
      <c r="FL50" s="5">
        <f>IFERROR(ROUND(FB50/FD50,2),0)</f>
        <v/>
      </c>
      <c r="FM50" s="5">
        <f>IFERROR(ROUND(FB50/FE50,2),0)</f>
        <v/>
      </c>
      <c r="FN50" s="2" t="inlineStr">
        <is>
          <t>5 Weekly Total</t>
        </is>
      </c>
      <c r="FO50" s="5">
        <f>ROUND(1.58,2)</f>
        <v/>
      </c>
      <c r="FP50" s="3">
        <f>ROUND(2414.0,2)</f>
        <v/>
      </c>
      <c r="FQ50" s="3">
        <f>ROUND(144.0,2)</f>
        <v/>
      </c>
      <c r="FR50" s="3">
        <f>ROUND(220.0,2)</f>
        <v/>
      </c>
      <c r="FS50" s="3">
        <f>ROUND(155.0,2)</f>
        <v/>
      </c>
      <c r="FT50" s="3">
        <f>ROUND(76.0,2)</f>
        <v/>
      </c>
      <c r="FU50" s="3">
        <f>ROUND(56.0,2)</f>
        <v/>
      </c>
      <c r="FV50" s="3">
        <f>ROUND(18.0,2)</f>
        <v/>
      </c>
      <c r="FW50" s="4">
        <f>IFERROR((FQ50/FP50),0)</f>
        <v/>
      </c>
      <c r="FX50" s="4">
        <f>IFERROR(((0+FO11+FO12+FO13+FO14+FO15+FO16+FO17+FO19+FO20+FO21+FO22+FO23+FO24+FO25+FO27+FO28+FO29+FO30+FO31+FO32+FO33+FO35+FO36+FO37+FO38+FO39+FO40+FO41+FO43+FO44+FO45+FO46+FO47+FO48+FO49)/T2),0)</f>
        <v/>
      </c>
      <c r="FY50" s="5">
        <f>IFERROR(ROUND(FO50/FQ50,2),0)</f>
        <v/>
      </c>
      <c r="FZ50" s="5">
        <f>IFERROR(ROUND(FO50/FR50,2),0)</f>
        <v/>
      </c>
      <c r="GA50" s="2" t="inlineStr">
        <is>
          <t>5 Weekly Total</t>
        </is>
      </c>
      <c r="GB50" s="5">
        <f>ROUND(8.57,2)</f>
        <v/>
      </c>
      <c r="GC50" s="3">
        <f>ROUND(20177.0,2)</f>
        <v/>
      </c>
      <c r="GD50" s="3">
        <f>ROUND(513.0,2)</f>
        <v/>
      </c>
      <c r="GE50" s="3">
        <f>ROUND(3584.0,2)</f>
        <v/>
      </c>
      <c r="GF50" s="3">
        <f>ROUND(2593.0,2)</f>
        <v/>
      </c>
      <c r="GG50" s="3">
        <f>ROUND(1123.0,2)</f>
        <v/>
      </c>
      <c r="GH50" s="3">
        <f>ROUND(663.0,2)</f>
        <v/>
      </c>
      <c r="GI50" s="3">
        <f>ROUND(246.0,2)</f>
        <v/>
      </c>
      <c r="GJ50" s="4">
        <f>IFERROR((GD50/GC50),0)</f>
        <v/>
      </c>
      <c r="GK50" s="4">
        <f>IFERROR(((0+GB11+GB12+GB13+GB14+GB15+GB16+GB17+GB19+GB20+GB21+GB22+GB23+GB24+GB25+GB27+GB28+GB29+GB30+GB31+GB32+GB33+GB35+GB36+GB37+GB38+GB39+GB40+GB41+GB43+GB44+GB45+GB46+GB47+GB48+GB49)/T2),0)</f>
        <v/>
      </c>
      <c r="GL50" s="5">
        <f>IFERROR(ROUND(GB50/GD50,2),0)</f>
        <v/>
      </c>
      <c r="GM50" s="5">
        <f>IFERROR(ROUND(GB50/GE50,2),0)</f>
        <v/>
      </c>
      <c r="GN50" s="2" t="inlineStr">
        <is>
          <t>5 Weekly Total</t>
        </is>
      </c>
      <c r="GO50" s="5">
        <f>ROUND(27.43,2)</f>
        <v/>
      </c>
      <c r="GP50" s="3">
        <f>ROUND(27014.0,2)</f>
        <v/>
      </c>
      <c r="GQ50" s="3">
        <f>ROUND(1630.0,2)</f>
        <v/>
      </c>
      <c r="GR50" s="3">
        <f>ROUND(10329.0,2)</f>
        <v/>
      </c>
      <c r="GS50" s="3">
        <f>ROUND(9464.0,2)</f>
        <v/>
      </c>
      <c r="GT50" s="3">
        <f>ROUND(4550.0,2)</f>
        <v/>
      </c>
      <c r="GU50" s="3">
        <f>ROUND(3325.0,2)</f>
        <v/>
      </c>
      <c r="GV50" s="3">
        <f>ROUND(2740.0,2)</f>
        <v/>
      </c>
      <c r="GW50" s="4">
        <f>IFERROR((GQ50/GP50),0)</f>
        <v/>
      </c>
      <c r="GX50" s="4">
        <f>IFERROR(((0+GO11+GO12+GO13+GO14+GO15+GO16+GO17+GO19+GO20+GO21+GO22+GO23+GO24+GO25+GO27+GO28+GO29+GO30+GO31+GO32+GO33+GO35+GO36+GO37+GO38+GO39+GO40+GO41+GO43+GO44+GO45+GO46+GO47+GO48+GO49)/T2),0)</f>
        <v/>
      </c>
      <c r="GY50" s="5">
        <f>IFERROR(ROUND(GO50/GQ50,2),0)</f>
        <v/>
      </c>
      <c r="GZ50" s="5">
        <f>IFERROR(ROUND(GO50/GR50,2),0)</f>
        <v/>
      </c>
      <c r="HA50" s="2" t="inlineStr">
        <is>
          <t>5 Weekly Total</t>
        </is>
      </c>
      <c r="HB50" s="5">
        <f>ROUND(5.04,2)</f>
        <v/>
      </c>
      <c r="HC50" s="3">
        <f>ROUND(3569.0,2)</f>
        <v/>
      </c>
      <c r="HD50" s="3">
        <f>ROUND(291.0,2)</f>
        <v/>
      </c>
      <c r="HE50" s="3">
        <f>ROUND(1744.0,2)</f>
        <v/>
      </c>
      <c r="HF50" s="3">
        <f>ROUND(1503.0,2)</f>
        <v/>
      </c>
      <c r="HG50" s="3">
        <f>ROUND(685.0,2)</f>
        <v/>
      </c>
      <c r="HH50" s="3">
        <f>ROUND(568.0,2)</f>
        <v/>
      </c>
      <c r="HI50" s="3">
        <f>ROUND(56.0,2)</f>
        <v/>
      </c>
      <c r="HJ50" s="4">
        <f>IFERROR((HD50/HC50),0)</f>
        <v/>
      </c>
      <c r="HK50" s="4">
        <f>IFERROR(((0+HB11+HB12+HB13+HB14+HB15+HB16+HB17+HB19+HB20+HB21+HB22+HB23+HB24+HB25+HB27+HB28+HB29+HB30+HB31+HB32+HB33+HB35+HB36+HB37+HB38+HB39+HB40+HB41+HB43+HB44+HB45+HB46+HB47+HB48+HB49)/T2),0)</f>
        <v/>
      </c>
      <c r="HL50" s="5">
        <f>IFERROR(ROUND(HB50/HD50,2),0)</f>
        <v/>
      </c>
      <c r="HM50" s="5">
        <f>IFERROR(ROUND(HB50/HE50,2),0)</f>
        <v/>
      </c>
      <c r="HN50" s="2" t="inlineStr">
        <is>
          <t>5 Weekly Total</t>
        </is>
      </c>
      <c r="HO50" s="5">
        <f>ROUND(0.79,2)</f>
        <v/>
      </c>
      <c r="HP50" s="3">
        <f>ROUND(1144.0,2)</f>
        <v/>
      </c>
      <c r="HQ50" s="3">
        <f>ROUND(47.0,2)</f>
        <v/>
      </c>
      <c r="HR50" s="3">
        <f>ROUND(243.0,2)</f>
        <v/>
      </c>
      <c r="HS50" s="3">
        <f>ROUND(209.0,2)</f>
        <v/>
      </c>
      <c r="HT50" s="3">
        <f>ROUND(115.0,2)</f>
        <v/>
      </c>
      <c r="HU50" s="3">
        <f>ROUND(91.0,2)</f>
        <v/>
      </c>
      <c r="HV50" s="3">
        <f>ROUND(75.0,2)</f>
        <v/>
      </c>
      <c r="HW50" s="4">
        <f>IFERROR((HQ50/HP50),0)</f>
        <v/>
      </c>
      <c r="HX50" s="4">
        <f>IFERROR(((0+HO11+HO12+HO13+HO14+HO15+HO16+HO17+HO19+HO20+HO21+HO22+HO23+HO24+HO25+HO27+HO28+HO29+HO30+HO31+HO32+HO33+HO35+HO36+HO37+HO38+HO39+HO40+HO41+HO43+HO44+HO45+HO46+HO47+HO48+HO49)/T2),0)</f>
        <v/>
      </c>
      <c r="HY50" s="5">
        <f>IFERROR(ROUND(HO50/HQ50,2),0)</f>
        <v/>
      </c>
      <c r="HZ50" s="5">
        <f>IFERROR(ROUND(HO50/HR50,2),0)</f>
        <v/>
      </c>
      <c r="IA50" s="2" t="inlineStr">
        <is>
          <t>5 Weekly Total</t>
        </is>
      </c>
      <c r="IB50" s="5">
        <f>ROUND(2.95,2)</f>
        <v/>
      </c>
      <c r="IC50" s="3">
        <f>ROUND(6111.0,2)</f>
        <v/>
      </c>
      <c r="ID50" s="3">
        <f>ROUND(161.0,2)</f>
        <v/>
      </c>
      <c r="IE50" s="3">
        <f>ROUND(1371.0,2)</f>
        <v/>
      </c>
      <c r="IF50" s="3">
        <f>ROUND(986.0,2)</f>
        <v/>
      </c>
      <c r="IG50" s="3">
        <f>ROUND(471.0,2)</f>
        <v/>
      </c>
      <c r="IH50" s="3">
        <f>ROUND(334.0,2)</f>
        <v/>
      </c>
      <c r="II50" s="3">
        <f>ROUND(124.0,2)</f>
        <v/>
      </c>
      <c r="IJ50" s="4">
        <f>IFERROR((ID50/IC50),0)</f>
        <v/>
      </c>
      <c r="IK50" s="4">
        <f>IFERROR(((0+IB11+IB12+IB13+IB14+IB15+IB16+IB17+IB19+IB20+IB21+IB22+IB23+IB24+IB25+IB27+IB28+IB29+IB30+IB31+IB32+IB33+IB35+IB36+IB37+IB38+IB39+IB40+IB41+IB43+IB44+IB45+IB46+IB47+IB48+IB49)/T2),0)</f>
        <v/>
      </c>
      <c r="IL50" s="5">
        <f>IFERROR(ROUND(IB50/ID50,2),0)</f>
        <v/>
      </c>
      <c r="IM50" s="5">
        <f>IFERROR(ROUND(IB50/IE50,2),0)</f>
        <v/>
      </c>
      <c r="IN50" s="2" t="inlineStr">
        <is>
          <t>5 Weekly Total</t>
        </is>
      </c>
      <c r="IO50" s="5">
        <f>ROUND(9.18,2)</f>
        <v/>
      </c>
      <c r="IP50" s="3">
        <f>ROUND(16388.0,2)</f>
        <v/>
      </c>
      <c r="IQ50" s="3">
        <f>ROUND(514.0,2)</f>
        <v/>
      </c>
      <c r="IR50" s="3">
        <f>ROUND(4019.0,2)</f>
        <v/>
      </c>
      <c r="IS50" s="3">
        <f>ROUND(3525.0,2)</f>
        <v/>
      </c>
      <c r="IT50" s="3">
        <f>ROUND(2240.0,2)</f>
        <v/>
      </c>
      <c r="IU50" s="3">
        <f>ROUND(1856.0,2)</f>
        <v/>
      </c>
      <c r="IV50" s="3">
        <f>ROUND(1336.0,2)</f>
        <v/>
      </c>
      <c r="IW50" s="4">
        <f>IFERROR((IQ50/IP50),0)</f>
        <v/>
      </c>
      <c r="IX50" s="4">
        <f>IFERROR(((0+IO11+IO12+IO13+IO14+IO15+IO16+IO17+IO19+IO20+IO21+IO22+IO23+IO24+IO25+IO27+IO28+IO29+IO30+IO31+IO32+IO33+IO35+IO36+IO37+IO38+IO39+IO40+IO41+IO43+IO44+IO45+IO46+IO47+IO48+IO49)/T2),0)</f>
        <v/>
      </c>
      <c r="IY50" s="5">
        <f>IFERROR(ROUND(IO50/IQ50,2),0)</f>
        <v/>
      </c>
      <c r="IZ50" s="5">
        <f>IFERROR(ROUND(IO50/IR50,2),0)</f>
        <v/>
      </c>
      <c r="JA50" s="2" t="inlineStr">
        <is>
          <t>5 Weekly Total</t>
        </is>
      </c>
      <c r="JB50" s="5">
        <f>ROUND(1.91,2)</f>
        <v/>
      </c>
      <c r="JC50" s="3">
        <f>ROUND(2454.0,2)</f>
        <v/>
      </c>
      <c r="JD50" s="3">
        <f>ROUND(130.0,2)</f>
        <v/>
      </c>
      <c r="JE50" s="3">
        <f>ROUND(562.0,2)</f>
        <v/>
      </c>
      <c r="JF50" s="3">
        <f>ROUND(431.0,2)</f>
        <v/>
      </c>
      <c r="JG50" s="3">
        <f>ROUND(255.0,2)</f>
        <v/>
      </c>
      <c r="JH50" s="3">
        <f>ROUND(208.0,2)</f>
        <v/>
      </c>
      <c r="JI50" s="3">
        <f>ROUND(58.0,2)</f>
        <v/>
      </c>
      <c r="JJ50" s="4">
        <f>IFERROR((JD50/JC50),0)</f>
        <v/>
      </c>
      <c r="JK50" s="4">
        <f>IFERROR(((0+JB11+JB12+JB13+JB14+JB15+JB16+JB17+JB19+JB20+JB21+JB22+JB23+JB24+JB25+JB27+JB28+JB29+JB30+JB31+JB32+JB33+JB35+JB36+JB37+JB38+JB39+JB40+JB41+JB43+JB44+JB45+JB46+JB47+JB48+JB49)/T2),0)</f>
        <v/>
      </c>
      <c r="JL50" s="5">
        <f>IFERROR(ROUND(JB50/JD50,2),0)</f>
        <v/>
      </c>
      <c r="JM50" s="5">
        <f>IFERROR(ROUND(JB50/JE50,2),0)</f>
        <v/>
      </c>
    </row>
    <row r="51">
      <c r="A51" s="2" t="inlineStr">
        <is>
          <t>2023-10-25</t>
        </is>
      </c>
      <c r="B51" s="5">
        <f>ROUND(0.0,2)</f>
        <v/>
      </c>
      <c r="C51" s="3">
        <f>ROUND(0.0,2)</f>
        <v/>
      </c>
      <c r="D51" s="3">
        <f>ROUND(0.0,2)</f>
        <v/>
      </c>
      <c r="E51" s="3">
        <f>ROUND(0.0,2)</f>
        <v/>
      </c>
      <c r="F51" s="3">
        <f>ROUND(0.0,2)</f>
        <v/>
      </c>
      <c r="G51" s="3">
        <f>ROUND(0.0,2)</f>
        <v/>
      </c>
      <c r="H51" s="3">
        <f>ROUND(0.0,2)</f>
        <v/>
      </c>
      <c r="I51" s="3">
        <f>ROUND(0.0,2)</f>
        <v/>
      </c>
      <c r="J51" s="4">
        <f>IFERROR((D51/C51),0)</f>
        <v/>
      </c>
      <c r="K51" s="4">
        <f>IFERROR(((0+B11+B12+B13+B14+B15+B16+B17+B19+B20+B21+B22+B23+B24+B25+B27+B28+B29+B30+B31+B32+B33+B35+B36+B37+B38+B39+B40+B41+B43+B44+B45+B46+B47+B48+B49+B51)/T2),0)</f>
        <v/>
      </c>
      <c r="L51" s="5">
        <f>IFERROR(ROUND(B51/D51,2),0)</f>
        <v/>
      </c>
      <c r="M51" s="5">
        <f>IFERROR(ROUND(B51/E51,2),0)</f>
        <v/>
      </c>
      <c r="N51" s="2" t="inlineStr">
        <is>
          <t>2023-10-25</t>
        </is>
      </c>
      <c r="O51" s="5">
        <f>ROUND(0.0,2)</f>
        <v/>
      </c>
      <c r="P51" s="3">
        <f>ROUND(0.0,2)</f>
        <v/>
      </c>
      <c r="Q51" s="3">
        <f>ROUND(0.0,2)</f>
        <v/>
      </c>
      <c r="R51" s="3">
        <f>ROUND(0.0,2)</f>
        <v/>
      </c>
      <c r="S51" s="3">
        <f>ROUND(0.0,2)</f>
        <v/>
      </c>
      <c r="T51" s="3">
        <f>ROUND(0.0,2)</f>
        <v/>
      </c>
      <c r="U51" s="3">
        <f>ROUND(0.0,2)</f>
        <v/>
      </c>
      <c r="V51" s="3">
        <f>ROUND(0.0,2)</f>
        <v/>
      </c>
      <c r="W51" s="4">
        <f>IFERROR((Q51/P51),0)</f>
        <v/>
      </c>
      <c r="X51" s="4">
        <f>IFERROR(((0+O11+O12+O13+O14+O15+O16+O17+O19+O20+O21+O22+O23+O24+O25+O27+O28+O29+O30+O31+O32+O33+O35+O36+O37+O38+O39+O40+O41+O43+O44+O45+O46+O47+O48+O49+O51)/T2),0)</f>
        <v/>
      </c>
      <c r="Y51" s="5">
        <f>IFERROR(ROUND(O51/Q51,2),0)</f>
        <v/>
      </c>
      <c r="Z51" s="5">
        <f>IFERROR(ROUND(O51/R51,2),0)</f>
        <v/>
      </c>
      <c r="AA51" s="2" t="inlineStr">
        <is>
          <t>2023-10-25</t>
        </is>
      </c>
      <c r="AB51" s="5">
        <f>ROUND(0.0,2)</f>
        <v/>
      </c>
      <c r="AC51" s="3">
        <f>ROUND(0.0,2)</f>
        <v/>
      </c>
      <c r="AD51" s="3">
        <f>ROUND(0.0,2)</f>
        <v/>
      </c>
      <c r="AE51" s="3">
        <f>ROUND(0.0,2)</f>
        <v/>
      </c>
      <c r="AF51" s="3">
        <f>ROUND(0.0,2)</f>
        <v/>
      </c>
      <c r="AG51" s="3">
        <f>ROUND(0.0,2)</f>
        <v/>
      </c>
      <c r="AH51" s="3">
        <f>ROUND(0.0,2)</f>
        <v/>
      </c>
      <c r="AI51" s="3">
        <f>ROUND(0.0,2)</f>
        <v/>
      </c>
      <c r="AJ51" s="4">
        <f>IFERROR((AD51/AC51),0)</f>
        <v/>
      </c>
      <c r="AK51" s="4">
        <f>IFERROR(((0+AB11+AB12+AB13+AB14+AB15+AB16+AB17+AB19+AB20+AB21+AB22+AB23+AB24+AB25+AB27+AB28+AB29+AB30+AB31+AB32+AB33+AB35+AB36+AB37+AB38+AB39+AB40+AB41+AB43+AB44+AB45+AB46+AB47+AB48+AB49+AB51)/T2),0)</f>
        <v/>
      </c>
      <c r="AL51" s="5">
        <f>IFERROR(ROUND(AB51/AD51,2),0)</f>
        <v/>
      </c>
      <c r="AM51" s="5">
        <f>IFERROR(ROUND(AB51/AE51,2),0)</f>
        <v/>
      </c>
      <c r="AN51" s="2" t="inlineStr">
        <is>
          <t>2023-10-25</t>
        </is>
      </c>
      <c r="AO51" s="5">
        <f>ROUND(0.0,2)</f>
        <v/>
      </c>
      <c r="AP51" s="3">
        <f>ROUND(0.0,2)</f>
        <v/>
      </c>
      <c r="AQ51" s="3">
        <f>ROUND(0.0,2)</f>
        <v/>
      </c>
      <c r="AR51" s="3">
        <f>ROUND(0.0,2)</f>
        <v/>
      </c>
      <c r="AS51" s="3">
        <f>ROUND(0.0,2)</f>
        <v/>
      </c>
      <c r="AT51" s="3">
        <f>ROUND(0.0,2)</f>
        <v/>
      </c>
      <c r="AU51" s="3">
        <f>ROUND(0.0,2)</f>
        <v/>
      </c>
      <c r="AV51" s="3">
        <f>ROUND(0.0,2)</f>
        <v/>
      </c>
      <c r="AW51" s="4">
        <f>IFERROR((AQ51/AP51),0)</f>
        <v/>
      </c>
      <c r="AX51" s="4">
        <f>IFERROR(((0+AO11+AO12+AO13+AO14+AO15+AO16+AO17+AO19+AO20+AO21+AO22+AO23+AO24+AO25+AO27+AO28+AO29+AO30+AO31+AO32+AO33+AO35+AO36+AO37+AO38+AO39+AO40+AO41+AO43+AO44+AO45+AO46+AO47+AO48+AO49+AO51)/T2),0)</f>
        <v/>
      </c>
      <c r="AY51" s="5">
        <f>IFERROR(ROUND(AO51/AQ51,2),0)</f>
        <v/>
      </c>
      <c r="AZ51" s="5">
        <f>IFERROR(ROUND(AO51/AR51,2),0)</f>
        <v/>
      </c>
      <c r="BA51" s="2" t="inlineStr">
        <is>
          <t>2023-10-25</t>
        </is>
      </c>
      <c r="BB51" s="5">
        <f>ROUND(0.0,2)</f>
        <v/>
      </c>
      <c r="BC51" s="3">
        <f>ROUND(0.0,2)</f>
        <v/>
      </c>
      <c r="BD51" s="3">
        <f>ROUND(0.0,2)</f>
        <v/>
      </c>
      <c r="BE51" s="3">
        <f>ROUND(0.0,2)</f>
        <v/>
      </c>
      <c r="BF51" s="3">
        <f>ROUND(0.0,2)</f>
        <v/>
      </c>
      <c r="BG51" s="3">
        <f>ROUND(0.0,2)</f>
        <v/>
      </c>
      <c r="BH51" s="3">
        <f>ROUND(0.0,2)</f>
        <v/>
      </c>
      <c r="BI51" s="3">
        <f>ROUND(0.0,2)</f>
        <v/>
      </c>
      <c r="BJ51" s="4">
        <f>IFERROR((BD51/BC51),0)</f>
        <v/>
      </c>
      <c r="BK51" s="4">
        <f>IFERROR(((0+BB11+BB12+BB13+BB14+BB15+BB16+BB17+BB19+BB20+BB21+BB22+BB23+BB24+BB25+BB27+BB28+BB29+BB30+BB31+BB32+BB33+BB35+BB36+BB37+BB38+BB39+BB40+BB41+BB43+BB44+BB45+BB46+BB47+BB48+BB49+BB51)/T2),0)</f>
        <v/>
      </c>
      <c r="BL51" s="5">
        <f>IFERROR(ROUND(BB51/BD51,2),0)</f>
        <v/>
      </c>
      <c r="BM51" s="5">
        <f>IFERROR(ROUND(BB51/BE51,2),0)</f>
        <v/>
      </c>
      <c r="BN51" s="2" t="inlineStr">
        <is>
          <t>2023-10-25</t>
        </is>
      </c>
      <c r="BO51" s="5">
        <f>ROUND(0.0,2)</f>
        <v/>
      </c>
      <c r="BP51" s="3">
        <f>ROUND(0.0,2)</f>
        <v/>
      </c>
      <c r="BQ51" s="3">
        <f>ROUND(0.0,2)</f>
        <v/>
      </c>
      <c r="BR51" s="3">
        <f>ROUND(0.0,2)</f>
        <v/>
      </c>
      <c r="BS51" s="3">
        <f>ROUND(0.0,2)</f>
        <v/>
      </c>
      <c r="BT51" s="3">
        <f>ROUND(0.0,2)</f>
        <v/>
      </c>
      <c r="BU51" s="3">
        <f>ROUND(0.0,2)</f>
        <v/>
      </c>
      <c r="BV51" s="3">
        <f>ROUND(0.0,2)</f>
        <v/>
      </c>
      <c r="BW51" s="4">
        <f>IFERROR((BQ51/BP51),0)</f>
        <v/>
      </c>
      <c r="BX51" s="4">
        <f>IFERROR(((0+BO11+BO12+BO13+BO14+BO15+BO16+BO17+BO19+BO20+BO21+BO22+BO23+BO24+BO25+BO27+BO28+BO29+BO30+BO31+BO32+BO33+BO35+BO36+BO37+BO38+BO39+BO40+BO41+BO43+BO44+BO45+BO46+BO47+BO48+BO49+BO51)/T2),0)</f>
        <v/>
      </c>
      <c r="BY51" s="5">
        <f>IFERROR(ROUND(BO51/BQ51,2),0)</f>
        <v/>
      </c>
      <c r="BZ51" s="5">
        <f>IFERROR(ROUND(BO51/BR51,2),0)</f>
        <v/>
      </c>
      <c r="CA51" s="2" t="inlineStr">
        <is>
          <t>2023-10-25</t>
        </is>
      </c>
      <c r="CB51" s="5">
        <f>ROUND(0.0,2)</f>
        <v/>
      </c>
      <c r="CC51" s="3">
        <f>ROUND(0.0,2)</f>
        <v/>
      </c>
      <c r="CD51" s="3">
        <f>ROUND(0.0,2)</f>
        <v/>
      </c>
      <c r="CE51" s="3">
        <f>ROUND(0.0,2)</f>
        <v/>
      </c>
      <c r="CF51" s="3">
        <f>ROUND(0.0,2)</f>
        <v/>
      </c>
      <c r="CG51" s="3">
        <f>ROUND(0.0,2)</f>
        <v/>
      </c>
      <c r="CH51" s="3">
        <f>ROUND(0.0,2)</f>
        <v/>
      </c>
      <c r="CI51" s="3">
        <f>ROUND(0.0,2)</f>
        <v/>
      </c>
      <c r="CJ51" s="4">
        <f>IFERROR((CD51/CC51),0)</f>
        <v/>
      </c>
      <c r="CK51" s="4">
        <f>IFERROR(((0+CB11+CB12+CB13+CB14+CB15+CB16+CB17+CB19+CB20+CB21+CB22+CB23+CB24+CB25+CB27+CB28+CB29+CB30+CB31+CB32+CB33+CB35+CB36+CB37+CB38+CB39+CB40+CB41+CB43+CB44+CB45+CB46+CB47+CB48+CB49+CB51)/T2),0)</f>
        <v/>
      </c>
      <c r="CL51" s="5">
        <f>IFERROR(ROUND(CB51/CD51,2),0)</f>
        <v/>
      </c>
      <c r="CM51" s="5">
        <f>IFERROR(ROUND(CB51/CE51,2),0)</f>
        <v/>
      </c>
      <c r="CN51" s="2" t="inlineStr">
        <is>
          <t>2023-10-25</t>
        </is>
      </c>
      <c r="CO51" s="5">
        <f>ROUND(0.0,2)</f>
        <v/>
      </c>
      <c r="CP51" s="3">
        <f>ROUND(0.0,2)</f>
        <v/>
      </c>
      <c r="CQ51" s="3">
        <f>ROUND(0.0,2)</f>
        <v/>
      </c>
      <c r="CR51" s="3">
        <f>ROUND(0.0,2)</f>
        <v/>
      </c>
      <c r="CS51" s="3">
        <f>ROUND(0.0,2)</f>
        <v/>
      </c>
      <c r="CT51" s="3">
        <f>ROUND(0.0,2)</f>
        <v/>
      </c>
      <c r="CU51" s="3">
        <f>ROUND(0.0,2)</f>
        <v/>
      </c>
      <c r="CV51" s="3">
        <f>ROUND(0.0,2)</f>
        <v/>
      </c>
      <c r="CW51" s="4">
        <f>IFERROR((CQ51/CP51),0)</f>
        <v/>
      </c>
      <c r="CX51" s="4">
        <f>IFERROR(((0+CO11+CO12+CO13+CO14+CO15+CO16+CO17+CO19+CO20+CO21+CO22+CO23+CO24+CO25+CO27+CO28+CO29+CO30+CO31+CO32+CO33+CO35+CO36+CO37+CO38+CO39+CO40+CO41+CO43+CO44+CO45+CO46+CO47+CO48+CO49+CO51)/T2),0)</f>
        <v/>
      </c>
      <c r="CY51" s="5">
        <f>IFERROR(ROUND(CO51/CQ51,2),0)</f>
        <v/>
      </c>
      <c r="CZ51" s="5">
        <f>IFERROR(ROUND(CO51/CR51,2),0)</f>
        <v/>
      </c>
      <c r="DA51" s="2" t="inlineStr">
        <is>
          <t>2023-10-25</t>
        </is>
      </c>
      <c r="DB51" s="5">
        <f>ROUND(0.0,2)</f>
        <v/>
      </c>
      <c r="DC51" s="3">
        <f>ROUND(0.0,2)</f>
        <v/>
      </c>
      <c r="DD51" s="3">
        <f>ROUND(0.0,2)</f>
        <v/>
      </c>
      <c r="DE51" s="3">
        <f>ROUND(0.0,2)</f>
        <v/>
      </c>
      <c r="DF51" s="3">
        <f>ROUND(0.0,2)</f>
        <v/>
      </c>
      <c r="DG51" s="3">
        <f>ROUND(0.0,2)</f>
        <v/>
      </c>
      <c r="DH51" s="3">
        <f>ROUND(0.0,2)</f>
        <v/>
      </c>
      <c r="DI51" s="3">
        <f>ROUND(0.0,2)</f>
        <v/>
      </c>
      <c r="DJ51" s="4">
        <f>IFERROR((DD51/DC51),0)</f>
        <v/>
      </c>
      <c r="DK51" s="4">
        <f>IFERROR(((0+DB11+DB12+DB13+DB14+DB15+DB16+DB17+DB19+DB20+DB21+DB22+DB23+DB24+DB25+DB27+DB28+DB29+DB30+DB31+DB32+DB33+DB35+DB36+DB37+DB38+DB39+DB40+DB41+DB43+DB44+DB45+DB46+DB47+DB48+DB49+DB51)/T2),0)</f>
        <v/>
      </c>
      <c r="DL51" s="5">
        <f>IFERROR(ROUND(DB51/DD51,2),0)</f>
        <v/>
      </c>
      <c r="DM51" s="5">
        <f>IFERROR(ROUND(DB51/DE51,2),0)</f>
        <v/>
      </c>
      <c r="DN51" s="2" t="inlineStr">
        <is>
          <t>2023-10-25</t>
        </is>
      </c>
      <c r="DO51" s="5">
        <f>ROUND(0.0,2)</f>
        <v/>
      </c>
      <c r="DP51" s="3">
        <f>ROUND(0.0,2)</f>
        <v/>
      </c>
      <c r="DQ51" s="3">
        <f>ROUND(0.0,2)</f>
        <v/>
      </c>
      <c r="DR51" s="3">
        <f>ROUND(0.0,2)</f>
        <v/>
      </c>
      <c r="DS51" s="3">
        <f>ROUND(0.0,2)</f>
        <v/>
      </c>
      <c r="DT51" s="3">
        <f>ROUND(0.0,2)</f>
        <v/>
      </c>
      <c r="DU51" s="3">
        <f>ROUND(0.0,2)</f>
        <v/>
      </c>
      <c r="DV51" s="3">
        <f>ROUND(0.0,2)</f>
        <v/>
      </c>
      <c r="DW51" s="4">
        <f>IFERROR((DQ51/DP51),0)</f>
        <v/>
      </c>
      <c r="DX51" s="4">
        <f>IFERROR(((0+DO11+DO12+DO13+DO14+DO15+DO16+DO17+DO19+DO20+DO21+DO22+DO23+DO24+DO25+DO27+DO28+DO29+DO30+DO31+DO32+DO33+DO35+DO36+DO37+DO38+DO39+DO40+DO41+DO43+DO44+DO45+DO46+DO47+DO48+DO49+DO51)/T2),0)</f>
        <v/>
      </c>
      <c r="DY51" s="5">
        <f>IFERROR(ROUND(DO51/DQ51,2),0)</f>
        <v/>
      </c>
      <c r="DZ51" s="5">
        <f>IFERROR(ROUND(DO51/DR51,2),0)</f>
        <v/>
      </c>
      <c r="EA51" s="2" t="inlineStr">
        <is>
          <t>2023-10-25</t>
        </is>
      </c>
      <c r="EB51" s="5">
        <f>ROUND(0.0,2)</f>
        <v/>
      </c>
      <c r="EC51" s="3">
        <f>ROUND(0.0,2)</f>
        <v/>
      </c>
      <c r="ED51" s="3">
        <f>ROUND(0.0,2)</f>
        <v/>
      </c>
      <c r="EE51" s="3">
        <f>ROUND(0.0,2)</f>
        <v/>
      </c>
      <c r="EF51" s="3">
        <f>ROUND(0.0,2)</f>
        <v/>
      </c>
      <c r="EG51" s="3">
        <f>ROUND(0.0,2)</f>
        <v/>
      </c>
      <c r="EH51" s="3">
        <f>ROUND(0.0,2)</f>
        <v/>
      </c>
      <c r="EI51" s="3">
        <f>ROUND(0.0,2)</f>
        <v/>
      </c>
      <c r="EJ51" s="4">
        <f>IFERROR((ED51/EC51),0)</f>
        <v/>
      </c>
      <c r="EK51" s="4">
        <f>IFERROR(((0+EB11+EB12+EB13+EB14+EB15+EB16+EB17+EB19+EB20+EB21+EB22+EB23+EB24+EB25+EB27+EB28+EB29+EB30+EB31+EB32+EB33+EB35+EB36+EB37+EB38+EB39+EB40+EB41+EB43+EB44+EB45+EB46+EB47+EB48+EB49+EB51)/T2),0)</f>
        <v/>
      </c>
      <c r="EL51" s="5">
        <f>IFERROR(ROUND(EB51/ED51,2),0)</f>
        <v/>
      </c>
      <c r="EM51" s="5">
        <f>IFERROR(ROUND(EB51/EE51,2),0)</f>
        <v/>
      </c>
      <c r="EN51" s="2" t="inlineStr">
        <is>
          <t>2023-10-25</t>
        </is>
      </c>
      <c r="EO51" s="5">
        <f>ROUND(0.0,2)</f>
        <v/>
      </c>
      <c r="EP51" s="3">
        <f>ROUND(0.0,2)</f>
        <v/>
      </c>
      <c r="EQ51" s="3">
        <f>ROUND(0.0,2)</f>
        <v/>
      </c>
      <c r="ER51" s="3">
        <f>ROUND(0.0,2)</f>
        <v/>
      </c>
      <c r="ES51" s="3">
        <f>ROUND(0.0,2)</f>
        <v/>
      </c>
      <c r="ET51" s="3">
        <f>ROUND(0.0,2)</f>
        <v/>
      </c>
      <c r="EU51" s="3">
        <f>ROUND(0.0,2)</f>
        <v/>
      </c>
      <c r="EV51" s="3">
        <f>ROUND(0.0,2)</f>
        <v/>
      </c>
      <c r="EW51" s="4">
        <f>IFERROR((EQ51/EP51),0)</f>
        <v/>
      </c>
      <c r="EX51" s="4">
        <f>IFERROR(((0+EO11+EO12+EO13+EO14+EO15+EO16+EO17+EO19+EO20+EO21+EO22+EO23+EO24+EO25+EO27+EO28+EO29+EO30+EO31+EO32+EO33+EO35+EO36+EO37+EO38+EO39+EO40+EO41+EO43+EO44+EO45+EO46+EO47+EO48+EO49+EO51)/T2),0)</f>
        <v/>
      </c>
      <c r="EY51" s="5">
        <f>IFERROR(ROUND(EO51/EQ51,2),0)</f>
        <v/>
      </c>
      <c r="EZ51" s="5">
        <f>IFERROR(ROUND(EO51/ER51,2),0)</f>
        <v/>
      </c>
      <c r="FA51" s="2" t="inlineStr">
        <is>
          <t>2023-10-25</t>
        </is>
      </c>
      <c r="FB51" s="5">
        <f>ROUND(0.0,2)</f>
        <v/>
      </c>
      <c r="FC51" s="3">
        <f>ROUND(0.0,2)</f>
        <v/>
      </c>
      <c r="FD51" s="3">
        <f>ROUND(0.0,2)</f>
        <v/>
      </c>
      <c r="FE51" s="3">
        <f>ROUND(0.0,2)</f>
        <v/>
      </c>
      <c r="FF51" s="3">
        <f>ROUND(0.0,2)</f>
        <v/>
      </c>
      <c r="FG51" s="3">
        <f>ROUND(0.0,2)</f>
        <v/>
      </c>
      <c r="FH51" s="3">
        <f>ROUND(0.0,2)</f>
        <v/>
      </c>
      <c r="FI51" s="3">
        <f>ROUND(0.0,2)</f>
        <v/>
      </c>
      <c r="FJ51" s="4">
        <f>IFERROR((FD51/FC51),0)</f>
        <v/>
      </c>
      <c r="FK51" s="4">
        <f>IFERROR(((0+FB11+FB12+FB13+FB14+FB15+FB16+FB17+FB19+FB20+FB21+FB22+FB23+FB24+FB25+FB27+FB28+FB29+FB30+FB31+FB32+FB33+FB35+FB36+FB37+FB38+FB39+FB40+FB41+FB43+FB44+FB45+FB46+FB47+FB48+FB49+FB51)/T2),0)</f>
        <v/>
      </c>
      <c r="FL51" s="5">
        <f>IFERROR(ROUND(FB51/FD51,2),0)</f>
        <v/>
      </c>
      <c r="FM51" s="5">
        <f>IFERROR(ROUND(FB51/FE51,2),0)</f>
        <v/>
      </c>
      <c r="FN51" s="2" t="inlineStr">
        <is>
          <t>2023-10-25</t>
        </is>
      </c>
      <c r="FO51" s="5">
        <f>ROUND(0.0,2)</f>
        <v/>
      </c>
      <c r="FP51" s="3">
        <f>ROUND(0.0,2)</f>
        <v/>
      </c>
      <c r="FQ51" s="3">
        <f>ROUND(0.0,2)</f>
        <v/>
      </c>
      <c r="FR51" s="3">
        <f>ROUND(0.0,2)</f>
        <v/>
      </c>
      <c r="FS51" s="3">
        <f>ROUND(0.0,2)</f>
        <v/>
      </c>
      <c r="FT51" s="3">
        <f>ROUND(0.0,2)</f>
        <v/>
      </c>
      <c r="FU51" s="3">
        <f>ROUND(0.0,2)</f>
        <v/>
      </c>
      <c r="FV51" s="3">
        <f>ROUND(0.0,2)</f>
        <v/>
      </c>
      <c r="FW51" s="4">
        <f>IFERROR((FQ51/FP51),0)</f>
        <v/>
      </c>
      <c r="FX51" s="4">
        <f>IFERROR(((0+FO11+FO12+FO13+FO14+FO15+FO16+FO17+FO19+FO20+FO21+FO22+FO23+FO24+FO25+FO27+FO28+FO29+FO30+FO31+FO32+FO33+FO35+FO36+FO37+FO38+FO39+FO40+FO41+FO43+FO44+FO45+FO46+FO47+FO48+FO49+FO51)/T2),0)</f>
        <v/>
      </c>
      <c r="FY51" s="5">
        <f>IFERROR(ROUND(FO51/FQ51,2),0)</f>
        <v/>
      </c>
      <c r="FZ51" s="5">
        <f>IFERROR(ROUND(FO51/FR51,2),0)</f>
        <v/>
      </c>
      <c r="GA51" s="2" t="inlineStr">
        <is>
          <t>2023-10-25</t>
        </is>
      </c>
      <c r="GB51" s="5">
        <f>ROUND(0.0,2)</f>
        <v/>
      </c>
      <c r="GC51" s="3">
        <f>ROUND(0.0,2)</f>
        <v/>
      </c>
      <c r="GD51" s="3">
        <f>ROUND(0.0,2)</f>
        <v/>
      </c>
      <c r="GE51" s="3">
        <f>ROUND(0.0,2)</f>
        <v/>
      </c>
      <c r="GF51" s="3">
        <f>ROUND(0.0,2)</f>
        <v/>
      </c>
      <c r="GG51" s="3">
        <f>ROUND(0.0,2)</f>
        <v/>
      </c>
      <c r="GH51" s="3">
        <f>ROUND(0.0,2)</f>
        <v/>
      </c>
      <c r="GI51" s="3">
        <f>ROUND(0.0,2)</f>
        <v/>
      </c>
      <c r="GJ51" s="4">
        <f>IFERROR((GD51/GC51),0)</f>
        <v/>
      </c>
      <c r="GK51" s="4">
        <f>IFERROR(((0+GB11+GB12+GB13+GB14+GB15+GB16+GB17+GB19+GB20+GB21+GB22+GB23+GB24+GB25+GB27+GB28+GB29+GB30+GB31+GB32+GB33+GB35+GB36+GB37+GB38+GB39+GB40+GB41+GB43+GB44+GB45+GB46+GB47+GB48+GB49+GB51)/T2),0)</f>
        <v/>
      </c>
      <c r="GL51" s="5">
        <f>IFERROR(ROUND(GB51/GD51,2),0)</f>
        <v/>
      </c>
      <c r="GM51" s="5">
        <f>IFERROR(ROUND(GB51/GE51,2),0)</f>
        <v/>
      </c>
      <c r="GN51" s="2" t="inlineStr">
        <is>
          <t>2023-10-25</t>
        </is>
      </c>
      <c r="GO51" s="5">
        <f>ROUND(0.0,2)</f>
        <v/>
      </c>
      <c r="GP51" s="3">
        <f>ROUND(0.0,2)</f>
        <v/>
      </c>
      <c r="GQ51" s="3">
        <f>ROUND(0.0,2)</f>
        <v/>
      </c>
      <c r="GR51" s="3">
        <f>ROUND(0.0,2)</f>
        <v/>
      </c>
      <c r="GS51" s="3">
        <f>ROUND(0.0,2)</f>
        <v/>
      </c>
      <c r="GT51" s="3">
        <f>ROUND(0.0,2)</f>
        <v/>
      </c>
      <c r="GU51" s="3">
        <f>ROUND(0.0,2)</f>
        <v/>
      </c>
      <c r="GV51" s="3">
        <f>ROUND(0.0,2)</f>
        <v/>
      </c>
      <c r="GW51" s="4">
        <f>IFERROR((GQ51/GP51),0)</f>
        <v/>
      </c>
      <c r="GX51" s="4">
        <f>IFERROR(((0+GO11+GO12+GO13+GO14+GO15+GO16+GO17+GO19+GO20+GO21+GO22+GO23+GO24+GO25+GO27+GO28+GO29+GO30+GO31+GO32+GO33+GO35+GO36+GO37+GO38+GO39+GO40+GO41+GO43+GO44+GO45+GO46+GO47+GO48+GO49+GO51)/T2),0)</f>
        <v/>
      </c>
      <c r="GY51" s="5">
        <f>IFERROR(ROUND(GO51/GQ51,2),0)</f>
        <v/>
      </c>
      <c r="GZ51" s="5">
        <f>IFERROR(ROUND(GO51/GR51,2),0)</f>
        <v/>
      </c>
      <c r="HA51" s="2" t="inlineStr">
        <is>
          <t>2023-10-25</t>
        </is>
      </c>
      <c r="HB51" s="5">
        <f>ROUND(0.0,2)</f>
        <v/>
      </c>
      <c r="HC51" s="3">
        <f>ROUND(0.0,2)</f>
        <v/>
      </c>
      <c r="HD51" s="3">
        <f>ROUND(0.0,2)</f>
        <v/>
      </c>
      <c r="HE51" s="3">
        <f>ROUND(0.0,2)</f>
        <v/>
      </c>
      <c r="HF51" s="3">
        <f>ROUND(0.0,2)</f>
        <v/>
      </c>
      <c r="HG51" s="3">
        <f>ROUND(0.0,2)</f>
        <v/>
      </c>
      <c r="HH51" s="3">
        <f>ROUND(0.0,2)</f>
        <v/>
      </c>
      <c r="HI51" s="3">
        <f>ROUND(0.0,2)</f>
        <v/>
      </c>
      <c r="HJ51" s="4">
        <f>IFERROR((HD51/HC51),0)</f>
        <v/>
      </c>
      <c r="HK51" s="4">
        <f>IFERROR(((0+HB11+HB12+HB13+HB14+HB15+HB16+HB17+HB19+HB20+HB21+HB22+HB23+HB24+HB25+HB27+HB28+HB29+HB30+HB31+HB32+HB33+HB35+HB36+HB37+HB38+HB39+HB40+HB41+HB43+HB44+HB45+HB46+HB47+HB48+HB49+HB51)/T2),0)</f>
        <v/>
      </c>
      <c r="HL51" s="5">
        <f>IFERROR(ROUND(HB51/HD51,2),0)</f>
        <v/>
      </c>
      <c r="HM51" s="5">
        <f>IFERROR(ROUND(HB51/HE51,2),0)</f>
        <v/>
      </c>
      <c r="HN51" s="2" t="inlineStr">
        <is>
          <t>2023-10-25</t>
        </is>
      </c>
      <c r="HO51" s="5">
        <f>ROUND(0.0,2)</f>
        <v/>
      </c>
      <c r="HP51" s="3">
        <f>ROUND(0.0,2)</f>
        <v/>
      </c>
      <c r="HQ51" s="3">
        <f>ROUND(0.0,2)</f>
        <v/>
      </c>
      <c r="HR51" s="3">
        <f>ROUND(0.0,2)</f>
        <v/>
      </c>
      <c r="HS51" s="3">
        <f>ROUND(0.0,2)</f>
        <v/>
      </c>
      <c r="HT51" s="3">
        <f>ROUND(0.0,2)</f>
        <v/>
      </c>
      <c r="HU51" s="3">
        <f>ROUND(0.0,2)</f>
        <v/>
      </c>
      <c r="HV51" s="3">
        <f>ROUND(0.0,2)</f>
        <v/>
      </c>
      <c r="HW51" s="4">
        <f>IFERROR((HQ51/HP51),0)</f>
        <v/>
      </c>
      <c r="HX51" s="4">
        <f>IFERROR(((0+HO11+HO12+HO13+HO14+HO15+HO16+HO17+HO19+HO20+HO21+HO22+HO23+HO24+HO25+HO27+HO28+HO29+HO30+HO31+HO32+HO33+HO35+HO36+HO37+HO38+HO39+HO40+HO41+HO43+HO44+HO45+HO46+HO47+HO48+HO49+HO51)/T2),0)</f>
        <v/>
      </c>
      <c r="HY51" s="5">
        <f>IFERROR(ROUND(HO51/HQ51,2),0)</f>
        <v/>
      </c>
      <c r="HZ51" s="5">
        <f>IFERROR(ROUND(HO51/HR51,2),0)</f>
        <v/>
      </c>
      <c r="IA51" s="2" t="inlineStr">
        <is>
          <t>2023-10-25</t>
        </is>
      </c>
      <c r="IB51" s="5">
        <f>ROUND(0.0,2)</f>
        <v/>
      </c>
      <c r="IC51" s="3">
        <f>ROUND(0.0,2)</f>
        <v/>
      </c>
      <c r="ID51" s="3">
        <f>ROUND(0.0,2)</f>
        <v/>
      </c>
      <c r="IE51" s="3">
        <f>ROUND(0.0,2)</f>
        <v/>
      </c>
      <c r="IF51" s="3">
        <f>ROUND(0.0,2)</f>
        <v/>
      </c>
      <c r="IG51" s="3">
        <f>ROUND(0.0,2)</f>
        <v/>
      </c>
      <c r="IH51" s="3">
        <f>ROUND(0.0,2)</f>
        <v/>
      </c>
      <c r="II51" s="3">
        <f>ROUND(0.0,2)</f>
        <v/>
      </c>
      <c r="IJ51" s="4">
        <f>IFERROR((ID51/IC51),0)</f>
        <v/>
      </c>
      <c r="IK51" s="4">
        <f>IFERROR(((0+IB11+IB12+IB13+IB14+IB15+IB16+IB17+IB19+IB20+IB21+IB22+IB23+IB24+IB25+IB27+IB28+IB29+IB30+IB31+IB32+IB33+IB35+IB36+IB37+IB38+IB39+IB40+IB41+IB43+IB44+IB45+IB46+IB47+IB48+IB49+IB51)/T2),0)</f>
        <v/>
      </c>
      <c r="IL51" s="5">
        <f>IFERROR(ROUND(IB51/ID51,2),0)</f>
        <v/>
      </c>
      <c r="IM51" s="5">
        <f>IFERROR(ROUND(IB51/IE51,2),0)</f>
        <v/>
      </c>
      <c r="IN51" s="2" t="inlineStr">
        <is>
          <t>2023-10-25</t>
        </is>
      </c>
      <c r="IO51" s="5">
        <f>ROUND(0.0,2)</f>
        <v/>
      </c>
      <c r="IP51" s="3">
        <f>ROUND(0.0,2)</f>
        <v/>
      </c>
      <c r="IQ51" s="3">
        <f>ROUND(0.0,2)</f>
        <v/>
      </c>
      <c r="IR51" s="3">
        <f>ROUND(0.0,2)</f>
        <v/>
      </c>
      <c r="IS51" s="3">
        <f>ROUND(0.0,2)</f>
        <v/>
      </c>
      <c r="IT51" s="3">
        <f>ROUND(0.0,2)</f>
        <v/>
      </c>
      <c r="IU51" s="3">
        <f>ROUND(0.0,2)</f>
        <v/>
      </c>
      <c r="IV51" s="3">
        <f>ROUND(0.0,2)</f>
        <v/>
      </c>
      <c r="IW51" s="4">
        <f>IFERROR((IQ51/IP51),0)</f>
        <v/>
      </c>
      <c r="IX51" s="4">
        <f>IFERROR(((0+IO11+IO12+IO13+IO14+IO15+IO16+IO17+IO19+IO20+IO21+IO22+IO23+IO24+IO25+IO27+IO28+IO29+IO30+IO31+IO32+IO33+IO35+IO36+IO37+IO38+IO39+IO40+IO41+IO43+IO44+IO45+IO46+IO47+IO48+IO49+IO51)/T2),0)</f>
        <v/>
      </c>
      <c r="IY51" s="5">
        <f>IFERROR(ROUND(IO51/IQ51,2),0)</f>
        <v/>
      </c>
      <c r="IZ51" s="5">
        <f>IFERROR(ROUND(IO51/IR51,2),0)</f>
        <v/>
      </c>
      <c r="JA51" s="2" t="inlineStr">
        <is>
          <t>2023-10-25</t>
        </is>
      </c>
      <c r="JB51" s="5">
        <f>ROUND(0.0,2)</f>
        <v/>
      </c>
      <c r="JC51" s="3">
        <f>ROUND(0.0,2)</f>
        <v/>
      </c>
      <c r="JD51" s="3">
        <f>ROUND(0.0,2)</f>
        <v/>
      </c>
      <c r="JE51" s="3">
        <f>ROUND(0.0,2)</f>
        <v/>
      </c>
      <c r="JF51" s="3">
        <f>ROUND(0.0,2)</f>
        <v/>
      </c>
      <c r="JG51" s="3">
        <f>ROUND(0.0,2)</f>
        <v/>
      </c>
      <c r="JH51" s="3">
        <f>ROUND(0.0,2)</f>
        <v/>
      </c>
      <c r="JI51" s="3">
        <f>ROUND(0.0,2)</f>
        <v/>
      </c>
      <c r="JJ51" s="4">
        <f>IFERROR((JD51/JC51),0)</f>
        <v/>
      </c>
      <c r="JK51" s="4">
        <f>IFERROR(((0+JB11+JB12+JB13+JB14+JB15+JB16+JB17+JB19+JB20+JB21+JB22+JB23+JB24+JB25+JB27+JB28+JB29+JB30+JB31+JB32+JB33+JB35+JB36+JB37+JB38+JB39+JB40+JB41+JB43+JB44+JB45+JB46+JB47+JB48+JB49+JB51)/T2),0)</f>
        <v/>
      </c>
      <c r="JL51" s="5">
        <f>IFERROR(ROUND(JB51/JD51,2),0)</f>
        <v/>
      </c>
      <c r="JM51" s="5">
        <f>IFERROR(ROUND(JB51/JE51,2),0)</f>
        <v/>
      </c>
    </row>
    <row r="52">
      <c r="A52" s="2" t="inlineStr">
        <is>
          <t>2023-10-26</t>
        </is>
      </c>
      <c r="B52" s="5">
        <f>ROUND(0.0,2)</f>
        <v/>
      </c>
      <c r="C52" s="3">
        <f>ROUND(0.0,2)</f>
        <v/>
      </c>
      <c r="D52" s="3">
        <f>ROUND(0.0,2)</f>
        <v/>
      </c>
      <c r="E52" s="3">
        <f>ROUND(0.0,2)</f>
        <v/>
      </c>
      <c r="F52" s="3">
        <f>ROUND(0.0,2)</f>
        <v/>
      </c>
      <c r="G52" s="3">
        <f>ROUND(0.0,2)</f>
        <v/>
      </c>
      <c r="H52" s="3">
        <f>ROUND(0.0,2)</f>
        <v/>
      </c>
      <c r="I52" s="3">
        <f>ROUND(0.0,2)</f>
        <v/>
      </c>
      <c r="J52" s="4">
        <f>IFERROR((D52/C52),0)</f>
        <v/>
      </c>
      <c r="K52" s="4">
        <f>IFERROR(((0+B11+B12+B13+B14+B15+B16+B17+B19+B20+B21+B22+B23+B24+B25+B27+B28+B29+B30+B31+B32+B33+B35+B36+B37+B38+B39+B40+B41+B43+B44+B45+B46+B47+B48+B49+B51+B52)/T2),0)</f>
        <v/>
      </c>
      <c r="L52" s="5">
        <f>IFERROR(ROUND(B52/D52,2),0)</f>
        <v/>
      </c>
      <c r="M52" s="5">
        <f>IFERROR(ROUND(B52/E52,2),0)</f>
        <v/>
      </c>
      <c r="N52" s="2" t="inlineStr">
        <is>
          <t>2023-10-26</t>
        </is>
      </c>
      <c r="O52" s="5">
        <f>ROUND(0.0,2)</f>
        <v/>
      </c>
      <c r="P52" s="3">
        <f>ROUND(0.0,2)</f>
        <v/>
      </c>
      <c r="Q52" s="3">
        <f>ROUND(0.0,2)</f>
        <v/>
      </c>
      <c r="R52" s="3">
        <f>ROUND(0.0,2)</f>
        <v/>
      </c>
      <c r="S52" s="3">
        <f>ROUND(0.0,2)</f>
        <v/>
      </c>
      <c r="T52" s="3">
        <f>ROUND(0.0,2)</f>
        <v/>
      </c>
      <c r="U52" s="3">
        <f>ROUND(0.0,2)</f>
        <v/>
      </c>
      <c r="V52" s="3">
        <f>ROUND(0.0,2)</f>
        <v/>
      </c>
      <c r="W52" s="4">
        <f>IFERROR((Q52/P52),0)</f>
        <v/>
      </c>
      <c r="X52" s="4">
        <f>IFERROR(((0+O11+O12+O13+O14+O15+O16+O17+O19+O20+O21+O22+O23+O24+O25+O27+O28+O29+O30+O31+O32+O33+O35+O36+O37+O38+O39+O40+O41+O43+O44+O45+O46+O47+O48+O49+O51+O52)/T2),0)</f>
        <v/>
      </c>
      <c r="Y52" s="5">
        <f>IFERROR(ROUND(O52/Q52,2),0)</f>
        <v/>
      </c>
      <c r="Z52" s="5">
        <f>IFERROR(ROUND(O52/R52,2),0)</f>
        <v/>
      </c>
      <c r="AA52" s="2" t="inlineStr">
        <is>
          <t>2023-10-26</t>
        </is>
      </c>
      <c r="AB52" s="5">
        <f>ROUND(0.0,2)</f>
        <v/>
      </c>
      <c r="AC52" s="3">
        <f>ROUND(0.0,2)</f>
        <v/>
      </c>
      <c r="AD52" s="3">
        <f>ROUND(0.0,2)</f>
        <v/>
      </c>
      <c r="AE52" s="3">
        <f>ROUND(0.0,2)</f>
        <v/>
      </c>
      <c r="AF52" s="3">
        <f>ROUND(0.0,2)</f>
        <v/>
      </c>
      <c r="AG52" s="3">
        <f>ROUND(0.0,2)</f>
        <v/>
      </c>
      <c r="AH52" s="3">
        <f>ROUND(0.0,2)</f>
        <v/>
      </c>
      <c r="AI52" s="3">
        <f>ROUND(0.0,2)</f>
        <v/>
      </c>
      <c r="AJ52" s="4">
        <f>IFERROR((AD52/AC52),0)</f>
        <v/>
      </c>
      <c r="AK52" s="4">
        <f>IFERROR(((0+AB11+AB12+AB13+AB14+AB15+AB16+AB17+AB19+AB20+AB21+AB22+AB23+AB24+AB25+AB27+AB28+AB29+AB30+AB31+AB32+AB33+AB35+AB36+AB37+AB38+AB39+AB40+AB41+AB43+AB44+AB45+AB46+AB47+AB48+AB49+AB51+AB52)/T2),0)</f>
        <v/>
      </c>
      <c r="AL52" s="5">
        <f>IFERROR(ROUND(AB52/AD52,2),0)</f>
        <v/>
      </c>
      <c r="AM52" s="5">
        <f>IFERROR(ROUND(AB52/AE52,2),0)</f>
        <v/>
      </c>
      <c r="AN52" s="2" t="inlineStr">
        <is>
          <t>2023-10-26</t>
        </is>
      </c>
      <c r="AO52" s="5">
        <f>ROUND(0.0,2)</f>
        <v/>
      </c>
      <c r="AP52" s="3">
        <f>ROUND(0.0,2)</f>
        <v/>
      </c>
      <c r="AQ52" s="3">
        <f>ROUND(0.0,2)</f>
        <v/>
      </c>
      <c r="AR52" s="3">
        <f>ROUND(0.0,2)</f>
        <v/>
      </c>
      <c r="AS52" s="3">
        <f>ROUND(0.0,2)</f>
        <v/>
      </c>
      <c r="AT52" s="3">
        <f>ROUND(0.0,2)</f>
        <v/>
      </c>
      <c r="AU52" s="3">
        <f>ROUND(0.0,2)</f>
        <v/>
      </c>
      <c r="AV52" s="3">
        <f>ROUND(0.0,2)</f>
        <v/>
      </c>
      <c r="AW52" s="4">
        <f>IFERROR((AQ52/AP52),0)</f>
        <v/>
      </c>
      <c r="AX52" s="4">
        <f>IFERROR(((0+AO11+AO12+AO13+AO14+AO15+AO16+AO17+AO19+AO20+AO21+AO22+AO23+AO24+AO25+AO27+AO28+AO29+AO30+AO31+AO32+AO33+AO35+AO36+AO37+AO38+AO39+AO40+AO41+AO43+AO44+AO45+AO46+AO47+AO48+AO49+AO51+AO52)/T2),0)</f>
        <v/>
      </c>
      <c r="AY52" s="5">
        <f>IFERROR(ROUND(AO52/AQ52,2),0)</f>
        <v/>
      </c>
      <c r="AZ52" s="5">
        <f>IFERROR(ROUND(AO52/AR52,2),0)</f>
        <v/>
      </c>
      <c r="BA52" s="2" t="inlineStr">
        <is>
          <t>2023-10-26</t>
        </is>
      </c>
      <c r="BB52" s="5">
        <f>ROUND(0.0,2)</f>
        <v/>
      </c>
      <c r="BC52" s="3">
        <f>ROUND(0.0,2)</f>
        <v/>
      </c>
      <c r="BD52" s="3">
        <f>ROUND(0.0,2)</f>
        <v/>
      </c>
      <c r="BE52" s="3">
        <f>ROUND(0.0,2)</f>
        <v/>
      </c>
      <c r="BF52" s="3">
        <f>ROUND(0.0,2)</f>
        <v/>
      </c>
      <c r="BG52" s="3">
        <f>ROUND(0.0,2)</f>
        <v/>
      </c>
      <c r="BH52" s="3">
        <f>ROUND(0.0,2)</f>
        <v/>
      </c>
      <c r="BI52" s="3">
        <f>ROUND(0.0,2)</f>
        <v/>
      </c>
      <c r="BJ52" s="4">
        <f>IFERROR((BD52/BC52),0)</f>
        <v/>
      </c>
      <c r="BK52" s="4">
        <f>IFERROR(((0+BB11+BB12+BB13+BB14+BB15+BB16+BB17+BB19+BB20+BB21+BB22+BB23+BB24+BB25+BB27+BB28+BB29+BB30+BB31+BB32+BB33+BB35+BB36+BB37+BB38+BB39+BB40+BB41+BB43+BB44+BB45+BB46+BB47+BB48+BB49+BB51+BB52)/T2),0)</f>
        <v/>
      </c>
      <c r="BL52" s="5">
        <f>IFERROR(ROUND(BB52/BD52,2),0)</f>
        <v/>
      </c>
      <c r="BM52" s="5">
        <f>IFERROR(ROUND(BB52/BE52,2),0)</f>
        <v/>
      </c>
      <c r="BN52" s="2" t="inlineStr">
        <is>
          <t>2023-10-26</t>
        </is>
      </c>
      <c r="BO52" s="5">
        <f>ROUND(0.0,2)</f>
        <v/>
      </c>
      <c r="BP52" s="3">
        <f>ROUND(0.0,2)</f>
        <v/>
      </c>
      <c r="BQ52" s="3">
        <f>ROUND(0.0,2)</f>
        <v/>
      </c>
      <c r="BR52" s="3">
        <f>ROUND(0.0,2)</f>
        <v/>
      </c>
      <c r="BS52" s="3">
        <f>ROUND(0.0,2)</f>
        <v/>
      </c>
      <c r="BT52" s="3">
        <f>ROUND(0.0,2)</f>
        <v/>
      </c>
      <c r="BU52" s="3">
        <f>ROUND(0.0,2)</f>
        <v/>
      </c>
      <c r="BV52" s="3">
        <f>ROUND(0.0,2)</f>
        <v/>
      </c>
      <c r="BW52" s="4">
        <f>IFERROR((BQ52/BP52),0)</f>
        <v/>
      </c>
      <c r="BX52" s="4">
        <f>IFERROR(((0+BO11+BO12+BO13+BO14+BO15+BO16+BO17+BO19+BO20+BO21+BO22+BO23+BO24+BO25+BO27+BO28+BO29+BO30+BO31+BO32+BO33+BO35+BO36+BO37+BO38+BO39+BO40+BO41+BO43+BO44+BO45+BO46+BO47+BO48+BO49+BO51+BO52)/T2),0)</f>
        <v/>
      </c>
      <c r="BY52" s="5">
        <f>IFERROR(ROUND(BO52/BQ52,2),0)</f>
        <v/>
      </c>
      <c r="BZ52" s="5">
        <f>IFERROR(ROUND(BO52/BR52,2),0)</f>
        <v/>
      </c>
      <c r="CA52" s="2" t="inlineStr">
        <is>
          <t>2023-10-26</t>
        </is>
      </c>
      <c r="CB52" s="5">
        <f>ROUND(0.0,2)</f>
        <v/>
      </c>
      <c r="CC52" s="3">
        <f>ROUND(0.0,2)</f>
        <v/>
      </c>
      <c r="CD52" s="3">
        <f>ROUND(0.0,2)</f>
        <v/>
      </c>
      <c r="CE52" s="3">
        <f>ROUND(0.0,2)</f>
        <v/>
      </c>
      <c r="CF52" s="3">
        <f>ROUND(0.0,2)</f>
        <v/>
      </c>
      <c r="CG52" s="3">
        <f>ROUND(0.0,2)</f>
        <v/>
      </c>
      <c r="CH52" s="3">
        <f>ROUND(0.0,2)</f>
        <v/>
      </c>
      <c r="CI52" s="3">
        <f>ROUND(0.0,2)</f>
        <v/>
      </c>
      <c r="CJ52" s="4">
        <f>IFERROR((CD52/CC52),0)</f>
        <v/>
      </c>
      <c r="CK52" s="4">
        <f>IFERROR(((0+CB11+CB12+CB13+CB14+CB15+CB16+CB17+CB19+CB20+CB21+CB22+CB23+CB24+CB25+CB27+CB28+CB29+CB30+CB31+CB32+CB33+CB35+CB36+CB37+CB38+CB39+CB40+CB41+CB43+CB44+CB45+CB46+CB47+CB48+CB49+CB51+CB52)/T2),0)</f>
        <v/>
      </c>
      <c r="CL52" s="5">
        <f>IFERROR(ROUND(CB52/CD52,2),0)</f>
        <v/>
      </c>
      <c r="CM52" s="5">
        <f>IFERROR(ROUND(CB52/CE52,2),0)</f>
        <v/>
      </c>
      <c r="CN52" s="2" t="inlineStr">
        <is>
          <t>2023-10-26</t>
        </is>
      </c>
      <c r="CO52" s="5">
        <f>ROUND(0.0,2)</f>
        <v/>
      </c>
      <c r="CP52" s="3">
        <f>ROUND(0.0,2)</f>
        <v/>
      </c>
      <c r="CQ52" s="3">
        <f>ROUND(0.0,2)</f>
        <v/>
      </c>
      <c r="CR52" s="3">
        <f>ROUND(0.0,2)</f>
        <v/>
      </c>
      <c r="CS52" s="3">
        <f>ROUND(0.0,2)</f>
        <v/>
      </c>
      <c r="CT52" s="3">
        <f>ROUND(0.0,2)</f>
        <v/>
      </c>
      <c r="CU52" s="3">
        <f>ROUND(0.0,2)</f>
        <v/>
      </c>
      <c r="CV52" s="3">
        <f>ROUND(0.0,2)</f>
        <v/>
      </c>
      <c r="CW52" s="4">
        <f>IFERROR((CQ52/CP52),0)</f>
        <v/>
      </c>
      <c r="CX52" s="4">
        <f>IFERROR(((0+CO11+CO12+CO13+CO14+CO15+CO16+CO17+CO19+CO20+CO21+CO22+CO23+CO24+CO25+CO27+CO28+CO29+CO30+CO31+CO32+CO33+CO35+CO36+CO37+CO38+CO39+CO40+CO41+CO43+CO44+CO45+CO46+CO47+CO48+CO49+CO51+CO52)/T2),0)</f>
        <v/>
      </c>
      <c r="CY52" s="5">
        <f>IFERROR(ROUND(CO52/CQ52,2),0)</f>
        <v/>
      </c>
      <c r="CZ52" s="5">
        <f>IFERROR(ROUND(CO52/CR52,2),0)</f>
        <v/>
      </c>
      <c r="DA52" s="2" t="inlineStr">
        <is>
          <t>2023-10-26</t>
        </is>
      </c>
      <c r="DB52" s="5">
        <f>ROUND(0.0,2)</f>
        <v/>
      </c>
      <c r="DC52" s="3">
        <f>ROUND(0.0,2)</f>
        <v/>
      </c>
      <c r="DD52" s="3">
        <f>ROUND(0.0,2)</f>
        <v/>
      </c>
      <c r="DE52" s="3">
        <f>ROUND(0.0,2)</f>
        <v/>
      </c>
      <c r="DF52" s="3">
        <f>ROUND(0.0,2)</f>
        <v/>
      </c>
      <c r="DG52" s="3">
        <f>ROUND(0.0,2)</f>
        <v/>
      </c>
      <c r="DH52" s="3">
        <f>ROUND(0.0,2)</f>
        <v/>
      </c>
      <c r="DI52" s="3">
        <f>ROUND(0.0,2)</f>
        <v/>
      </c>
      <c r="DJ52" s="4">
        <f>IFERROR((DD52/DC52),0)</f>
        <v/>
      </c>
      <c r="DK52" s="4">
        <f>IFERROR(((0+DB11+DB12+DB13+DB14+DB15+DB16+DB17+DB19+DB20+DB21+DB22+DB23+DB24+DB25+DB27+DB28+DB29+DB30+DB31+DB32+DB33+DB35+DB36+DB37+DB38+DB39+DB40+DB41+DB43+DB44+DB45+DB46+DB47+DB48+DB49+DB51+DB52)/T2),0)</f>
        <v/>
      </c>
      <c r="DL52" s="5">
        <f>IFERROR(ROUND(DB52/DD52,2),0)</f>
        <v/>
      </c>
      <c r="DM52" s="5">
        <f>IFERROR(ROUND(DB52/DE52,2),0)</f>
        <v/>
      </c>
      <c r="DN52" s="2" t="inlineStr">
        <is>
          <t>2023-10-26</t>
        </is>
      </c>
      <c r="DO52" s="5">
        <f>ROUND(0.0,2)</f>
        <v/>
      </c>
      <c r="DP52" s="3">
        <f>ROUND(0.0,2)</f>
        <v/>
      </c>
      <c r="DQ52" s="3">
        <f>ROUND(0.0,2)</f>
        <v/>
      </c>
      <c r="DR52" s="3">
        <f>ROUND(0.0,2)</f>
        <v/>
      </c>
      <c r="DS52" s="3">
        <f>ROUND(0.0,2)</f>
        <v/>
      </c>
      <c r="DT52" s="3">
        <f>ROUND(0.0,2)</f>
        <v/>
      </c>
      <c r="DU52" s="3">
        <f>ROUND(0.0,2)</f>
        <v/>
      </c>
      <c r="DV52" s="3">
        <f>ROUND(0.0,2)</f>
        <v/>
      </c>
      <c r="DW52" s="4">
        <f>IFERROR((DQ52/DP52),0)</f>
        <v/>
      </c>
      <c r="DX52" s="4">
        <f>IFERROR(((0+DO11+DO12+DO13+DO14+DO15+DO16+DO17+DO19+DO20+DO21+DO22+DO23+DO24+DO25+DO27+DO28+DO29+DO30+DO31+DO32+DO33+DO35+DO36+DO37+DO38+DO39+DO40+DO41+DO43+DO44+DO45+DO46+DO47+DO48+DO49+DO51+DO52)/T2),0)</f>
        <v/>
      </c>
      <c r="DY52" s="5">
        <f>IFERROR(ROUND(DO52/DQ52,2),0)</f>
        <v/>
      </c>
      <c r="DZ52" s="5">
        <f>IFERROR(ROUND(DO52/DR52,2),0)</f>
        <v/>
      </c>
      <c r="EA52" s="2" t="inlineStr">
        <is>
          <t>2023-10-26</t>
        </is>
      </c>
      <c r="EB52" s="5">
        <f>ROUND(0.0,2)</f>
        <v/>
      </c>
      <c r="EC52" s="3">
        <f>ROUND(0.0,2)</f>
        <v/>
      </c>
      <c r="ED52" s="3">
        <f>ROUND(0.0,2)</f>
        <v/>
      </c>
      <c r="EE52" s="3">
        <f>ROUND(0.0,2)</f>
        <v/>
      </c>
      <c r="EF52" s="3">
        <f>ROUND(0.0,2)</f>
        <v/>
      </c>
      <c r="EG52" s="3">
        <f>ROUND(0.0,2)</f>
        <v/>
      </c>
      <c r="EH52" s="3">
        <f>ROUND(0.0,2)</f>
        <v/>
      </c>
      <c r="EI52" s="3">
        <f>ROUND(0.0,2)</f>
        <v/>
      </c>
      <c r="EJ52" s="4">
        <f>IFERROR((ED52/EC52),0)</f>
        <v/>
      </c>
      <c r="EK52" s="4">
        <f>IFERROR(((0+EB11+EB12+EB13+EB14+EB15+EB16+EB17+EB19+EB20+EB21+EB22+EB23+EB24+EB25+EB27+EB28+EB29+EB30+EB31+EB32+EB33+EB35+EB36+EB37+EB38+EB39+EB40+EB41+EB43+EB44+EB45+EB46+EB47+EB48+EB49+EB51+EB52)/T2),0)</f>
        <v/>
      </c>
      <c r="EL52" s="5">
        <f>IFERROR(ROUND(EB52/ED52,2),0)</f>
        <v/>
      </c>
      <c r="EM52" s="5">
        <f>IFERROR(ROUND(EB52/EE52,2),0)</f>
        <v/>
      </c>
      <c r="EN52" s="2" t="inlineStr">
        <is>
          <t>2023-10-26</t>
        </is>
      </c>
      <c r="EO52" s="5">
        <f>ROUND(0.0,2)</f>
        <v/>
      </c>
      <c r="EP52" s="3">
        <f>ROUND(0.0,2)</f>
        <v/>
      </c>
      <c r="EQ52" s="3">
        <f>ROUND(0.0,2)</f>
        <v/>
      </c>
      <c r="ER52" s="3">
        <f>ROUND(0.0,2)</f>
        <v/>
      </c>
      <c r="ES52" s="3">
        <f>ROUND(0.0,2)</f>
        <v/>
      </c>
      <c r="ET52" s="3">
        <f>ROUND(0.0,2)</f>
        <v/>
      </c>
      <c r="EU52" s="3">
        <f>ROUND(0.0,2)</f>
        <v/>
      </c>
      <c r="EV52" s="3">
        <f>ROUND(0.0,2)</f>
        <v/>
      </c>
      <c r="EW52" s="4">
        <f>IFERROR((EQ52/EP52),0)</f>
        <v/>
      </c>
      <c r="EX52" s="4">
        <f>IFERROR(((0+EO11+EO12+EO13+EO14+EO15+EO16+EO17+EO19+EO20+EO21+EO22+EO23+EO24+EO25+EO27+EO28+EO29+EO30+EO31+EO32+EO33+EO35+EO36+EO37+EO38+EO39+EO40+EO41+EO43+EO44+EO45+EO46+EO47+EO48+EO49+EO51+EO52)/T2),0)</f>
        <v/>
      </c>
      <c r="EY52" s="5">
        <f>IFERROR(ROUND(EO52/EQ52,2),0)</f>
        <v/>
      </c>
      <c r="EZ52" s="5">
        <f>IFERROR(ROUND(EO52/ER52,2),0)</f>
        <v/>
      </c>
      <c r="FA52" s="2" t="inlineStr">
        <is>
          <t>2023-10-26</t>
        </is>
      </c>
      <c r="FB52" s="5">
        <f>ROUND(0.0,2)</f>
        <v/>
      </c>
      <c r="FC52" s="3">
        <f>ROUND(0.0,2)</f>
        <v/>
      </c>
      <c r="FD52" s="3">
        <f>ROUND(0.0,2)</f>
        <v/>
      </c>
      <c r="FE52" s="3">
        <f>ROUND(0.0,2)</f>
        <v/>
      </c>
      <c r="FF52" s="3">
        <f>ROUND(0.0,2)</f>
        <v/>
      </c>
      <c r="FG52" s="3">
        <f>ROUND(0.0,2)</f>
        <v/>
      </c>
      <c r="FH52" s="3">
        <f>ROUND(0.0,2)</f>
        <v/>
      </c>
      <c r="FI52" s="3">
        <f>ROUND(0.0,2)</f>
        <v/>
      </c>
      <c r="FJ52" s="4">
        <f>IFERROR((FD52/FC52),0)</f>
        <v/>
      </c>
      <c r="FK52" s="4">
        <f>IFERROR(((0+FB11+FB12+FB13+FB14+FB15+FB16+FB17+FB19+FB20+FB21+FB22+FB23+FB24+FB25+FB27+FB28+FB29+FB30+FB31+FB32+FB33+FB35+FB36+FB37+FB38+FB39+FB40+FB41+FB43+FB44+FB45+FB46+FB47+FB48+FB49+FB51+FB52)/T2),0)</f>
        <v/>
      </c>
      <c r="FL52" s="5">
        <f>IFERROR(ROUND(FB52/FD52,2),0)</f>
        <v/>
      </c>
      <c r="FM52" s="5">
        <f>IFERROR(ROUND(FB52/FE52,2),0)</f>
        <v/>
      </c>
      <c r="FN52" s="2" t="inlineStr">
        <is>
          <t>2023-10-26</t>
        </is>
      </c>
      <c r="FO52" s="5">
        <f>ROUND(0.0,2)</f>
        <v/>
      </c>
      <c r="FP52" s="3">
        <f>ROUND(0.0,2)</f>
        <v/>
      </c>
      <c r="FQ52" s="3">
        <f>ROUND(0.0,2)</f>
        <v/>
      </c>
      <c r="FR52" s="3">
        <f>ROUND(0.0,2)</f>
        <v/>
      </c>
      <c r="FS52" s="3">
        <f>ROUND(0.0,2)</f>
        <v/>
      </c>
      <c r="FT52" s="3">
        <f>ROUND(0.0,2)</f>
        <v/>
      </c>
      <c r="FU52" s="3">
        <f>ROUND(0.0,2)</f>
        <v/>
      </c>
      <c r="FV52" s="3">
        <f>ROUND(0.0,2)</f>
        <v/>
      </c>
      <c r="FW52" s="4">
        <f>IFERROR((FQ52/FP52),0)</f>
        <v/>
      </c>
      <c r="FX52" s="4">
        <f>IFERROR(((0+FO11+FO12+FO13+FO14+FO15+FO16+FO17+FO19+FO20+FO21+FO22+FO23+FO24+FO25+FO27+FO28+FO29+FO30+FO31+FO32+FO33+FO35+FO36+FO37+FO38+FO39+FO40+FO41+FO43+FO44+FO45+FO46+FO47+FO48+FO49+FO51+FO52)/T2),0)</f>
        <v/>
      </c>
      <c r="FY52" s="5">
        <f>IFERROR(ROUND(FO52/FQ52,2),0)</f>
        <v/>
      </c>
      <c r="FZ52" s="5">
        <f>IFERROR(ROUND(FO52/FR52,2),0)</f>
        <v/>
      </c>
      <c r="GA52" s="2" t="inlineStr">
        <is>
          <t>2023-10-26</t>
        </is>
      </c>
      <c r="GB52" s="5">
        <f>ROUND(0.0,2)</f>
        <v/>
      </c>
      <c r="GC52" s="3">
        <f>ROUND(0.0,2)</f>
        <v/>
      </c>
      <c r="GD52" s="3">
        <f>ROUND(0.0,2)</f>
        <v/>
      </c>
      <c r="GE52" s="3">
        <f>ROUND(0.0,2)</f>
        <v/>
      </c>
      <c r="GF52" s="3">
        <f>ROUND(0.0,2)</f>
        <v/>
      </c>
      <c r="GG52" s="3">
        <f>ROUND(0.0,2)</f>
        <v/>
      </c>
      <c r="GH52" s="3">
        <f>ROUND(0.0,2)</f>
        <v/>
      </c>
      <c r="GI52" s="3">
        <f>ROUND(0.0,2)</f>
        <v/>
      </c>
      <c r="GJ52" s="4">
        <f>IFERROR((GD52/GC52),0)</f>
        <v/>
      </c>
      <c r="GK52" s="4">
        <f>IFERROR(((0+GB11+GB12+GB13+GB14+GB15+GB16+GB17+GB19+GB20+GB21+GB22+GB23+GB24+GB25+GB27+GB28+GB29+GB30+GB31+GB32+GB33+GB35+GB36+GB37+GB38+GB39+GB40+GB41+GB43+GB44+GB45+GB46+GB47+GB48+GB49+GB51+GB52)/T2),0)</f>
        <v/>
      </c>
      <c r="GL52" s="5">
        <f>IFERROR(ROUND(GB52/GD52,2),0)</f>
        <v/>
      </c>
      <c r="GM52" s="5">
        <f>IFERROR(ROUND(GB52/GE52,2),0)</f>
        <v/>
      </c>
      <c r="GN52" s="2" t="inlineStr">
        <is>
          <t>2023-10-26</t>
        </is>
      </c>
      <c r="GO52" s="5">
        <f>ROUND(0.0,2)</f>
        <v/>
      </c>
      <c r="GP52" s="3">
        <f>ROUND(0.0,2)</f>
        <v/>
      </c>
      <c r="GQ52" s="3">
        <f>ROUND(0.0,2)</f>
        <v/>
      </c>
      <c r="GR52" s="3">
        <f>ROUND(0.0,2)</f>
        <v/>
      </c>
      <c r="GS52" s="3">
        <f>ROUND(0.0,2)</f>
        <v/>
      </c>
      <c r="GT52" s="3">
        <f>ROUND(0.0,2)</f>
        <v/>
      </c>
      <c r="GU52" s="3">
        <f>ROUND(0.0,2)</f>
        <v/>
      </c>
      <c r="GV52" s="3">
        <f>ROUND(0.0,2)</f>
        <v/>
      </c>
      <c r="GW52" s="4">
        <f>IFERROR((GQ52/GP52),0)</f>
        <v/>
      </c>
      <c r="GX52" s="4">
        <f>IFERROR(((0+GO11+GO12+GO13+GO14+GO15+GO16+GO17+GO19+GO20+GO21+GO22+GO23+GO24+GO25+GO27+GO28+GO29+GO30+GO31+GO32+GO33+GO35+GO36+GO37+GO38+GO39+GO40+GO41+GO43+GO44+GO45+GO46+GO47+GO48+GO49+GO51+GO52)/T2),0)</f>
        <v/>
      </c>
      <c r="GY52" s="5">
        <f>IFERROR(ROUND(GO52/GQ52,2),0)</f>
        <v/>
      </c>
      <c r="GZ52" s="5">
        <f>IFERROR(ROUND(GO52/GR52,2),0)</f>
        <v/>
      </c>
      <c r="HA52" s="2" t="inlineStr">
        <is>
          <t>2023-10-26</t>
        </is>
      </c>
      <c r="HB52" s="5">
        <f>ROUND(0.0,2)</f>
        <v/>
      </c>
      <c r="HC52" s="3">
        <f>ROUND(0.0,2)</f>
        <v/>
      </c>
      <c r="HD52" s="3">
        <f>ROUND(0.0,2)</f>
        <v/>
      </c>
      <c r="HE52" s="3">
        <f>ROUND(0.0,2)</f>
        <v/>
      </c>
      <c r="HF52" s="3">
        <f>ROUND(0.0,2)</f>
        <v/>
      </c>
      <c r="HG52" s="3">
        <f>ROUND(0.0,2)</f>
        <v/>
      </c>
      <c r="HH52" s="3">
        <f>ROUND(0.0,2)</f>
        <v/>
      </c>
      <c r="HI52" s="3">
        <f>ROUND(0.0,2)</f>
        <v/>
      </c>
      <c r="HJ52" s="4">
        <f>IFERROR((HD52/HC52),0)</f>
        <v/>
      </c>
      <c r="HK52" s="4">
        <f>IFERROR(((0+HB11+HB12+HB13+HB14+HB15+HB16+HB17+HB19+HB20+HB21+HB22+HB23+HB24+HB25+HB27+HB28+HB29+HB30+HB31+HB32+HB33+HB35+HB36+HB37+HB38+HB39+HB40+HB41+HB43+HB44+HB45+HB46+HB47+HB48+HB49+HB51+HB52)/T2),0)</f>
        <v/>
      </c>
      <c r="HL52" s="5">
        <f>IFERROR(ROUND(HB52/HD52,2),0)</f>
        <v/>
      </c>
      <c r="HM52" s="5">
        <f>IFERROR(ROUND(HB52/HE52,2),0)</f>
        <v/>
      </c>
      <c r="HN52" s="2" t="inlineStr">
        <is>
          <t>2023-10-26</t>
        </is>
      </c>
      <c r="HO52" s="5">
        <f>ROUND(0.0,2)</f>
        <v/>
      </c>
      <c r="HP52" s="3">
        <f>ROUND(0.0,2)</f>
        <v/>
      </c>
      <c r="HQ52" s="3">
        <f>ROUND(0.0,2)</f>
        <v/>
      </c>
      <c r="HR52" s="3">
        <f>ROUND(0.0,2)</f>
        <v/>
      </c>
      <c r="HS52" s="3">
        <f>ROUND(0.0,2)</f>
        <v/>
      </c>
      <c r="HT52" s="3">
        <f>ROUND(0.0,2)</f>
        <v/>
      </c>
      <c r="HU52" s="3">
        <f>ROUND(0.0,2)</f>
        <v/>
      </c>
      <c r="HV52" s="3">
        <f>ROUND(0.0,2)</f>
        <v/>
      </c>
      <c r="HW52" s="4">
        <f>IFERROR((HQ52/HP52),0)</f>
        <v/>
      </c>
      <c r="HX52" s="4">
        <f>IFERROR(((0+HO11+HO12+HO13+HO14+HO15+HO16+HO17+HO19+HO20+HO21+HO22+HO23+HO24+HO25+HO27+HO28+HO29+HO30+HO31+HO32+HO33+HO35+HO36+HO37+HO38+HO39+HO40+HO41+HO43+HO44+HO45+HO46+HO47+HO48+HO49+HO51+HO52)/T2),0)</f>
        <v/>
      </c>
      <c r="HY52" s="5">
        <f>IFERROR(ROUND(HO52/HQ52,2),0)</f>
        <v/>
      </c>
      <c r="HZ52" s="5">
        <f>IFERROR(ROUND(HO52/HR52,2),0)</f>
        <v/>
      </c>
      <c r="IA52" s="2" t="inlineStr">
        <is>
          <t>2023-10-26</t>
        </is>
      </c>
      <c r="IB52" s="5">
        <f>ROUND(0.0,2)</f>
        <v/>
      </c>
      <c r="IC52" s="3">
        <f>ROUND(0.0,2)</f>
        <v/>
      </c>
      <c r="ID52" s="3">
        <f>ROUND(0.0,2)</f>
        <v/>
      </c>
      <c r="IE52" s="3">
        <f>ROUND(0.0,2)</f>
        <v/>
      </c>
      <c r="IF52" s="3">
        <f>ROUND(0.0,2)</f>
        <v/>
      </c>
      <c r="IG52" s="3">
        <f>ROUND(0.0,2)</f>
        <v/>
      </c>
      <c r="IH52" s="3">
        <f>ROUND(0.0,2)</f>
        <v/>
      </c>
      <c r="II52" s="3">
        <f>ROUND(0.0,2)</f>
        <v/>
      </c>
      <c r="IJ52" s="4">
        <f>IFERROR((ID52/IC52),0)</f>
        <v/>
      </c>
      <c r="IK52" s="4">
        <f>IFERROR(((0+IB11+IB12+IB13+IB14+IB15+IB16+IB17+IB19+IB20+IB21+IB22+IB23+IB24+IB25+IB27+IB28+IB29+IB30+IB31+IB32+IB33+IB35+IB36+IB37+IB38+IB39+IB40+IB41+IB43+IB44+IB45+IB46+IB47+IB48+IB49+IB51+IB52)/T2),0)</f>
        <v/>
      </c>
      <c r="IL52" s="5">
        <f>IFERROR(ROUND(IB52/ID52,2),0)</f>
        <v/>
      </c>
      <c r="IM52" s="5">
        <f>IFERROR(ROUND(IB52/IE52,2),0)</f>
        <v/>
      </c>
      <c r="IN52" s="2" t="inlineStr">
        <is>
          <t>2023-10-26</t>
        </is>
      </c>
      <c r="IO52" s="5">
        <f>ROUND(0.0,2)</f>
        <v/>
      </c>
      <c r="IP52" s="3">
        <f>ROUND(0.0,2)</f>
        <v/>
      </c>
      <c r="IQ52" s="3">
        <f>ROUND(0.0,2)</f>
        <v/>
      </c>
      <c r="IR52" s="3">
        <f>ROUND(0.0,2)</f>
        <v/>
      </c>
      <c r="IS52" s="3">
        <f>ROUND(0.0,2)</f>
        <v/>
      </c>
      <c r="IT52" s="3">
        <f>ROUND(0.0,2)</f>
        <v/>
      </c>
      <c r="IU52" s="3">
        <f>ROUND(0.0,2)</f>
        <v/>
      </c>
      <c r="IV52" s="3">
        <f>ROUND(0.0,2)</f>
        <v/>
      </c>
      <c r="IW52" s="4">
        <f>IFERROR((IQ52/IP52),0)</f>
        <v/>
      </c>
      <c r="IX52" s="4">
        <f>IFERROR(((0+IO11+IO12+IO13+IO14+IO15+IO16+IO17+IO19+IO20+IO21+IO22+IO23+IO24+IO25+IO27+IO28+IO29+IO30+IO31+IO32+IO33+IO35+IO36+IO37+IO38+IO39+IO40+IO41+IO43+IO44+IO45+IO46+IO47+IO48+IO49+IO51+IO52)/T2),0)</f>
        <v/>
      </c>
      <c r="IY52" s="5">
        <f>IFERROR(ROUND(IO52/IQ52,2),0)</f>
        <v/>
      </c>
      <c r="IZ52" s="5">
        <f>IFERROR(ROUND(IO52/IR52,2),0)</f>
        <v/>
      </c>
      <c r="JA52" s="2" t="inlineStr">
        <is>
          <t>2023-10-26</t>
        </is>
      </c>
      <c r="JB52" s="5">
        <f>ROUND(0.0,2)</f>
        <v/>
      </c>
      <c r="JC52" s="3">
        <f>ROUND(0.0,2)</f>
        <v/>
      </c>
      <c r="JD52" s="3">
        <f>ROUND(0.0,2)</f>
        <v/>
      </c>
      <c r="JE52" s="3">
        <f>ROUND(0.0,2)</f>
        <v/>
      </c>
      <c r="JF52" s="3">
        <f>ROUND(0.0,2)</f>
        <v/>
      </c>
      <c r="JG52" s="3">
        <f>ROUND(0.0,2)</f>
        <v/>
      </c>
      <c r="JH52" s="3">
        <f>ROUND(0.0,2)</f>
        <v/>
      </c>
      <c r="JI52" s="3">
        <f>ROUND(0.0,2)</f>
        <v/>
      </c>
      <c r="JJ52" s="4">
        <f>IFERROR((JD52/JC52),0)</f>
        <v/>
      </c>
      <c r="JK52" s="4">
        <f>IFERROR(((0+JB11+JB12+JB13+JB14+JB15+JB16+JB17+JB19+JB20+JB21+JB22+JB23+JB24+JB25+JB27+JB28+JB29+JB30+JB31+JB32+JB33+JB35+JB36+JB37+JB38+JB39+JB40+JB41+JB43+JB44+JB45+JB46+JB47+JB48+JB49+JB51+JB52)/T2),0)</f>
        <v/>
      </c>
      <c r="JL52" s="5">
        <f>IFERROR(ROUND(JB52/JD52,2),0)</f>
        <v/>
      </c>
      <c r="JM52" s="5">
        <f>IFERROR(ROUND(JB52/JE52,2),0)</f>
        <v/>
      </c>
    </row>
    <row r="53">
      <c r="A53" s="2" t="inlineStr">
        <is>
          <t>2023-10-27</t>
        </is>
      </c>
      <c r="B53" s="5">
        <f>ROUND(0.0,2)</f>
        <v/>
      </c>
      <c r="C53" s="3">
        <f>ROUND(0.0,2)</f>
        <v/>
      </c>
      <c r="D53" s="3">
        <f>ROUND(0.0,2)</f>
        <v/>
      </c>
      <c r="E53" s="3">
        <f>ROUND(0.0,2)</f>
        <v/>
      </c>
      <c r="F53" s="3">
        <f>ROUND(0.0,2)</f>
        <v/>
      </c>
      <c r="G53" s="3">
        <f>ROUND(0.0,2)</f>
        <v/>
      </c>
      <c r="H53" s="3">
        <f>ROUND(0.0,2)</f>
        <v/>
      </c>
      <c r="I53" s="3">
        <f>ROUND(0.0,2)</f>
        <v/>
      </c>
      <c r="J53" s="4">
        <f>IFERROR((D53/C53),0)</f>
        <v/>
      </c>
      <c r="K53" s="4">
        <f>IFERROR(((0+B11+B12+B13+B14+B15+B16+B17+B19+B20+B21+B22+B23+B24+B25+B27+B28+B29+B30+B31+B32+B33+B35+B36+B37+B38+B39+B40+B41+B43+B44+B45+B46+B47+B48+B49+B51+B52+B53)/T2),0)</f>
        <v/>
      </c>
      <c r="L53" s="5">
        <f>IFERROR(ROUND(B53/D53,2),0)</f>
        <v/>
      </c>
      <c r="M53" s="5">
        <f>IFERROR(ROUND(B53/E53,2),0)</f>
        <v/>
      </c>
      <c r="N53" s="2" t="inlineStr">
        <is>
          <t>2023-10-27</t>
        </is>
      </c>
      <c r="O53" s="5">
        <f>ROUND(0.0,2)</f>
        <v/>
      </c>
      <c r="P53" s="3">
        <f>ROUND(0.0,2)</f>
        <v/>
      </c>
      <c r="Q53" s="3">
        <f>ROUND(0.0,2)</f>
        <v/>
      </c>
      <c r="R53" s="3">
        <f>ROUND(0.0,2)</f>
        <v/>
      </c>
      <c r="S53" s="3">
        <f>ROUND(0.0,2)</f>
        <v/>
      </c>
      <c r="T53" s="3">
        <f>ROUND(0.0,2)</f>
        <v/>
      </c>
      <c r="U53" s="3">
        <f>ROUND(0.0,2)</f>
        <v/>
      </c>
      <c r="V53" s="3">
        <f>ROUND(0.0,2)</f>
        <v/>
      </c>
      <c r="W53" s="4">
        <f>IFERROR((Q53/P53),0)</f>
        <v/>
      </c>
      <c r="X53" s="4">
        <f>IFERROR(((0+O11+O12+O13+O14+O15+O16+O17+O19+O20+O21+O22+O23+O24+O25+O27+O28+O29+O30+O31+O32+O33+O35+O36+O37+O38+O39+O40+O41+O43+O44+O45+O46+O47+O48+O49+O51+O52+O53)/T2),0)</f>
        <v/>
      </c>
      <c r="Y53" s="5">
        <f>IFERROR(ROUND(O53/Q53,2),0)</f>
        <v/>
      </c>
      <c r="Z53" s="5">
        <f>IFERROR(ROUND(O53/R53,2),0)</f>
        <v/>
      </c>
      <c r="AA53" s="2" t="inlineStr">
        <is>
          <t>2023-10-27</t>
        </is>
      </c>
      <c r="AB53" s="5">
        <f>ROUND(0.0,2)</f>
        <v/>
      </c>
      <c r="AC53" s="3">
        <f>ROUND(0.0,2)</f>
        <v/>
      </c>
      <c r="AD53" s="3">
        <f>ROUND(0.0,2)</f>
        <v/>
      </c>
      <c r="AE53" s="3">
        <f>ROUND(0.0,2)</f>
        <v/>
      </c>
      <c r="AF53" s="3">
        <f>ROUND(0.0,2)</f>
        <v/>
      </c>
      <c r="AG53" s="3">
        <f>ROUND(0.0,2)</f>
        <v/>
      </c>
      <c r="AH53" s="3">
        <f>ROUND(0.0,2)</f>
        <v/>
      </c>
      <c r="AI53" s="3">
        <f>ROUND(0.0,2)</f>
        <v/>
      </c>
      <c r="AJ53" s="4">
        <f>IFERROR((AD53/AC53),0)</f>
        <v/>
      </c>
      <c r="AK53" s="4">
        <f>IFERROR(((0+AB11+AB12+AB13+AB14+AB15+AB16+AB17+AB19+AB20+AB21+AB22+AB23+AB24+AB25+AB27+AB28+AB29+AB30+AB31+AB32+AB33+AB35+AB36+AB37+AB38+AB39+AB40+AB41+AB43+AB44+AB45+AB46+AB47+AB48+AB49+AB51+AB52+AB53)/T2),0)</f>
        <v/>
      </c>
      <c r="AL53" s="5">
        <f>IFERROR(ROUND(AB53/AD53,2),0)</f>
        <v/>
      </c>
      <c r="AM53" s="5">
        <f>IFERROR(ROUND(AB53/AE53,2),0)</f>
        <v/>
      </c>
      <c r="AN53" s="2" t="inlineStr">
        <is>
          <t>2023-10-27</t>
        </is>
      </c>
      <c r="AO53" s="5">
        <f>ROUND(0.0,2)</f>
        <v/>
      </c>
      <c r="AP53" s="3">
        <f>ROUND(0.0,2)</f>
        <v/>
      </c>
      <c r="AQ53" s="3">
        <f>ROUND(0.0,2)</f>
        <v/>
      </c>
      <c r="AR53" s="3">
        <f>ROUND(0.0,2)</f>
        <v/>
      </c>
      <c r="AS53" s="3">
        <f>ROUND(0.0,2)</f>
        <v/>
      </c>
      <c r="AT53" s="3">
        <f>ROUND(0.0,2)</f>
        <v/>
      </c>
      <c r="AU53" s="3">
        <f>ROUND(0.0,2)</f>
        <v/>
      </c>
      <c r="AV53" s="3">
        <f>ROUND(0.0,2)</f>
        <v/>
      </c>
      <c r="AW53" s="4">
        <f>IFERROR((AQ53/AP53),0)</f>
        <v/>
      </c>
      <c r="AX53" s="4">
        <f>IFERROR(((0+AO11+AO12+AO13+AO14+AO15+AO16+AO17+AO19+AO20+AO21+AO22+AO23+AO24+AO25+AO27+AO28+AO29+AO30+AO31+AO32+AO33+AO35+AO36+AO37+AO38+AO39+AO40+AO41+AO43+AO44+AO45+AO46+AO47+AO48+AO49+AO51+AO52+AO53)/T2),0)</f>
        <v/>
      </c>
      <c r="AY53" s="5">
        <f>IFERROR(ROUND(AO53/AQ53,2),0)</f>
        <v/>
      </c>
      <c r="AZ53" s="5">
        <f>IFERROR(ROUND(AO53/AR53,2),0)</f>
        <v/>
      </c>
      <c r="BA53" s="2" t="inlineStr">
        <is>
          <t>2023-10-27</t>
        </is>
      </c>
      <c r="BB53" s="5">
        <f>ROUND(0.0,2)</f>
        <v/>
      </c>
      <c r="BC53" s="3">
        <f>ROUND(0.0,2)</f>
        <v/>
      </c>
      <c r="BD53" s="3">
        <f>ROUND(0.0,2)</f>
        <v/>
      </c>
      <c r="BE53" s="3">
        <f>ROUND(0.0,2)</f>
        <v/>
      </c>
      <c r="BF53" s="3">
        <f>ROUND(0.0,2)</f>
        <v/>
      </c>
      <c r="BG53" s="3">
        <f>ROUND(0.0,2)</f>
        <v/>
      </c>
      <c r="BH53" s="3">
        <f>ROUND(0.0,2)</f>
        <v/>
      </c>
      <c r="BI53" s="3">
        <f>ROUND(0.0,2)</f>
        <v/>
      </c>
      <c r="BJ53" s="4">
        <f>IFERROR((BD53/BC53),0)</f>
        <v/>
      </c>
      <c r="BK53" s="4">
        <f>IFERROR(((0+BB11+BB12+BB13+BB14+BB15+BB16+BB17+BB19+BB20+BB21+BB22+BB23+BB24+BB25+BB27+BB28+BB29+BB30+BB31+BB32+BB33+BB35+BB36+BB37+BB38+BB39+BB40+BB41+BB43+BB44+BB45+BB46+BB47+BB48+BB49+BB51+BB52+BB53)/T2),0)</f>
        <v/>
      </c>
      <c r="BL53" s="5">
        <f>IFERROR(ROUND(BB53/BD53,2),0)</f>
        <v/>
      </c>
      <c r="BM53" s="5">
        <f>IFERROR(ROUND(BB53/BE53,2),0)</f>
        <v/>
      </c>
      <c r="BN53" s="2" t="inlineStr">
        <is>
          <t>2023-10-27</t>
        </is>
      </c>
      <c r="BO53" s="5">
        <f>ROUND(0.0,2)</f>
        <v/>
      </c>
      <c r="BP53" s="3">
        <f>ROUND(0.0,2)</f>
        <v/>
      </c>
      <c r="BQ53" s="3">
        <f>ROUND(0.0,2)</f>
        <v/>
      </c>
      <c r="BR53" s="3">
        <f>ROUND(0.0,2)</f>
        <v/>
      </c>
      <c r="BS53" s="3">
        <f>ROUND(0.0,2)</f>
        <v/>
      </c>
      <c r="BT53" s="3">
        <f>ROUND(0.0,2)</f>
        <v/>
      </c>
      <c r="BU53" s="3">
        <f>ROUND(0.0,2)</f>
        <v/>
      </c>
      <c r="BV53" s="3">
        <f>ROUND(0.0,2)</f>
        <v/>
      </c>
      <c r="BW53" s="4">
        <f>IFERROR((BQ53/BP53),0)</f>
        <v/>
      </c>
      <c r="BX53" s="4">
        <f>IFERROR(((0+BO11+BO12+BO13+BO14+BO15+BO16+BO17+BO19+BO20+BO21+BO22+BO23+BO24+BO25+BO27+BO28+BO29+BO30+BO31+BO32+BO33+BO35+BO36+BO37+BO38+BO39+BO40+BO41+BO43+BO44+BO45+BO46+BO47+BO48+BO49+BO51+BO52+BO53)/T2),0)</f>
        <v/>
      </c>
      <c r="BY53" s="5">
        <f>IFERROR(ROUND(BO53/BQ53,2),0)</f>
        <v/>
      </c>
      <c r="BZ53" s="5">
        <f>IFERROR(ROUND(BO53/BR53,2),0)</f>
        <v/>
      </c>
      <c r="CA53" s="2" t="inlineStr">
        <is>
          <t>2023-10-27</t>
        </is>
      </c>
      <c r="CB53" s="5">
        <f>ROUND(0.0,2)</f>
        <v/>
      </c>
      <c r="CC53" s="3">
        <f>ROUND(0.0,2)</f>
        <v/>
      </c>
      <c r="CD53" s="3">
        <f>ROUND(0.0,2)</f>
        <v/>
      </c>
      <c r="CE53" s="3">
        <f>ROUND(0.0,2)</f>
        <v/>
      </c>
      <c r="CF53" s="3">
        <f>ROUND(0.0,2)</f>
        <v/>
      </c>
      <c r="CG53" s="3">
        <f>ROUND(0.0,2)</f>
        <v/>
      </c>
      <c r="CH53" s="3">
        <f>ROUND(0.0,2)</f>
        <v/>
      </c>
      <c r="CI53" s="3">
        <f>ROUND(0.0,2)</f>
        <v/>
      </c>
      <c r="CJ53" s="4">
        <f>IFERROR((CD53/CC53),0)</f>
        <v/>
      </c>
      <c r="CK53" s="4">
        <f>IFERROR(((0+CB11+CB12+CB13+CB14+CB15+CB16+CB17+CB19+CB20+CB21+CB22+CB23+CB24+CB25+CB27+CB28+CB29+CB30+CB31+CB32+CB33+CB35+CB36+CB37+CB38+CB39+CB40+CB41+CB43+CB44+CB45+CB46+CB47+CB48+CB49+CB51+CB52+CB53)/T2),0)</f>
        <v/>
      </c>
      <c r="CL53" s="5">
        <f>IFERROR(ROUND(CB53/CD53,2),0)</f>
        <v/>
      </c>
      <c r="CM53" s="5">
        <f>IFERROR(ROUND(CB53/CE53,2),0)</f>
        <v/>
      </c>
      <c r="CN53" s="2" t="inlineStr">
        <is>
          <t>2023-10-27</t>
        </is>
      </c>
      <c r="CO53" s="5">
        <f>ROUND(0.0,2)</f>
        <v/>
      </c>
      <c r="CP53" s="3">
        <f>ROUND(0.0,2)</f>
        <v/>
      </c>
      <c r="CQ53" s="3">
        <f>ROUND(0.0,2)</f>
        <v/>
      </c>
      <c r="CR53" s="3">
        <f>ROUND(0.0,2)</f>
        <v/>
      </c>
      <c r="CS53" s="3">
        <f>ROUND(0.0,2)</f>
        <v/>
      </c>
      <c r="CT53" s="3">
        <f>ROUND(0.0,2)</f>
        <v/>
      </c>
      <c r="CU53" s="3">
        <f>ROUND(0.0,2)</f>
        <v/>
      </c>
      <c r="CV53" s="3">
        <f>ROUND(0.0,2)</f>
        <v/>
      </c>
      <c r="CW53" s="4">
        <f>IFERROR((CQ53/CP53),0)</f>
        <v/>
      </c>
      <c r="CX53" s="4">
        <f>IFERROR(((0+CO11+CO12+CO13+CO14+CO15+CO16+CO17+CO19+CO20+CO21+CO22+CO23+CO24+CO25+CO27+CO28+CO29+CO30+CO31+CO32+CO33+CO35+CO36+CO37+CO38+CO39+CO40+CO41+CO43+CO44+CO45+CO46+CO47+CO48+CO49+CO51+CO52+CO53)/T2),0)</f>
        <v/>
      </c>
      <c r="CY53" s="5">
        <f>IFERROR(ROUND(CO53/CQ53,2),0)</f>
        <v/>
      </c>
      <c r="CZ53" s="5">
        <f>IFERROR(ROUND(CO53/CR53,2),0)</f>
        <v/>
      </c>
      <c r="DA53" s="2" t="inlineStr">
        <is>
          <t>2023-10-27</t>
        </is>
      </c>
      <c r="DB53" s="5">
        <f>ROUND(0.0,2)</f>
        <v/>
      </c>
      <c r="DC53" s="3">
        <f>ROUND(0.0,2)</f>
        <v/>
      </c>
      <c r="DD53" s="3">
        <f>ROUND(0.0,2)</f>
        <v/>
      </c>
      <c r="DE53" s="3">
        <f>ROUND(0.0,2)</f>
        <v/>
      </c>
      <c r="DF53" s="3">
        <f>ROUND(0.0,2)</f>
        <v/>
      </c>
      <c r="DG53" s="3">
        <f>ROUND(0.0,2)</f>
        <v/>
      </c>
      <c r="DH53" s="3">
        <f>ROUND(0.0,2)</f>
        <v/>
      </c>
      <c r="DI53" s="3">
        <f>ROUND(0.0,2)</f>
        <v/>
      </c>
      <c r="DJ53" s="4">
        <f>IFERROR((DD53/DC53),0)</f>
        <v/>
      </c>
      <c r="DK53" s="4">
        <f>IFERROR(((0+DB11+DB12+DB13+DB14+DB15+DB16+DB17+DB19+DB20+DB21+DB22+DB23+DB24+DB25+DB27+DB28+DB29+DB30+DB31+DB32+DB33+DB35+DB36+DB37+DB38+DB39+DB40+DB41+DB43+DB44+DB45+DB46+DB47+DB48+DB49+DB51+DB52+DB53)/T2),0)</f>
        <v/>
      </c>
      <c r="DL53" s="5">
        <f>IFERROR(ROUND(DB53/DD53,2),0)</f>
        <v/>
      </c>
      <c r="DM53" s="5">
        <f>IFERROR(ROUND(DB53/DE53,2),0)</f>
        <v/>
      </c>
      <c r="DN53" s="2" t="inlineStr">
        <is>
          <t>2023-10-27</t>
        </is>
      </c>
      <c r="DO53" s="5">
        <f>ROUND(0.0,2)</f>
        <v/>
      </c>
      <c r="DP53" s="3">
        <f>ROUND(0.0,2)</f>
        <v/>
      </c>
      <c r="DQ53" s="3">
        <f>ROUND(0.0,2)</f>
        <v/>
      </c>
      <c r="DR53" s="3">
        <f>ROUND(0.0,2)</f>
        <v/>
      </c>
      <c r="DS53" s="3">
        <f>ROUND(0.0,2)</f>
        <v/>
      </c>
      <c r="DT53" s="3">
        <f>ROUND(0.0,2)</f>
        <v/>
      </c>
      <c r="DU53" s="3">
        <f>ROUND(0.0,2)</f>
        <v/>
      </c>
      <c r="DV53" s="3">
        <f>ROUND(0.0,2)</f>
        <v/>
      </c>
      <c r="DW53" s="4">
        <f>IFERROR((DQ53/DP53),0)</f>
        <v/>
      </c>
      <c r="DX53" s="4">
        <f>IFERROR(((0+DO11+DO12+DO13+DO14+DO15+DO16+DO17+DO19+DO20+DO21+DO22+DO23+DO24+DO25+DO27+DO28+DO29+DO30+DO31+DO32+DO33+DO35+DO36+DO37+DO38+DO39+DO40+DO41+DO43+DO44+DO45+DO46+DO47+DO48+DO49+DO51+DO52+DO53)/T2),0)</f>
        <v/>
      </c>
      <c r="DY53" s="5">
        <f>IFERROR(ROUND(DO53/DQ53,2),0)</f>
        <v/>
      </c>
      <c r="DZ53" s="5">
        <f>IFERROR(ROUND(DO53/DR53,2),0)</f>
        <v/>
      </c>
      <c r="EA53" s="2" t="inlineStr">
        <is>
          <t>2023-10-27</t>
        </is>
      </c>
      <c r="EB53" s="5">
        <f>ROUND(0.0,2)</f>
        <v/>
      </c>
      <c r="EC53" s="3">
        <f>ROUND(0.0,2)</f>
        <v/>
      </c>
      <c r="ED53" s="3">
        <f>ROUND(0.0,2)</f>
        <v/>
      </c>
      <c r="EE53" s="3">
        <f>ROUND(0.0,2)</f>
        <v/>
      </c>
      <c r="EF53" s="3">
        <f>ROUND(0.0,2)</f>
        <v/>
      </c>
      <c r="EG53" s="3">
        <f>ROUND(0.0,2)</f>
        <v/>
      </c>
      <c r="EH53" s="3">
        <f>ROUND(0.0,2)</f>
        <v/>
      </c>
      <c r="EI53" s="3">
        <f>ROUND(0.0,2)</f>
        <v/>
      </c>
      <c r="EJ53" s="4">
        <f>IFERROR((ED53/EC53),0)</f>
        <v/>
      </c>
      <c r="EK53" s="4">
        <f>IFERROR(((0+EB11+EB12+EB13+EB14+EB15+EB16+EB17+EB19+EB20+EB21+EB22+EB23+EB24+EB25+EB27+EB28+EB29+EB30+EB31+EB32+EB33+EB35+EB36+EB37+EB38+EB39+EB40+EB41+EB43+EB44+EB45+EB46+EB47+EB48+EB49+EB51+EB52+EB53)/T2),0)</f>
        <v/>
      </c>
      <c r="EL53" s="5">
        <f>IFERROR(ROUND(EB53/ED53,2),0)</f>
        <v/>
      </c>
      <c r="EM53" s="5">
        <f>IFERROR(ROUND(EB53/EE53,2),0)</f>
        <v/>
      </c>
      <c r="EN53" s="2" t="inlineStr">
        <is>
          <t>2023-10-27</t>
        </is>
      </c>
      <c r="EO53" s="5">
        <f>ROUND(0.0,2)</f>
        <v/>
      </c>
      <c r="EP53" s="3">
        <f>ROUND(0.0,2)</f>
        <v/>
      </c>
      <c r="EQ53" s="3">
        <f>ROUND(0.0,2)</f>
        <v/>
      </c>
      <c r="ER53" s="3">
        <f>ROUND(0.0,2)</f>
        <v/>
      </c>
      <c r="ES53" s="3">
        <f>ROUND(0.0,2)</f>
        <v/>
      </c>
      <c r="ET53" s="3">
        <f>ROUND(0.0,2)</f>
        <v/>
      </c>
      <c r="EU53" s="3">
        <f>ROUND(0.0,2)</f>
        <v/>
      </c>
      <c r="EV53" s="3">
        <f>ROUND(0.0,2)</f>
        <v/>
      </c>
      <c r="EW53" s="4">
        <f>IFERROR((EQ53/EP53),0)</f>
        <v/>
      </c>
      <c r="EX53" s="4">
        <f>IFERROR(((0+EO11+EO12+EO13+EO14+EO15+EO16+EO17+EO19+EO20+EO21+EO22+EO23+EO24+EO25+EO27+EO28+EO29+EO30+EO31+EO32+EO33+EO35+EO36+EO37+EO38+EO39+EO40+EO41+EO43+EO44+EO45+EO46+EO47+EO48+EO49+EO51+EO52+EO53)/T2),0)</f>
        <v/>
      </c>
      <c r="EY53" s="5">
        <f>IFERROR(ROUND(EO53/EQ53,2),0)</f>
        <v/>
      </c>
      <c r="EZ53" s="5">
        <f>IFERROR(ROUND(EO53/ER53,2),0)</f>
        <v/>
      </c>
      <c r="FA53" s="2" t="inlineStr">
        <is>
          <t>2023-10-27</t>
        </is>
      </c>
      <c r="FB53" s="5">
        <f>ROUND(0.0,2)</f>
        <v/>
      </c>
      <c r="FC53" s="3">
        <f>ROUND(0.0,2)</f>
        <v/>
      </c>
      <c r="FD53" s="3">
        <f>ROUND(0.0,2)</f>
        <v/>
      </c>
      <c r="FE53" s="3">
        <f>ROUND(0.0,2)</f>
        <v/>
      </c>
      <c r="FF53" s="3">
        <f>ROUND(0.0,2)</f>
        <v/>
      </c>
      <c r="FG53" s="3">
        <f>ROUND(0.0,2)</f>
        <v/>
      </c>
      <c r="FH53" s="3">
        <f>ROUND(0.0,2)</f>
        <v/>
      </c>
      <c r="FI53" s="3">
        <f>ROUND(0.0,2)</f>
        <v/>
      </c>
      <c r="FJ53" s="4">
        <f>IFERROR((FD53/FC53),0)</f>
        <v/>
      </c>
      <c r="FK53" s="4">
        <f>IFERROR(((0+FB11+FB12+FB13+FB14+FB15+FB16+FB17+FB19+FB20+FB21+FB22+FB23+FB24+FB25+FB27+FB28+FB29+FB30+FB31+FB32+FB33+FB35+FB36+FB37+FB38+FB39+FB40+FB41+FB43+FB44+FB45+FB46+FB47+FB48+FB49+FB51+FB52+FB53)/T2),0)</f>
        <v/>
      </c>
      <c r="FL53" s="5">
        <f>IFERROR(ROUND(FB53/FD53,2),0)</f>
        <v/>
      </c>
      <c r="FM53" s="5">
        <f>IFERROR(ROUND(FB53/FE53,2),0)</f>
        <v/>
      </c>
      <c r="FN53" s="2" t="inlineStr">
        <is>
          <t>2023-10-27</t>
        </is>
      </c>
      <c r="FO53" s="5">
        <f>ROUND(0.0,2)</f>
        <v/>
      </c>
      <c r="FP53" s="3">
        <f>ROUND(0.0,2)</f>
        <v/>
      </c>
      <c r="FQ53" s="3">
        <f>ROUND(0.0,2)</f>
        <v/>
      </c>
      <c r="FR53" s="3">
        <f>ROUND(0.0,2)</f>
        <v/>
      </c>
      <c r="FS53" s="3">
        <f>ROUND(0.0,2)</f>
        <v/>
      </c>
      <c r="FT53" s="3">
        <f>ROUND(0.0,2)</f>
        <v/>
      </c>
      <c r="FU53" s="3">
        <f>ROUND(0.0,2)</f>
        <v/>
      </c>
      <c r="FV53" s="3">
        <f>ROUND(0.0,2)</f>
        <v/>
      </c>
      <c r="FW53" s="4">
        <f>IFERROR((FQ53/FP53),0)</f>
        <v/>
      </c>
      <c r="FX53" s="4">
        <f>IFERROR(((0+FO11+FO12+FO13+FO14+FO15+FO16+FO17+FO19+FO20+FO21+FO22+FO23+FO24+FO25+FO27+FO28+FO29+FO30+FO31+FO32+FO33+FO35+FO36+FO37+FO38+FO39+FO40+FO41+FO43+FO44+FO45+FO46+FO47+FO48+FO49+FO51+FO52+FO53)/T2),0)</f>
        <v/>
      </c>
      <c r="FY53" s="5">
        <f>IFERROR(ROUND(FO53/FQ53,2),0)</f>
        <v/>
      </c>
      <c r="FZ53" s="5">
        <f>IFERROR(ROUND(FO53/FR53,2),0)</f>
        <v/>
      </c>
      <c r="GA53" s="2" t="inlineStr">
        <is>
          <t>2023-10-27</t>
        </is>
      </c>
      <c r="GB53" s="5">
        <f>ROUND(0.0,2)</f>
        <v/>
      </c>
      <c r="GC53" s="3">
        <f>ROUND(0.0,2)</f>
        <v/>
      </c>
      <c r="GD53" s="3">
        <f>ROUND(0.0,2)</f>
        <v/>
      </c>
      <c r="GE53" s="3">
        <f>ROUND(0.0,2)</f>
        <v/>
      </c>
      <c r="GF53" s="3">
        <f>ROUND(0.0,2)</f>
        <v/>
      </c>
      <c r="GG53" s="3">
        <f>ROUND(0.0,2)</f>
        <v/>
      </c>
      <c r="GH53" s="3">
        <f>ROUND(0.0,2)</f>
        <v/>
      </c>
      <c r="GI53" s="3">
        <f>ROUND(0.0,2)</f>
        <v/>
      </c>
      <c r="GJ53" s="4">
        <f>IFERROR((GD53/GC53),0)</f>
        <v/>
      </c>
      <c r="GK53" s="4">
        <f>IFERROR(((0+GB11+GB12+GB13+GB14+GB15+GB16+GB17+GB19+GB20+GB21+GB22+GB23+GB24+GB25+GB27+GB28+GB29+GB30+GB31+GB32+GB33+GB35+GB36+GB37+GB38+GB39+GB40+GB41+GB43+GB44+GB45+GB46+GB47+GB48+GB49+GB51+GB52+GB53)/T2),0)</f>
        <v/>
      </c>
      <c r="GL53" s="5">
        <f>IFERROR(ROUND(GB53/GD53,2),0)</f>
        <v/>
      </c>
      <c r="GM53" s="5">
        <f>IFERROR(ROUND(GB53/GE53,2),0)</f>
        <v/>
      </c>
      <c r="GN53" s="2" t="inlineStr">
        <is>
          <t>2023-10-27</t>
        </is>
      </c>
      <c r="GO53" s="5">
        <f>ROUND(0.0,2)</f>
        <v/>
      </c>
      <c r="GP53" s="3">
        <f>ROUND(0.0,2)</f>
        <v/>
      </c>
      <c r="GQ53" s="3">
        <f>ROUND(0.0,2)</f>
        <v/>
      </c>
      <c r="GR53" s="3">
        <f>ROUND(0.0,2)</f>
        <v/>
      </c>
      <c r="GS53" s="3">
        <f>ROUND(0.0,2)</f>
        <v/>
      </c>
      <c r="GT53" s="3">
        <f>ROUND(0.0,2)</f>
        <v/>
      </c>
      <c r="GU53" s="3">
        <f>ROUND(0.0,2)</f>
        <v/>
      </c>
      <c r="GV53" s="3">
        <f>ROUND(0.0,2)</f>
        <v/>
      </c>
      <c r="GW53" s="4">
        <f>IFERROR((GQ53/GP53),0)</f>
        <v/>
      </c>
      <c r="GX53" s="4">
        <f>IFERROR(((0+GO11+GO12+GO13+GO14+GO15+GO16+GO17+GO19+GO20+GO21+GO22+GO23+GO24+GO25+GO27+GO28+GO29+GO30+GO31+GO32+GO33+GO35+GO36+GO37+GO38+GO39+GO40+GO41+GO43+GO44+GO45+GO46+GO47+GO48+GO49+GO51+GO52+GO53)/T2),0)</f>
        <v/>
      </c>
      <c r="GY53" s="5">
        <f>IFERROR(ROUND(GO53/GQ53,2),0)</f>
        <v/>
      </c>
      <c r="GZ53" s="5">
        <f>IFERROR(ROUND(GO53/GR53,2),0)</f>
        <v/>
      </c>
      <c r="HA53" s="2" t="inlineStr">
        <is>
          <t>2023-10-27</t>
        </is>
      </c>
      <c r="HB53" s="5">
        <f>ROUND(0.0,2)</f>
        <v/>
      </c>
      <c r="HC53" s="3">
        <f>ROUND(0.0,2)</f>
        <v/>
      </c>
      <c r="HD53" s="3">
        <f>ROUND(0.0,2)</f>
        <v/>
      </c>
      <c r="HE53" s="3">
        <f>ROUND(0.0,2)</f>
        <v/>
      </c>
      <c r="HF53" s="3">
        <f>ROUND(0.0,2)</f>
        <v/>
      </c>
      <c r="HG53" s="3">
        <f>ROUND(0.0,2)</f>
        <v/>
      </c>
      <c r="HH53" s="3">
        <f>ROUND(0.0,2)</f>
        <v/>
      </c>
      <c r="HI53" s="3">
        <f>ROUND(0.0,2)</f>
        <v/>
      </c>
      <c r="HJ53" s="4">
        <f>IFERROR((HD53/HC53),0)</f>
        <v/>
      </c>
      <c r="HK53" s="4">
        <f>IFERROR(((0+HB11+HB12+HB13+HB14+HB15+HB16+HB17+HB19+HB20+HB21+HB22+HB23+HB24+HB25+HB27+HB28+HB29+HB30+HB31+HB32+HB33+HB35+HB36+HB37+HB38+HB39+HB40+HB41+HB43+HB44+HB45+HB46+HB47+HB48+HB49+HB51+HB52+HB53)/T2),0)</f>
        <v/>
      </c>
      <c r="HL53" s="5">
        <f>IFERROR(ROUND(HB53/HD53,2),0)</f>
        <v/>
      </c>
      <c r="HM53" s="5">
        <f>IFERROR(ROUND(HB53/HE53,2),0)</f>
        <v/>
      </c>
      <c r="HN53" s="2" t="inlineStr">
        <is>
          <t>2023-10-27</t>
        </is>
      </c>
      <c r="HO53" s="5">
        <f>ROUND(0.0,2)</f>
        <v/>
      </c>
      <c r="HP53" s="3">
        <f>ROUND(0.0,2)</f>
        <v/>
      </c>
      <c r="HQ53" s="3">
        <f>ROUND(0.0,2)</f>
        <v/>
      </c>
      <c r="HR53" s="3">
        <f>ROUND(0.0,2)</f>
        <v/>
      </c>
      <c r="HS53" s="3">
        <f>ROUND(0.0,2)</f>
        <v/>
      </c>
      <c r="HT53" s="3">
        <f>ROUND(0.0,2)</f>
        <v/>
      </c>
      <c r="HU53" s="3">
        <f>ROUND(0.0,2)</f>
        <v/>
      </c>
      <c r="HV53" s="3">
        <f>ROUND(0.0,2)</f>
        <v/>
      </c>
      <c r="HW53" s="4">
        <f>IFERROR((HQ53/HP53),0)</f>
        <v/>
      </c>
      <c r="HX53" s="4">
        <f>IFERROR(((0+HO11+HO12+HO13+HO14+HO15+HO16+HO17+HO19+HO20+HO21+HO22+HO23+HO24+HO25+HO27+HO28+HO29+HO30+HO31+HO32+HO33+HO35+HO36+HO37+HO38+HO39+HO40+HO41+HO43+HO44+HO45+HO46+HO47+HO48+HO49+HO51+HO52+HO53)/T2),0)</f>
        <v/>
      </c>
      <c r="HY53" s="5">
        <f>IFERROR(ROUND(HO53/HQ53,2),0)</f>
        <v/>
      </c>
      <c r="HZ53" s="5">
        <f>IFERROR(ROUND(HO53/HR53,2),0)</f>
        <v/>
      </c>
      <c r="IA53" s="2" t="inlineStr">
        <is>
          <t>2023-10-27</t>
        </is>
      </c>
      <c r="IB53" s="5">
        <f>ROUND(0.0,2)</f>
        <v/>
      </c>
      <c r="IC53" s="3">
        <f>ROUND(0.0,2)</f>
        <v/>
      </c>
      <c r="ID53" s="3">
        <f>ROUND(0.0,2)</f>
        <v/>
      </c>
      <c r="IE53" s="3">
        <f>ROUND(0.0,2)</f>
        <v/>
      </c>
      <c r="IF53" s="3">
        <f>ROUND(0.0,2)</f>
        <v/>
      </c>
      <c r="IG53" s="3">
        <f>ROUND(0.0,2)</f>
        <v/>
      </c>
      <c r="IH53" s="3">
        <f>ROUND(0.0,2)</f>
        <v/>
      </c>
      <c r="II53" s="3">
        <f>ROUND(0.0,2)</f>
        <v/>
      </c>
      <c r="IJ53" s="4">
        <f>IFERROR((ID53/IC53),0)</f>
        <v/>
      </c>
      <c r="IK53" s="4">
        <f>IFERROR(((0+IB11+IB12+IB13+IB14+IB15+IB16+IB17+IB19+IB20+IB21+IB22+IB23+IB24+IB25+IB27+IB28+IB29+IB30+IB31+IB32+IB33+IB35+IB36+IB37+IB38+IB39+IB40+IB41+IB43+IB44+IB45+IB46+IB47+IB48+IB49+IB51+IB52+IB53)/T2),0)</f>
        <v/>
      </c>
      <c r="IL53" s="5">
        <f>IFERROR(ROUND(IB53/ID53,2),0)</f>
        <v/>
      </c>
      <c r="IM53" s="5">
        <f>IFERROR(ROUND(IB53/IE53,2),0)</f>
        <v/>
      </c>
      <c r="IN53" s="2" t="inlineStr">
        <is>
          <t>2023-10-27</t>
        </is>
      </c>
      <c r="IO53" s="5">
        <f>ROUND(0.0,2)</f>
        <v/>
      </c>
      <c r="IP53" s="3">
        <f>ROUND(0.0,2)</f>
        <v/>
      </c>
      <c r="IQ53" s="3">
        <f>ROUND(0.0,2)</f>
        <v/>
      </c>
      <c r="IR53" s="3">
        <f>ROUND(0.0,2)</f>
        <v/>
      </c>
      <c r="IS53" s="3">
        <f>ROUND(0.0,2)</f>
        <v/>
      </c>
      <c r="IT53" s="3">
        <f>ROUND(0.0,2)</f>
        <v/>
      </c>
      <c r="IU53" s="3">
        <f>ROUND(0.0,2)</f>
        <v/>
      </c>
      <c r="IV53" s="3">
        <f>ROUND(0.0,2)</f>
        <v/>
      </c>
      <c r="IW53" s="4">
        <f>IFERROR((IQ53/IP53),0)</f>
        <v/>
      </c>
      <c r="IX53" s="4">
        <f>IFERROR(((0+IO11+IO12+IO13+IO14+IO15+IO16+IO17+IO19+IO20+IO21+IO22+IO23+IO24+IO25+IO27+IO28+IO29+IO30+IO31+IO32+IO33+IO35+IO36+IO37+IO38+IO39+IO40+IO41+IO43+IO44+IO45+IO46+IO47+IO48+IO49+IO51+IO52+IO53)/T2),0)</f>
        <v/>
      </c>
      <c r="IY53" s="5">
        <f>IFERROR(ROUND(IO53/IQ53,2),0)</f>
        <v/>
      </c>
      <c r="IZ53" s="5">
        <f>IFERROR(ROUND(IO53/IR53,2),0)</f>
        <v/>
      </c>
      <c r="JA53" s="2" t="inlineStr">
        <is>
          <t>2023-10-27</t>
        </is>
      </c>
      <c r="JB53" s="5">
        <f>ROUND(0.0,2)</f>
        <v/>
      </c>
      <c r="JC53" s="3">
        <f>ROUND(0.0,2)</f>
        <v/>
      </c>
      <c r="JD53" s="3">
        <f>ROUND(0.0,2)</f>
        <v/>
      </c>
      <c r="JE53" s="3">
        <f>ROUND(0.0,2)</f>
        <v/>
      </c>
      <c r="JF53" s="3">
        <f>ROUND(0.0,2)</f>
        <v/>
      </c>
      <c r="JG53" s="3">
        <f>ROUND(0.0,2)</f>
        <v/>
      </c>
      <c r="JH53" s="3">
        <f>ROUND(0.0,2)</f>
        <v/>
      </c>
      <c r="JI53" s="3">
        <f>ROUND(0.0,2)</f>
        <v/>
      </c>
      <c r="JJ53" s="4">
        <f>IFERROR((JD53/JC53),0)</f>
        <v/>
      </c>
      <c r="JK53" s="4">
        <f>IFERROR(((0+JB11+JB12+JB13+JB14+JB15+JB16+JB17+JB19+JB20+JB21+JB22+JB23+JB24+JB25+JB27+JB28+JB29+JB30+JB31+JB32+JB33+JB35+JB36+JB37+JB38+JB39+JB40+JB41+JB43+JB44+JB45+JB46+JB47+JB48+JB49+JB51+JB52+JB53)/T2),0)</f>
        <v/>
      </c>
      <c r="JL53" s="5">
        <f>IFERROR(ROUND(JB53/JD53,2),0)</f>
        <v/>
      </c>
      <c r="JM53" s="5">
        <f>IFERROR(ROUND(JB53/JE53,2),0)</f>
        <v/>
      </c>
    </row>
    <row r="54">
      <c r="A54" s="2" t="inlineStr">
        <is>
          <t>2023-10-28</t>
        </is>
      </c>
      <c r="B54" s="5">
        <f>ROUND(0.0,2)</f>
        <v/>
      </c>
      <c r="C54" s="3">
        <f>ROUND(0.0,2)</f>
        <v/>
      </c>
      <c r="D54" s="3">
        <f>ROUND(0.0,2)</f>
        <v/>
      </c>
      <c r="E54" s="3">
        <f>ROUND(0.0,2)</f>
        <v/>
      </c>
      <c r="F54" s="3">
        <f>ROUND(0.0,2)</f>
        <v/>
      </c>
      <c r="G54" s="3">
        <f>ROUND(0.0,2)</f>
        <v/>
      </c>
      <c r="H54" s="3">
        <f>ROUND(0.0,2)</f>
        <v/>
      </c>
      <c r="I54" s="3">
        <f>ROUND(0.0,2)</f>
        <v/>
      </c>
      <c r="J54" s="4">
        <f>IFERROR((D54/C54),0)</f>
        <v/>
      </c>
      <c r="K54" s="4">
        <f>IFERROR(((0+B11+B12+B13+B14+B15+B16+B17+B19+B20+B21+B22+B23+B24+B25+B27+B28+B29+B30+B31+B32+B33+B35+B36+B37+B38+B39+B40+B41+B43+B44+B45+B46+B47+B48+B49+B51+B52+B53+B54)/T2),0)</f>
        <v/>
      </c>
      <c r="L54" s="5">
        <f>IFERROR(ROUND(B54/D54,2),0)</f>
        <v/>
      </c>
      <c r="M54" s="5">
        <f>IFERROR(ROUND(B54/E54,2),0)</f>
        <v/>
      </c>
      <c r="N54" s="2" t="inlineStr">
        <is>
          <t>2023-10-28</t>
        </is>
      </c>
      <c r="O54" s="5">
        <f>ROUND(0.0,2)</f>
        <v/>
      </c>
      <c r="P54" s="3">
        <f>ROUND(0.0,2)</f>
        <v/>
      </c>
      <c r="Q54" s="3">
        <f>ROUND(0.0,2)</f>
        <v/>
      </c>
      <c r="R54" s="3">
        <f>ROUND(0.0,2)</f>
        <v/>
      </c>
      <c r="S54" s="3">
        <f>ROUND(0.0,2)</f>
        <v/>
      </c>
      <c r="T54" s="3">
        <f>ROUND(0.0,2)</f>
        <v/>
      </c>
      <c r="U54" s="3">
        <f>ROUND(0.0,2)</f>
        <v/>
      </c>
      <c r="V54" s="3">
        <f>ROUND(0.0,2)</f>
        <v/>
      </c>
      <c r="W54" s="4">
        <f>IFERROR((Q54/P54),0)</f>
        <v/>
      </c>
      <c r="X54" s="4">
        <f>IFERROR(((0+O11+O12+O13+O14+O15+O16+O17+O19+O20+O21+O22+O23+O24+O25+O27+O28+O29+O30+O31+O32+O33+O35+O36+O37+O38+O39+O40+O41+O43+O44+O45+O46+O47+O48+O49+O51+O52+O53+O54)/T2),0)</f>
        <v/>
      </c>
      <c r="Y54" s="5">
        <f>IFERROR(ROUND(O54/Q54,2),0)</f>
        <v/>
      </c>
      <c r="Z54" s="5">
        <f>IFERROR(ROUND(O54/R54,2),0)</f>
        <v/>
      </c>
      <c r="AA54" s="2" t="inlineStr">
        <is>
          <t>2023-10-28</t>
        </is>
      </c>
      <c r="AB54" s="5">
        <f>ROUND(0.0,2)</f>
        <v/>
      </c>
      <c r="AC54" s="3">
        <f>ROUND(0.0,2)</f>
        <v/>
      </c>
      <c r="AD54" s="3">
        <f>ROUND(0.0,2)</f>
        <v/>
      </c>
      <c r="AE54" s="3">
        <f>ROUND(0.0,2)</f>
        <v/>
      </c>
      <c r="AF54" s="3">
        <f>ROUND(0.0,2)</f>
        <v/>
      </c>
      <c r="AG54" s="3">
        <f>ROUND(0.0,2)</f>
        <v/>
      </c>
      <c r="AH54" s="3">
        <f>ROUND(0.0,2)</f>
        <v/>
      </c>
      <c r="AI54" s="3">
        <f>ROUND(0.0,2)</f>
        <v/>
      </c>
      <c r="AJ54" s="4">
        <f>IFERROR((AD54/AC54),0)</f>
        <v/>
      </c>
      <c r="AK54" s="4">
        <f>IFERROR(((0+AB11+AB12+AB13+AB14+AB15+AB16+AB17+AB19+AB20+AB21+AB22+AB23+AB24+AB25+AB27+AB28+AB29+AB30+AB31+AB32+AB33+AB35+AB36+AB37+AB38+AB39+AB40+AB41+AB43+AB44+AB45+AB46+AB47+AB48+AB49+AB51+AB52+AB53+AB54)/T2),0)</f>
        <v/>
      </c>
      <c r="AL54" s="5">
        <f>IFERROR(ROUND(AB54/AD54,2),0)</f>
        <v/>
      </c>
      <c r="AM54" s="5">
        <f>IFERROR(ROUND(AB54/AE54,2),0)</f>
        <v/>
      </c>
      <c r="AN54" s="2" t="inlineStr">
        <is>
          <t>2023-10-28</t>
        </is>
      </c>
      <c r="AO54" s="5">
        <f>ROUND(0.0,2)</f>
        <v/>
      </c>
      <c r="AP54" s="3">
        <f>ROUND(0.0,2)</f>
        <v/>
      </c>
      <c r="AQ54" s="3">
        <f>ROUND(0.0,2)</f>
        <v/>
      </c>
      <c r="AR54" s="3">
        <f>ROUND(0.0,2)</f>
        <v/>
      </c>
      <c r="AS54" s="3">
        <f>ROUND(0.0,2)</f>
        <v/>
      </c>
      <c r="AT54" s="3">
        <f>ROUND(0.0,2)</f>
        <v/>
      </c>
      <c r="AU54" s="3">
        <f>ROUND(0.0,2)</f>
        <v/>
      </c>
      <c r="AV54" s="3">
        <f>ROUND(0.0,2)</f>
        <v/>
      </c>
      <c r="AW54" s="4">
        <f>IFERROR((AQ54/AP54),0)</f>
        <v/>
      </c>
      <c r="AX54" s="4">
        <f>IFERROR(((0+AO11+AO12+AO13+AO14+AO15+AO16+AO17+AO19+AO20+AO21+AO22+AO23+AO24+AO25+AO27+AO28+AO29+AO30+AO31+AO32+AO33+AO35+AO36+AO37+AO38+AO39+AO40+AO41+AO43+AO44+AO45+AO46+AO47+AO48+AO49+AO51+AO52+AO53+AO54)/T2),0)</f>
        <v/>
      </c>
      <c r="AY54" s="5">
        <f>IFERROR(ROUND(AO54/AQ54,2),0)</f>
        <v/>
      </c>
      <c r="AZ54" s="5">
        <f>IFERROR(ROUND(AO54/AR54,2),0)</f>
        <v/>
      </c>
      <c r="BA54" s="2" t="inlineStr">
        <is>
          <t>2023-10-28</t>
        </is>
      </c>
      <c r="BB54" s="5">
        <f>ROUND(0.0,2)</f>
        <v/>
      </c>
      <c r="BC54" s="3">
        <f>ROUND(0.0,2)</f>
        <v/>
      </c>
      <c r="BD54" s="3">
        <f>ROUND(0.0,2)</f>
        <v/>
      </c>
      <c r="BE54" s="3">
        <f>ROUND(0.0,2)</f>
        <v/>
      </c>
      <c r="BF54" s="3">
        <f>ROUND(0.0,2)</f>
        <v/>
      </c>
      <c r="BG54" s="3">
        <f>ROUND(0.0,2)</f>
        <v/>
      </c>
      <c r="BH54" s="3">
        <f>ROUND(0.0,2)</f>
        <v/>
      </c>
      <c r="BI54" s="3">
        <f>ROUND(0.0,2)</f>
        <v/>
      </c>
      <c r="BJ54" s="4">
        <f>IFERROR((BD54/BC54),0)</f>
        <v/>
      </c>
      <c r="BK54" s="4">
        <f>IFERROR(((0+BB11+BB12+BB13+BB14+BB15+BB16+BB17+BB19+BB20+BB21+BB22+BB23+BB24+BB25+BB27+BB28+BB29+BB30+BB31+BB32+BB33+BB35+BB36+BB37+BB38+BB39+BB40+BB41+BB43+BB44+BB45+BB46+BB47+BB48+BB49+BB51+BB52+BB53+BB54)/T2),0)</f>
        <v/>
      </c>
      <c r="BL54" s="5">
        <f>IFERROR(ROUND(BB54/BD54,2),0)</f>
        <v/>
      </c>
      <c r="BM54" s="5">
        <f>IFERROR(ROUND(BB54/BE54,2),0)</f>
        <v/>
      </c>
      <c r="BN54" s="2" t="inlineStr">
        <is>
          <t>2023-10-28</t>
        </is>
      </c>
      <c r="BO54" s="5">
        <f>ROUND(0.0,2)</f>
        <v/>
      </c>
      <c r="BP54" s="3">
        <f>ROUND(0.0,2)</f>
        <v/>
      </c>
      <c r="BQ54" s="3">
        <f>ROUND(0.0,2)</f>
        <v/>
      </c>
      <c r="BR54" s="3">
        <f>ROUND(0.0,2)</f>
        <v/>
      </c>
      <c r="BS54" s="3">
        <f>ROUND(0.0,2)</f>
        <v/>
      </c>
      <c r="BT54" s="3">
        <f>ROUND(0.0,2)</f>
        <v/>
      </c>
      <c r="BU54" s="3">
        <f>ROUND(0.0,2)</f>
        <v/>
      </c>
      <c r="BV54" s="3">
        <f>ROUND(0.0,2)</f>
        <v/>
      </c>
      <c r="BW54" s="4">
        <f>IFERROR((BQ54/BP54),0)</f>
        <v/>
      </c>
      <c r="BX54" s="4">
        <f>IFERROR(((0+BO11+BO12+BO13+BO14+BO15+BO16+BO17+BO19+BO20+BO21+BO22+BO23+BO24+BO25+BO27+BO28+BO29+BO30+BO31+BO32+BO33+BO35+BO36+BO37+BO38+BO39+BO40+BO41+BO43+BO44+BO45+BO46+BO47+BO48+BO49+BO51+BO52+BO53+BO54)/T2),0)</f>
        <v/>
      </c>
      <c r="BY54" s="5">
        <f>IFERROR(ROUND(BO54/BQ54,2),0)</f>
        <v/>
      </c>
      <c r="BZ54" s="5">
        <f>IFERROR(ROUND(BO54/BR54,2),0)</f>
        <v/>
      </c>
      <c r="CA54" s="2" t="inlineStr">
        <is>
          <t>2023-10-28</t>
        </is>
      </c>
      <c r="CB54" s="5">
        <f>ROUND(0.0,2)</f>
        <v/>
      </c>
      <c r="CC54" s="3">
        <f>ROUND(0.0,2)</f>
        <v/>
      </c>
      <c r="CD54" s="3">
        <f>ROUND(0.0,2)</f>
        <v/>
      </c>
      <c r="CE54" s="3">
        <f>ROUND(0.0,2)</f>
        <v/>
      </c>
      <c r="CF54" s="3">
        <f>ROUND(0.0,2)</f>
        <v/>
      </c>
      <c r="CG54" s="3">
        <f>ROUND(0.0,2)</f>
        <v/>
      </c>
      <c r="CH54" s="3">
        <f>ROUND(0.0,2)</f>
        <v/>
      </c>
      <c r="CI54" s="3">
        <f>ROUND(0.0,2)</f>
        <v/>
      </c>
      <c r="CJ54" s="4">
        <f>IFERROR((CD54/CC54),0)</f>
        <v/>
      </c>
      <c r="CK54" s="4">
        <f>IFERROR(((0+CB11+CB12+CB13+CB14+CB15+CB16+CB17+CB19+CB20+CB21+CB22+CB23+CB24+CB25+CB27+CB28+CB29+CB30+CB31+CB32+CB33+CB35+CB36+CB37+CB38+CB39+CB40+CB41+CB43+CB44+CB45+CB46+CB47+CB48+CB49+CB51+CB52+CB53+CB54)/T2),0)</f>
        <v/>
      </c>
      <c r="CL54" s="5">
        <f>IFERROR(ROUND(CB54/CD54,2),0)</f>
        <v/>
      </c>
      <c r="CM54" s="5">
        <f>IFERROR(ROUND(CB54/CE54,2),0)</f>
        <v/>
      </c>
      <c r="CN54" s="2" t="inlineStr">
        <is>
          <t>2023-10-28</t>
        </is>
      </c>
      <c r="CO54" s="5">
        <f>ROUND(0.0,2)</f>
        <v/>
      </c>
      <c r="CP54" s="3">
        <f>ROUND(0.0,2)</f>
        <v/>
      </c>
      <c r="CQ54" s="3">
        <f>ROUND(0.0,2)</f>
        <v/>
      </c>
      <c r="CR54" s="3">
        <f>ROUND(0.0,2)</f>
        <v/>
      </c>
      <c r="CS54" s="3">
        <f>ROUND(0.0,2)</f>
        <v/>
      </c>
      <c r="CT54" s="3">
        <f>ROUND(0.0,2)</f>
        <v/>
      </c>
      <c r="CU54" s="3">
        <f>ROUND(0.0,2)</f>
        <v/>
      </c>
      <c r="CV54" s="3">
        <f>ROUND(0.0,2)</f>
        <v/>
      </c>
      <c r="CW54" s="4">
        <f>IFERROR((CQ54/CP54),0)</f>
        <v/>
      </c>
      <c r="CX54" s="4">
        <f>IFERROR(((0+CO11+CO12+CO13+CO14+CO15+CO16+CO17+CO19+CO20+CO21+CO22+CO23+CO24+CO25+CO27+CO28+CO29+CO30+CO31+CO32+CO33+CO35+CO36+CO37+CO38+CO39+CO40+CO41+CO43+CO44+CO45+CO46+CO47+CO48+CO49+CO51+CO52+CO53+CO54)/T2),0)</f>
        <v/>
      </c>
      <c r="CY54" s="5">
        <f>IFERROR(ROUND(CO54/CQ54,2),0)</f>
        <v/>
      </c>
      <c r="CZ54" s="5">
        <f>IFERROR(ROUND(CO54/CR54,2),0)</f>
        <v/>
      </c>
      <c r="DA54" s="2" t="inlineStr">
        <is>
          <t>2023-10-28</t>
        </is>
      </c>
      <c r="DB54" s="5">
        <f>ROUND(0.0,2)</f>
        <v/>
      </c>
      <c r="DC54" s="3">
        <f>ROUND(0.0,2)</f>
        <v/>
      </c>
      <c r="DD54" s="3">
        <f>ROUND(0.0,2)</f>
        <v/>
      </c>
      <c r="DE54" s="3">
        <f>ROUND(0.0,2)</f>
        <v/>
      </c>
      <c r="DF54" s="3">
        <f>ROUND(0.0,2)</f>
        <v/>
      </c>
      <c r="DG54" s="3">
        <f>ROUND(0.0,2)</f>
        <v/>
      </c>
      <c r="DH54" s="3">
        <f>ROUND(0.0,2)</f>
        <v/>
      </c>
      <c r="DI54" s="3">
        <f>ROUND(0.0,2)</f>
        <v/>
      </c>
      <c r="DJ54" s="4">
        <f>IFERROR((DD54/DC54),0)</f>
        <v/>
      </c>
      <c r="DK54" s="4">
        <f>IFERROR(((0+DB11+DB12+DB13+DB14+DB15+DB16+DB17+DB19+DB20+DB21+DB22+DB23+DB24+DB25+DB27+DB28+DB29+DB30+DB31+DB32+DB33+DB35+DB36+DB37+DB38+DB39+DB40+DB41+DB43+DB44+DB45+DB46+DB47+DB48+DB49+DB51+DB52+DB53+DB54)/T2),0)</f>
        <v/>
      </c>
      <c r="DL54" s="5">
        <f>IFERROR(ROUND(DB54/DD54,2),0)</f>
        <v/>
      </c>
      <c r="DM54" s="5">
        <f>IFERROR(ROUND(DB54/DE54,2),0)</f>
        <v/>
      </c>
      <c r="DN54" s="2" t="inlineStr">
        <is>
          <t>2023-10-28</t>
        </is>
      </c>
      <c r="DO54" s="5">
        <f>ROUND(0.0,2)</f>
        <v/>
      </c>
      <c r="DP54" s="3">
        <f>ROUND(0.0,2)</f>
        <v/>
      </c>
      <c r="DQ54" s="3">
        <f>ROUND(0.0,2)</f>
        <v/>
      </c>
      <c r="DR54" s="3">
        <f>ROUND(0.0,2)</f>
        <v/>
      </c>
      <c r="DS54" s="3">
        <f>ROUND(0.0,2)</f>
        <v/>
      </c>
      <c r="DT54" s="3">
        <f>ROUND(0.0,2)</f>
        <v/>
      </c>
      <c r="DU54" s="3">
        <f>ROUND(0.0,2)</f>
        <v/>
      </c>
      <c r="DV54" s="3">
        <f>ROUND(0.0,2)</f>
        <v/>
      </c>
      <c r="DW54" s="4">
        <f>IFERROR((DQ54/DP54),0)</f>
        <v/>
      </c>
      <c r="DX54" s="4">
        <f>IFERROR(((0+DO11+DO12+DO13+DO14+DO15+DO16+DO17+DO19+DO20+DO21+DO22+DO23+DO24+DO25+DO27+DO28+DO29+DO30+DO31+DO32+DO33+DO35+DO36+DO37+DO38+DO39+DO40+DO41+DO43+DO44+DO45+DO46+DO47+DO48+DO49+DO51+DO52+DO53+DO54)/T2),0)</f>
        <v/>
      </c>
      <c r="DY54" s="5">
        <f>IFERROR(ROUND(DO54/DQ54,2),0)</f>
        <v/>
      </c>
      <c r="DZ54" s="5">
        <f>IFERROR(ROUND(DO54/DR54,2),0)</f>
        <v/>
      </c>
      <c r="EA54" s="2" t="inlineStr">
        <is>
          <t>2023-10-28</t>
        </is>
      </c>
      <c r="EB54" s="5">
        <f>ROUND(0.0,2)</f>
        <v/>
      </c>
      <c r="EC54" s="3">
        <f>ROUND(0.0,2)</f>
        <v/>
      </c>
      <c r="ED54" s="3">
        <f>ROUND(0.0,2)</f>
        <v/>
      </c>
      <c r="EE54" s="3">
        <f>ROUND(0.0,2)</f>
        <v/>
      </c>
      <c r="EF54" s="3">
        <f>ROUND(0.0,2)</f>
        <v/>
      </c>
      <c r="EG54" s="3">
        <f>ROUND(0.0,2)</f>
        <v/>
      </c>
      <c r="EH54" s="3">
        <f>ROUND(0.0,2)</f>
        <v/>
      </c>
      <c r="EI54" s="3">
        <f>ROUND(0.0,2)</f>
        <v/>
      </c>
      <c r="EJ54" s="4">
        <f>IFERROR((ED54/EC54),0)</f>
        <v/>
      </c>
      <c r="EK54" s="4">
        <f>IFERROR(((0+EB11+EB12+EB13+EB14+EB15+EB16+EB17+EB19+EB20+EB21+EB22+EB23+EB24+EB25+EB27+EB28+EB29+EB30+EB31+EB32+EB33+EB35+EB36+EB37+EB38+EB39+EB40+EB41+EB43+EB44+EB45+EB46+EB47+EB48+EB49+EB51+EB52+EB53+EB54)/T2),0)</f>
        <v/>
      </c>
      <c r="EL54" s="5">
        <f>IFERROR(ROUND(EB54/ED54,2),0)</f>
        <v/>
      </c>
      <c r="EM54" s="5">
        <f>IFERROR(ROUND(EB54/EE54,2),0)</f>
        <v/>
      </c>
      <c r="EN54" s="2" t="inlineStr">
        <is>
          <t>2023-10-28</t>
        </is>
      </c>
      <c r="EO54" s="5">
        <f>ROUND(0.0,2)</f>
        <v/>
      </c>
      <c r="EP54" s="3">
        <f>ROUND(0.0,2)</f>
        <v/>
      </c>
      <c r="EQ54" s="3">
        <f>ROUND(0.0,2)</f>
        <v/>
      </c>
      <c r="ER54" s="3">
        <f>ROUND(0.0,2)</f>
        <v/>
      </c>
      <c r="ES54" s="3">
        <f>ROUND(0.0,2)</f>
        <v/>
      </c>
      <c r="ET54" s="3">
        <f>ROUND(0.0,2)</f>
        <v/>
      </c>
      <c r="EU54" s="3">
        <f>ROUND(0.0,2)</f>
        <v/>
      </c>
      <c r="EV54" s="3">
        <f>ROUND(0.0,2)</f>
        <v/>
      </c>
      <c r="EW54" s="4">
        <f>IFERROR((EQ54/EP54),0)</f>
        <v/>
      </c>
      <c r="EX54" s="4">
        <f>IFERROR(((0+EO11+EO12+EO13+EO14+EO15+EO16+EO17+EO19+EO20+EO21+EO22+EO23+EO24+EO25+EO27+EO28+EO29+EO30+EO31+EO32+EO33+EO35+EO36+EO37+EO38+EO39+EO40+EO41+EO43+EO44+EO45+EO46+EO47+EO48+EO49+EO51+EO52+EO53+EO54)/T2),0)</f>
        <v/>
      </c>
      <c r="EY54" s="5">
        <f>IFERROR(ROUND(EO54/EQ54,2),0)</f>
        <v/>
      </c>
      <c r="EZ54" s="5">
        <f>IFERROR(ROUND(EO54/ER54,2),0)</f>
        <v/>
      </c>
      <c r="FA54" s="2" t="inlineStr">
        <is>
          <t>2023-10-28</t>
        </is>
      </c>
      <c r="FB54" s="5">
        <f>ROUND(0.0,2)</f>
        <v/>
      </c>
      <c r="FC54" s="3">
        <f>ROUND(0.0,2)</f>
        <v/>
      </c>
      <c r="FD54" s="3">
        <f>ROUND(0.0,2)</f>
        <v/>
      </c>
      <c r="FE54" s="3">
        <f>ROUND(0.0,2)</f>
        <v/>
      </c>
      <c r="FF54" s="3">
        <f>ROUND(0.0,2)</f>
        <v/>
      </c>
      <c r="FG54" s="3">
        <f>ROUND(0.0,2)</f>
        <v/>
      </c>
      <c r="FH54" s="3">
        <f>ROUND(0.0,2)</f>
        <v/>
      </c>
      <c r="FI54" s="3">
        <f>ROUND(0.0,2)</f>
        <v/>
      </c>
      <c r="FJ54" s="4">
        <f>IFERROR((FD54/FC54),0)</f>
        <v/>
      </c>
      <c r="FK54" s="4">
        <f>IFERROR(((0+FB11+FB12+FB13+FB14+FB15+FB16+FB17+FB19+FB20+FB21+FB22+FB23+FB24+FB25+FB27+FB28+FB29+FB30+FB31+FB32+FB33+FB35+FB36+FB37+FB38+FB39+FB40+FB41+FB43+FB44+FB45+FB46+FB47+FB48+FB49+FB51+FB52+FB53+FB54)/T2),0)</f>
        <v/>
      </c>
      <c r="FL54" s="5">
        <f>IFERROR(ROUND(FB54/FD54,2),0)</f>
        <v/>
      </c>
      <c r="FM54" s="5">
        <f>IFERROR(ROUND(FB54/FE54,2),0)</f>
        <v/>
      </c>
      <c r="FN54" s="2" t="inlineStr">
        <is>
          <t>2023-10-28</t>
        </is>
      </c>
      <c r="FO54" s="5">
        <f>ROUND(0.0,2)</f>
        <v/>
      </c>
      <c r="FP54" s="3">
        <f>ROUND(0.0,2)</f>
        <v/>
      </c>
      <c r="FQ54" s="3">
        <f>ROUND(0.0,2)</f>
        <v/>
      </c>
      <c r="FR54" s="3">
        <f>ROUND(0.0,2)</f>
        <v/>
      </c>
      <c r="FS54" s="3">
        <f>ROUND(0.0,2)</f>
        <v/>
      </c>
      <c r="FT54" s="3">
        <f>ROUND(0.0,2)</f>
        <v/>
      </c>
      <c r="FU54" s="3">
        <f>ROUND(0.0,2)</f>
        <v/>
      </c>
      <c r="FV54" s="3">
        <f>ROUND(0.0,2)</f>
        <v/>
      </c>
      <c r="FW54" s="4">
        <f>IFERROR((FQ54/FP54),0)</f>
        <v/>
      </c>
      <c r="FX54" s="4">
        <f>IFERROR(((0+FO11+FO12+FO13+FO14+FO15+FO16+FO17+FO19+FO20+FO21+FO22+FO23+FO24+FO25+FO27+FO28+FO29+FO30+FO31+FO32+FO33+FO35+FO36+FO37+FO38+FO39+FO40+FO41+FO43+FO44+FO45+FO46+FO47+FO48+FO49+FO51+FO52+FO53+FO54)/T2),0)</f>
        <v/>
      </c>
      <c r="FY54" s="5">
        <f>IFERROR(ROUND(FO54/FQ54,2),0)</f>
        <v/>
      </c>
      <c r="FZ54" s="5">
        <f>IFERROR(ROUND(FO54/FR54,2),0)</f>
        <v/>
      </c>
      <c r="GA54" s="2" t="inlineStr">
        <is>
          <t>2023-10-28</t>
        </is>
      </c>
      <c r="GB54" s="5">
        <f>ROUND(0.0,2)</f>
        <v/>
      </c>
      <c r="GC54" s="3">
        <f>ROUND(0.0,2)</f>
        <v/>
      </c>
      <c r="GD54" s="3">
        <f>ROUND(0.0,2)</f>
        <v/>
      </c>
      <c r="GE54" s="3">
        <f>ROUND(0.0,2)</f>
        <v/>
      </c>
      <c r="GF54" s="3">
        <f>ROUND(0.0,2)</f>
        <v/>
      </c>
      <c r="GG54" s="3">
        <f>ROUND(0.0,2)</f>
        <v/>
      </c>
      <c r="GH54" s="3">
        <f>ROUND(0.0,2)</f>
        <v/>
      </c>
      <c r="GI54" s="3">
        <f>ROUND(0.0,2)</f>
        <v/>
      </c>
      <c r="GJ54" s="4">
        <f>IFERROR((GD54/GC54),0)</f>
        <v/>
      </c>
      <c r="GK54" s="4">
        <f>IFERROR(((0+GB11+GB12+GB13+GB14+GB15+GB16+GB17+GB19+GB20+GB21+GB22+GB23+GB24+GB25+GB27+GB28+GB29+GB30+GB31+GB32+GB33+GB35+GB36+GB37+GB38+GB39+GB40+GB41+GB43+GB44+GB45+GB46+GB47+GB48+GB49+GB51+GB52+GB53+GB54)/T2),0)</f>
        <v/>
      </c>
      <c r="GL54" s="5">
        <f>IFERROR(ROUND(GB54/GD54,2),0)</f>
        <v/>
      </c>
      <c r="GM54" s="5">
        <f>IFERROR(ROUND(GB54/GE54,2),0)</f>
        <v/>
      </c>
      <c r="GN54" s="2" t="inlineStr">
        <is>
          <t>2023-10-28</t>
        </is>
      </c>
      <c r="GO54" s="5">
        <f>ROUND(0.0,2)</f>
        <v/>
      </c>
      <c r="GP54" s="3">
        <f>ROUND(0.0,2)</f>
        <v/>
      </c>
      <c r="GQ54" s="3">
        <f>ROUND(0.0,2)</f>
        <v/>
      </c>
      <c r="GR54" s="3">
        <f>ROUND(0.0,2)</f>
        <v/>
      </c>
      <c r="GS54" s="3">
        <f>ROUND(0.0,2)</f>
        <v/>
      </c>
      <c r="GT54" s="3">
        <f>ROUND(0.0,2)</f>
        <v/>
      </c>
      <c r="GU54" s="3">
        <f>ROUND(0.0,2)</f>
        <v/>
      </c>
      <c r="GV54" s="3">
        <f>ROUND(0.0,2)</f>
        <v/>
      </c>
      <c r="GW54" s="4">
        <f>IFERROR((GQ54/GP54),0)</f>
        <v/>
      </c>
      <c r="GX54" s="4">
        <f>IFERROR(((0+GO11+GO12+GO13+GO14+GO15+GO16+GO17+GO19+GO20+GO21+GO22+GO23+GO24+GO25+GO27+GO28+GO29+GO30+GO31+GO32+GO33+GO35+GO36+GO37+GO38+GO39+GO40+GO41+GO43+GO44+GO45+GO46+GO47+GO48+GO49+GO51+GO52+GO53+GO54)/T2),0)</f>
        <v/>
      </c>
      <c r="GY54" s="5">
        <f>IFERROR(ROUND(GO54/GQ54,2),0)</f>
        <v/>
      </c>
      <c r="GZ54" s="5">
        <f>IFERROR(ROUND(GO54/GR54,2),0)</f>
        <v/>
      </c>
      <c r="HA54" s="2" t="inlineStr">
        <is>
          <t>2023-10-28</t>
        </is>
      </c>
      <c r="HB54" s="5">
        <f>ROUND(0.0,2)</f>
        <v/>
      </c>
      <c r="HC54" s="3">
        <f>ROUND(0.0,2)</f>
        <v/>
      </c>
      <c r="HD54" s="3">
        <f>ROUND(0.0,2)</f>
        <v/>
      </c>
      <c r="HE54" s="3">
        <f>ROUND(0.0,2)</f>
        <v/>
      </c>
      <c r="HF54" s="3">
        <f>ROUND(0.0,2)</f>
        <v/>
      </c>
      <c r="HG54" s="3">
        <f>ROUND(0.0,2)</f>
        <v/>
      </c>
      <c r="HH54" s="3">
        <f>ROUND(0.0,2)</f>
        <v/>
      </c>
      <c r="HI54" s="3">
        <f>ROUND(0.0,2)</f>
        <v/>
      </c>
      <c r="HJ54" s="4">
        <f>IFERROR((HD54/HC54),0)</f>
        <v/>
      </c>
      <c r="HK54" s="4">
        <f>IFERROR(((0+HB11+HB12+HB13+HB14+HB15+HB16+HB17+HB19+HB20+HB21+HB22+HB23+HB24+HB25+HB27+HB28+HB29+HB30+HB31+HB32+HB33+HB35+HB36+HB37+HB38+HB39+HB40+HB41+HB43+HB44+HB45+HB46+HB47+HB48+HB49+HB51+HB52+HB53+HB54)/T2),0)</f>
        <v/>
      </c>
      <c r="HL54" s="5">
        <f>IFERROR(ROUND(HB54/HD54,2),0)</f>
        <v/>
      </c>
      <c r="HM54" s="5">
        <f>IFERROR(ROUND(HB54/HE54,2),0)</f>
        <v/>
      </c>
      <c r="HN54" s="2" t="inlineStr">
        <is>
          <t>2023-10-28</t>
        </is>
      </c>
      <c r="HO54" s="5">
        <f>ROUND(0.0,2)</f>
        <v/>
      </c>
      <c r="HP54" s="3">
        <f>ROUND(0.0,2)</f>
        <v/>
      </c>
      <c r="HQ54" s="3">
        <f>ROUND(0.0,2)</f>
        <v/>
      </c>
      <c r="HR54" s="3">
        <f>ROUND(0.0,2)</f>
        <v/>
      </c>
      <c r="HS54" s="3">
        <f>ROUND(0.0,2)</f>
        <v/>
      </c>
      <c r="HT54" s="3">
        <f>ROUND(0.0,2)</f>
        <v/>
      </c>
      <c r="HU54" s="3">
        <f>ROUND(0.0,2)</f>
        <v/>
      </c>
      <c r="HV54" s="3">
        <f>ROUND(0.0,2)</f>
        <v/>
      </c>
      <c r="HW54" s="4">
        <f>IFERROR((HQ54/HP54),0)</f>
        <v/>
      </c>
      <c r="HX54" s="4">
        <f>IFERROR(((0+HO11+HO12+HO13+HO14+HO15+HO16+HO17+HO19+HO20+HO21+HO22+HO23+HO24+HO25+HO27+HO28+HO29+HO30+HO31+HO32+HO33+HO35+HO36+HO37+HO38+HO39+HO40+HO41+HO43+HO44+HO45+HO46+HO47+HO48+HO49+HO51+HO52+HO53+HO54)/T2),0)</f>
        <v/>
      </c>
      <c r="HY54" s="5">
        <f>IFERROR(ROUND(HO54/HQ54,2),0)</f>
        <v/>
      </c>
      <c r="HZ54" s="5">
        <f>IFERROR(ROUND(HO54/HR54,2),0)</f>
        <v/>
      </c>
      <c r="IA54" s="2" t="inlineStr">
        <is>
          <t>2023-10-28</t>
        </is>
      </c>
      <c r="IB54" s="5">
        <f>ROUND(0.0,2)</f>
        <v/>
      </c>
      <c r="IC54" s="3">
        <f>ROUND(0.0,2)</f>
        <v/>
      </c>
      <c r="ID54" s="3">
        <f>ROUND(0.0,2)</f>
        <v/>
      </c>
      <c r="IE54" s="3">
        <f>ROUND(0.0,2)</f>
        <v/>
      </c>
      <c r="IF54" s="3">
        <f>ROUND(0.0,2)</f>
        <v/>
      </c>
      <c r="IG54" s="3">
        <f>ROUND(0.0,2)</f>
        <v/>
      </c>
      <c r="IH54" s="3">
        <f>ROUND(0.0,2)</f>
        <v/>
      </c>
      <c r="II54" s="3">
        <f>ROUND(0.0,2)</f>
        <v/>
      </c>
      <c r="IJ54" s="4">
        <f>IFERROR((ID54/IC54),0)</f>
        <v/>
      </c>
      <c r="IK54" s="4">
        <f>IFERROR(((0+IB11+IB12+IB13+IB14+IB15+IB16+IB17+IB19+IB20+IB21+IB22+IB23+IB24+IB25+IB27+IB28+IB29+IB30+IB31+IB32+IB33+IB35+IB36+IB37+IB38+IB39+IB40+IB41+IB43+IB44+IB45+IB46+IB47+IB48+IB49+IB51+IB52+IB53+IB54)/T2),0)</f>
        <v/>
      </c>
      <c r="IL54" s="5">
        <f>IFERROR(ROUND(IB54/ID54,2),0)</f>
        <v/>
      </c>
      <c r="IM54" s="5">
        <f>IFERROR(ROUND(IB54/IE54,2),0)</f>
        <v/>
      </c>
      <c r="IN54" s="2" t="inlineStr">
        <is>
          <t>2023-10-28</t>
        </is>
      </c>
      <c r="IO54" s="5">
        <f>ROUND(0.0,2)</f>
        <v/>
      </c>
      <c r="IP54" s="3">
        <f>ROUND(0.0,2)</f>
        <v/>
      </c>
      <c r="IQ54" s="3">
        <f>ROUND(0.0,2)</f>
        <v/>
      </c>
      <c r="IR54" s="3">
        <f>ROUND(0.0,2)</f>
        <v/>
      </c>
      <c r="IS54" s="3">
        <f>ROUND(0.0,2)</f>
        <v/>
      </c>
      <c r="IT54" s="3">
        <f>ROUND(0.0,2)</f>
        <v/>
      </c>
      <c r="IU54" s="3">
        <f>ROUND(0.0,2)</f>
        <v/>
      </c>
      <c r="IV54" s="3">
        <f>ROUND(0.0,2)</f>
        <v/>
      </c>
      <c r="IW54" s="4">
        <f>IFERROR((IQ54/IP54),0)</f>
        <v/>
      </c>
      <c r="IX54" s="4">
        <f>IFERROR(((0+IO11+IO12+IO13+IO14+IO15+IO16+IO17+IO19+IO20+IO21+IO22+IO23+IO24+IO25+IO27+IO28+IO29+IO30+IO31+IO32+IO33+IO35+IO36+IO37+IO38+IO39+IO40+IO41+IO43+IO44+IO45+IO46+IO47+IO48+IO49+IO51+IO52+IO53+IO54)/T2),0)</f>
        <v/>
      </c>
      <c r="IY54" s="5">
        <f>IFERROR(ROUND(IO54/IQ54,2),0)</f>
        <v/>
      </c>
      <c r="IZ54" s="5">
        <f>IFERROR(ROUND(IO54/IR54,2),0)</f>
        <v/>
      </c>
      <c r="JA54" s="2" t="inlineStr">
        <is>
          <t>2023-10-28</t>
        </is>
      </c>
      <c r="JB54" s="5">
        <f>ROUND(0.0,2)</f>
        <v/>
      </c>
      <c r="JC54" s="3">
        <f>ROUND(0.0,2)</f>
        <v/>
      </c>
      <c r="JD54" s="3">
        <f>ROUND(0.0,2)</f>
        <v/>
      </c>
      <c r="JE54" s="3">
        <f>ROUND(0.0,2)</f>
        <v/>
      </c>
      <c r="JF54" s="3">
        <f>ROUND(0.0,2)</f>
        <v/>
      </c>
      <c r="JG54" s="3">
        <f>ROUND(0.0,2)</f>
        <v/>
      </c>
      <c r="JH54" s="3">
        <f>ROUND(0.0,2)</f>
        <v/>
      </c>
      <c r="JI54" s="3">
        <f>ROUND(0.0,2)</f>
        <v/>
      </c>
      <c r="JJ54" s="4">
        <f>IFERROR((JD54/JC54),0)</f>
        <v/>
      </c>
      <c r="JK54" s="4">
        <f>IFERROR(((0+JB11+JB12+JB13+JB14+JB15+JB16+JB17+JB19+JB20+JB21+JB22+JB23+JB24+JB25+JB27+JB28+JB29+JB30+JB31+JB32+JB33+JB35+JB36+JB37+JB38+JB39+JB40+JB41+JB43+JB44+JB45+JB46+JB47+JB48+JB49+JB51+JB52+JB53+JB54)/T2),0)</f>
        <v/>
      </c>
      <c r="JL54" s="5">
        <f>IFERROR(ROUND(JB54/JD54,2),0)</f>
        <v/>
      </c>
      <c r="JM54" s="5">
        <f>IFERROR(ROUND(JB54/JE54,2),0)</f>
        <v/>
      </c>
    </row>
    <row r="55">
      <c r="A55" s="2" t="inlineStr">
        <is>
          <t>2023-10-29</t>
        </is>
      </c>
      <c r="B55" s="5">
        <f>ROUND(0.0,2)</f>
        <v/>
      </c>
      <c r="C55" s="3">
        <f>ROUND(0.0,2)</f>
        <v/>
      </c>
      <c r="D55" s="3">
        <f>ROUND(0.0,2)</f>
        <v/>
      </c>
      <c r="E55" s="3">
        <f>ROUND(0.0,2)</f>
        <v/>
      </c>
      <c r="F55" s="3">
        <f>ROUND(0.0,2)</f>
        <v/>
      </c>
      <c r="G55" s="3">
        <f>ROUND(0.0,2)</f>
        <v/>
      </c>
      <c r="H55" s="3">
        <f>ROUND(0.0,2)</f>
        <v/>
      </c>
      <c r="I55" s="3">
        <f>ROUND(0.0,2)</f>
        <v/>
      </c>
      <c r="J55" s="4">
        <f>IFERROR((D55/C55),0)</f>
        <v/>
      </c>
      <c r="K55" s="4">
        <f>IFERROR(((0+B11+B12+B13+B14+B15+B16+B17+B19+B20+B21+B22+B23+B24+B25+B27+B28+B29+B30+B31+B32+B33+B35+B36+B37+B38+B39+B40+B41+B43+B44+B45+B46+B47+B48+B49+B51+B52+B53+B54+B55)/T2),0)</f>
        <v/>
      </c>
      <c r="L55" s="5">
        <f>IFERROR(ROUND(B55/D55,2),0)</f>
        <v/>
      </c>
      <c r="M55" s="5">
        <f>IFERROR(ROUND(B55/E55,2),0)</f>
        <v/>
      </c>
      <c r="N55" s="2" t="inlineStr">
        <is>
          <t>2023-10-29</t>
        </is>
      </c>
      <c r="O55" s="5">
        <f>ROUND(0.0,2)</f>
        <v/>
      </c>
      <c r="P55" s="3">
        <f>ROUND(0.0,2)</f>
        <v/>
      </c>
      <c r="Q55" s="3">
        <f>ROUND(0.0,2)</f>
        <v/>
      </c>
      <c r="R55" s="3">
        <f>ROUND(0.0,2)</f>
        <v/>
      </c>
      <c r="S55" s="3">
        <f>ROUND(0.0,2)</f>
        <v/>
      </c>
      <c r="T55" s="3">
        <f>ROUND(0.0,2)</f>
        <v/>
      </c>
      <c r="U55" s="3">
        <f>ROUND(0.0,2)</f>
        <v/>
      </c>
      <c r="V55" s="3">
        <f>ROUND(0.0,2)</f>
        <v/>
      </c>
      <c r="W55" s="4">
        <f>IFERROR((Q55/P55),0)</f>
        <v/>
      </c>
      <c r="X55" s="4">
        <f>IFERROR(((0+O11+O12+O13+O14+O15+O16+O17+O19+O20+O21+O22+O23+O24+O25+O27+O28+O29+O30+O31+O32+O33+O35+O36+O37+O38+O39+O40+O41+O43+O44+O45+O46+O47+O48+O49+O51+O52+O53+O54+O55)/T2),0)</f>
        <v/>
      </c>
      <c r="Y55" s="5">
        <f>IFERROR(ROUND(O55/Q55,2),0)</f>
        <v/>
      </c>
      <c r="Z55" s="5">
        <f>IFERROR(ROUND(O55/R55,2),0)</f>
        <v/>
      </c>
      <c r="AA55" s="2" t="inlineStr">
        <is>
          <t>2023-10-29</t>
        </is>
      </c>
      <c r="AB55" s="5">
        <f>ROUND(0.0,2)</f>
        <v/>
      </c>
      <c r="AC55" s="3">
        <f>ROUND(0.0,2)</f>
        <v/>
      </c>
      <c r="AD55" s="3">
        <f>ROUND(0.0,2)</f>
        <v/>
      </c>
      <c r="AE55" s="3">
        <f>ROUND(0.0,2)</f>
        <v/>
      </c>
      <c r="AF55" s="3">
        <f>ROUND(0.0,2)</f>
        <v/>
      </c>
      <c r="AG55" s="3">
        <f>ROUND(0.0,2)</f>
        <v/>
      </c>
      <c r="AH55" s="3">
        <f>ROUND(0.0,2)</f>
        <v/>
      </c>
      <c r="AI55" s="3">
        <f>ROUND(0.0,2)</f>
        <v/>
      </c>
      <c r="AJ55" s="4">
        <f>IFERROR((AD55/AC55),0)</f>
        <v/>
      </c>
      <c r="AK55" s="4">
        <f>IFERROR(((0+AB11+AB12+AB13+AB14+AB15+AB16+AB17+AB19+AB20+AB21+AB22+AB23+AB24+AB25+AB27+AB28+AB29+AB30+AB31+AB32+AB33+AB35+AB36+AB37+AB38+AB39+AB40+AB41+AB43+AB44+AB45+AB46+AB47+AB48+AB49+AB51+AB52+AB53+AB54+AB55)/T2),0)</f>
        <v/>
      </c>
      <c r="AL55" s="5">
        <f>IFERROR(ROUND(AB55/AD55,2),0)</f>
        <v/>
      </c>
      <c r="AM55" s="5">
        <f>IFERROR(ROUND(AB55/AE55,2),0)</f>
        <v/>
      </c>
      <c r="AN55" s="2" t="inlineStr">
        <is>
          <t>2023-10-29</t>
        </is>
      </c>
      <c r="AO55" s="5">
        <f>ROUND(0.0,2)</f>
        <v/>
      </c>
      <c r="AP55" s="3">
        <f>ROUND(0.0,2)</f>
        <v/>
      </c>
      <c r="AQ55" s="3">
        <f>ROUND(0.0,2)</f>
        <v/>
      </c>
      <c r="AR55" s="3">
        <f>ROUND(0.0,2)</f>
        <v/>
      </c>
      <c r="AS55" s="3">
        <f>ROUND(0.0,2)</f>
        <v/>
      </c>
      <c r="AT55" s="3">
        <f>ROUND(0.0,2)</f>
        <v/>
      </c>
      <c r="AU55" s="3">
        <f>ROUND(0.0,2)</f>
        <v/>
      </c>
      <c r="AV55" s="3">
        <f>ROUND(0.0,2)</f>
        <v/>
      </c>
      <c r="AW55" s="4">
        <f>IFERROR((AQ55/AP55),0)</f>
        <v/>
      </c>
      <c r="AX55" s="4">
        <f>IFERROR(((0+AO11+AO12+AO13+AO14+AO15+AO16+AO17+AO19+AO20+AO21+AO22+AO23+AO24+AO25+AO27+AO28+AO29+AO30+AO31+AO32+AO33+AO35+AO36+AO37+AO38+AO39+AO40+AO41+AO43+AO44+AO45+AO46+AO47+AO48+AO49+AO51+AO52+AO53+AO54+AO55)/T2),0)</f>
        <v/>
      </c>
      <c r="AY55" s="5">
        <f>IFERROR(ROUND(AO55/AQ55,2),0)</f>
        <v/>
      </c>
      <c r="AZ55" s="5">
        <f>IFERROR(ROUND(AO55/AR55,2),0)</f>
        <v/>
      </c>
      <c r="BA55" s="2" t="inlineStr">
        <is>
          <t>2023-10-29</t>
        </is>
      </c>
      <c r="BB55" s="5">
        <f>ROUND(0.0,2)</f>
        <v/>
      </c>
      <c r="BC55" s="3">
        <f>ROUND(0.0,2)</f>
        <v/>
      </c>
      <c r="BD55" s="3">
        <f>ROUND(0.0,2)</f>
        <v/>
      </c>
      <c r="BE55" s="3">
        <f>ROUND(0.0,2)</f>
        <v/>
      </c>
      <c r="BF55" s="3">
        <f>ROUND(0.0,2)</f>
        <v/>
      </c>
      <c r="BG55" s="3">
        <f>ROUND(0.0,2)</f>
        <v/>
      </c>
      <c r="BH55" s="3">
        <f>ROUND(0.0,2)</f>
        <v/>
      </c>
      <c r="BI55" s="3">
        <f>ROUND(0.0,2)</f>
        <v/>
      </c>
      <c r="BJ55" s="4">
        <f>IFERROR((BD55/BC55),0)</f>
        <v/>
      </c>
      <c r="BK55" s="4">
        <f>IFERROR(((0+BB11+BB12+BB13+BB14+BB15+BB16+BB17+BB19+BB20+BB21+BB22+BB23+BB24+BB25+BB27+BB28+BB29+BB30+BB31+BB32+BB33+BB35+BB36+BB37+BB38+BB39+BB40+BB41+BB43+BB44+BB45+BB46+BB47+BB48+BB49+BB51+BB52+BB53+BB54+BB55)/T2),0)</f>
        <v/>
      </c>
      <c r="BL55" s="5">
        <f>IFERROR(ROUND(BB55/BD55,2),0)</f>
        <v/>
      </c>
      <c r="BM55" s="5">
        <f>IFERROR(ROUND(BB55/BE55,2),0)</f>
        <v/>
      </c>
      <c r="BN55" s="2" t="inlineStr">
        <is>
          <t>2023-10-29</t>
        </is>
      </c>
      <c r="BO55" s="5">
        <f>ROUND(0.0,2)</f>
        <v/>
      </c>
      <c r="BP55" s="3">
        <f>ROUND(0.0,2)</f>
        <v/>
      </c>
      <c r="BQ55" s="3">
        <f>ROUND(0.0,2)</f>
        <v/>
      </c>
      <c r="BR55" s="3">
        <f>ROUND(0.0,2)</f>
        <v/>
      </c>
      <c r="BS55" s="3">
        <f>ROUND(0.0,2)</f>
        <v/>
      </c>
      <c r="BT55" s="3">
        <f>ROUND(0.0,2)</f>
        <v/>
      </c>
      <c r="BU55" s="3">
        <f>ROUND(0.0,2)</f>
        <v/>
      </c>
      <c r="BV55" s="3">
        <f>ROUND(0.0,2)</f>
        <v/>
      </c>
      <c r="BW55" s="4">
        <f>IFERROR((BQ55/BP55),0)</f>
        <v/>
      </c>
      <c r="BX55" s="4">
        <f>IFERROR(((0+BO11+BO12+BO13+BO14+BO15+BO16+BO17+BO19+BO20+BO21+BO22+BO23+BO24+BO25+BO27+BO28+BO29+BO30+BO31+BO32+BO33+BO35+BO36+BO37+BO38+BO39+BO40+BO41+BO43+BO44+BO45+BO46+BO47+BO48+BO49+BO51+BO52+BO53+BO54+BO55)/T2),0)</f>
        <v/>
      </c>
      <c r="BY55" s="5">
        <f>IFERROR(ROUND(BO55/BQ55,2),0)</f>
        <v/>
      </c>
      <c r="BZ55" s="5">
        <f>IFERROR(ROUND(BO55/BR55,2),0)</f>
        <v/>
      </c>
      <c r="CA55" s="2" t="inlineStr">
        <is>
          <t>2023-10-29</t>
        </is>
      </c>
      <c r="CB55" s="5">
        <f>ROUND(0.0,2)</f>
        <v/>
      </c>
      <c r="CC55" s="3">
        <f>ROUND(0.0,2)</f>
        <v/>
      </c>
      <c r="CD55" s="3">
        <f>ROUND(0.0,2)</f>
        <v/>
      </c>
      <c r="CE55" s="3">
        <f>ROUND(0.0,2)</f>
        <v/>
      </c>
      <c r="CF55" s="3">
        <f>ROUND(0.0,2)</f>
        <v/>
      </c>
      <c r="CG55" s="3">
        <f>ROUND(0.0,2)</f>
        <v/>
      </c>
      <c r="CH55" s="3">
        <f>ROUND(0.0,2)</f>
        <v/>
      </c>
      <c r="CI55" s="3">
        <f>ROUND(0.0,2)</f>
        <v/>
      </c>
      <c r="CJ55" s="4">
        <f>IFERROR((CD55/CC55),0)</f>
        <v/>
      </c>
      <c r="CK55" s="4">
        <f>IFERROR(((0+CB11+CB12+CB13+CB14+CB15+CB16+CB17+CB19+CB20+CB21+CB22+CB23+CB24+CB25+CB27+CB28+CB29+CB30+CB31+CB32+CB33+CB35+CB36+CB37+CB38+CB39+CB40+CB41+CB43+CB44+CB45+CB46+CB47+CB48+CB49+CB51+CB52+CB53+CB54+CB55)/T2),0)</f>
        <v/>
      </c>
      <c r="CL55" s="5">
        <f>IFERROR(ROUND(CB55/CD55,2),0)</f>
        <v/>
      </c>
      <c r="CM55" s="5">
        <f>IFERROR(ROUND(CB55/CE55,2),0)</f>
        <v/>
      </c>
      <c r="CN55" s="2" t="inlineStr">
        <is>
          <t>2023-10-29</t>
        </is>
      </c>
      <c r="CO55" s="5">
        <f>ROUND(0.0,2)</f>
        <v/>
      </c>
      <c r="CP55" s="3">
        <f>ROUND(0.0,2)</f>
        <v/>
      </c>
      <c r="CQ55" s="3">
        <f>ROUND(0.0,2)</f>
        <v/>
      </c>
      <c r="CR55" s="3">
        <f>ROUND(0.0,2)</f>
        <v/>
      </c>
      <c r="CS55" s="3">
        <f>ROUND(0.0,2)</f>
        <v/>
      </c>
      <c r="CT55" s="3">
        <f>ROUND(0.0,2)</f>
        <v/>
      </c>
      <c r="CU55" s="3">
        <f>ROUND(0.0,2)</f>
        <v/>
      </c>
      <c r="CV55" s="3">
        <f>ROUND(0.0,2)</f>
        <v/>
      </c>
      <c r="CW55" s="4">
        <f>IFERROR((CQ55/CP55),0)</f>
        <v/>
      </c>
      <c r="CX55" s="4">
        <f>IFERROR(((0+CO11+CO12+CO13+CO14+CO15+CO16+CO17+CO19+CO20+CO21+CO22+CO23+CO24+CO25+CO27+CO28+CO29+CO30+CO31+CO32+CO33+CO35+CO36+CO37+CO38+CO39+CO40+CO41+CO43+CO44+CO45+CO46+CO47+CO48+CO49+CO51+CO52+CO53+CO54+CO55)/T2),0)</f>
        <v/>
      </c>
      <c r="CY55" s="5">
        <f>IFERROR(ROUND(CO55/CQ55,2),0)</f>
        <v/>
      </c>
      <c r="CZ55" s="5">
        <f>IFERROR(ROUND(CO55/CR55,2),0)</f>
        <v/>
      </c>
      <c r="DA55" s="2" t="inlineStr">
        <is>
          <t>2023-10-29</t>
        </is>
      </c>
      <c r="DB55" s="5">
        <f>ROUND(0.0,2)</f>
        <v/>
      </c>
      <c r="DC55" s="3">
        <f>ROUND(0.0,2)</f>
        <v/>
      </c>
      <c r="DD55" s="3">
        <f>ROUND(0.0,2)</f>
        <v/>
      </c>
      <c r="DE55" s="3">
        <f>ROUND(0.0,2)</f>
        <v/>
      </c>
      <c r="DF55" s="3">
        <f>ROUND(0.0,2)</f>
        <v/>
      </c>
      <c r="DG55" s="3">
        <f>ROUND(0.0,2)</f>
        <v/>
      </c>
      <c r="DH55" s="3">
        <f>ROUND(0.0,2)</f>
        <v/>
      </c>
      <c r="DI55" s="3">
        <f>ROUND(0.0,2)</f>
        <v/>
      </c>
      <c r="DJ55" s="4">
        <f>IFERROR((DD55/DC55),0)</f>
        <v/>
      </c>
      <c r="DK55" s="4">
        <f>IFERROR(((0+DB11+DB12+DB13+DB14+DB15+DB16+DB17+DB19+DB20+DB21+DB22+DB23+DB24+DB25+DB27+DB28+DB29+DB30+DB31+DB32+DB33+DB35+DB36+DB37+DB38+DB39+DB40+DB41+DB43+DB44+DB45+DB46+DB47+DB48+DB49+DB51+DB52+DB53+DB54+DB55)/T2),0)</f>
        <v/>
      </c>
      <c r="DL55" s="5">
        <f>IFERROR(ROUND(DB55/DD55,2),0)</f>
        <v/>
      </c>
      <c r="DM55" s="5">
        <f>IFERROR(ROUND(DB55/DE55,2),0)</f>
        <v/>
      </c>
      <c r="DN55" s="2" t="inlineStr">
        <is>
          <t>2023-10-29</t>
        </is>
      </c>
      <c r="DO55" s="5">
        <f>ROUND(0.0,2)</f>
        <v/>
      </c>
      <c r="DP55" s="3">
        <f>ROUND(0.0,2)</f>
        <v/>
      </c>
      <c r="DQ55" s="3">
        <f>ROUND(0.0,2)</f>
        <v/>
      </c>
      <c r="DR55" s="3">
        <f>ROUND(0.0,2)</f>
        <v/>
      </c>
      <c r="DS55" s="3">
        <f>ROUND(0.0,2)</f>
        <v/>
      </c>
      <c r="DT55" s="3">
        <f>ROUND(0.0,2)</f>
        <v/>
      </c>
      <c r="DU55" s="3">
        <f>ROUND(0.0,2)</f>
        <v/>
      </c>
      <c r="DV55" s="3">
        <f>ROUND(0.0,2)</f>
        <v/>
      </c>
      <c r="DW55" s="4">
        <f>IFERROR((DQ55/DP55),0)</f>
        <v/>
      </c>
      <c r="DX55" s="4">
        <f>IFERROR(((0+DO11+DO12+DO13+DO14+DO15+DO16+DO17+DO19+DO20+DO21+DO22+DO23+DO24+DO25+DO27+DO28+DO29+DO30+DO31+DO32+DO33+DO35+DO36+DO37+DO38+DO39+DO40+DO41+DO43+DO44+DO45+DO46+DO47+DO48+DO49+DO51+DO52+DO53+DO54+DO55)/T2),0)</f>
        <v/>
      </c>
      <c r="DY55" s="5">
        <f>IFERROR(ROUND(DO55/DQ55,2),0)</f>
        <v/>
      </c>
      <c r="DZ55" s="5">
        <f>IFERROR(ROUND(DO55/DR55,2),0)</f>
        <v/>
      </c>
      <c r="EA55" s="2" t="inlineStr">
        <is>
          <t>2023-10-29</t>
        </is>
      </c>
      <c r="EB55" s="5">
        <f>ROUND(0.0,2)</f>
        <v/>
      </c>
      <c r="EC55" s="3">
        <f>ROUND(0.0,2)</f>
        <v/>
      </c>
      <c r="ED55" s="3">
        <f>ROUND(0.0,2)</f>
        <v/>
      </c>
      <c r="EE55" s="3">
        <f>ROUND(0.0,2)</f>
        <v/>
      </c>
      <c r="EF55" s="3">
        <f>ROUND(0.0,2)</f>
        <v/>
      </c>
      <c r="EG55" s="3">
        <f>ROUND(0.0,2)</f>
        <v/>
      </c>
      <c r="EH55" s="3">
        <f>ROUND(0.0,2)</f>
        <v/>
      </c>
      <c r="EI55" s="3">
        <f>ROUND(0.0,2)</f>
        <v/>
      </c>
      <c r="EJ55" s="4">
        <f>IFERROR((ED55/EC55),0)</f>
        <v/>
      </c>
      <c r="EK55" s="4">
        <f>IFERROR(((0+EB11+EB12+EB13+EB14+EB15+EB16+EB17+EB19+EB20+EB21+EB22+EB23+EB24+EB25+EB27+EB28+EB29+EB30+EB31+EB32+EB33+EB35+EB36+EB37+EB38+EB39+EB40+EB41+EB43+EB44+EB45+EB46+EB47+EB48+EB49+EB51+EB52+EB53+EB54+EB55)/T2),0)</f>
        <v/>
      </c>
      <c r="EL55" s="5">
        <f>IFERROR(ROUND(EB55/ED55,2),0)</f>
        <v/>
      </c>
      <c r="EM55" s="5">
        <f>IFERROR(ROUND(EB55/EE55,2),0)</f>
        <v/>
      </c>
      <c r="EN55" s="2" t="inlineStr">
        <is>
          <t>2023-10-29</t>
        </is>
      </c>
      <c r="EO55" s="5">
        <f>ROUND(0.0,2)</f>
        <v/>
      </c>
      <c r="EP55" s="3">
        <f>ROUND(0.0,2)</f>
        <v/>
      </c>
      <c r="EQ55" s="3">
        <f>ROUND(0.0,2)</f>
        <v/>
      </c>
      <c r="ER55" s="3">
        <f>ROUND(0.0,2)</f>
        <v/>
      </c>
      <c r="ES55" s="3">
        <f>ROUND(0.0,2)</f>
        <v/>
      </c>
      <c r="ET55" s="3">
        <f>ROUND(0.0,2)</f>
        <v/>
      </c>
      <c r="EU55" s="3">
        <f>ROUND(0.0,2)</f>
        <v/>
      </c>
      <c r="EV55" s="3">
        <f>ROUND(0.0,2)</f>
        <v/>
      </c>
      <c r="EW55" s="4">
        <f>IFERROR((EQ55/EP55),0)</f>
        <v/>
      </c>
      <c r="EX55" s="4">
        <f>IFERROR(((0+EO11+EO12+EO13+EO14+EO15+EO16+EO17+EO19+EO20+EO21+EO22+EO23+EO24+EO25+EO27+EO28+EO29+EO30+EO31+EO32+EO33+EO35+EO36+EO37+EO38+EO39+EO40+EO41+EO43+EO44+EO45+EO46+EO47+EO48+EO49+EO51+EO52+EO53+EO54+EO55)/T2),0)</f>
        <v/>
      </c>
      <c r="EY55" s="5">
        <f>IFERROR(ROUND(EO55/EQ55,2),0)</f>
        <v/>
      </c>
      <c r="EZ55" s="5">
        <f>IFERROR(ROUND(EO55/ER55,2),0)</f>
        <v/>
      </c>
      <c r="FA55" s="2" t="inlineStr">
        <is>
          <t>2023-10-29</t>
        </is>
      </c>
      <c r="FB55" s="5">
        <f>ROUND(0.0,2)</f>
        <v/>
      </c>
      <c r="FC55" s="3">
        <f>ROUND(0.0,2)</f>
        <v/>
      </c>
      <c r="FD55" s="3">
        <f>ROUND(0.0,2)</f>
        <v/>
      </c>
      <c r="FE55" s="3">
        <f>ROUND(0.0,2)</f>
        <v/>
      </c>
      <c r="FF55" s="3">
        <f>ROUND(0.0,2)</f>
        <v/>
      </c>
      <c r="FG55" s="3">
        <f>ROUND(0.0,2)</f>
        <v/>
      </c>
      <c r="FH55" s="3">
        <f>ROUND(0.0,2)</f>
        <v/>
      </c>
      <c r="FI55" s="3">
        <f>ROUND(0.0,2)</f>
        <v/>
      </c>
      <c r="FJ55" s="4">
        <f>IFERROR((FD55/FC55),0)</f>
        <v/>
      </c>
      <c r="FK55" s="4">
        <f>IFERROR(((0+FB11+FB12+FB13+FB14+FB15+FB16+FB17+FB19+FB20+FB21+FB22+FB23+FB24+FB25+FB27+FB28+FB29+FB30+FB31+FB32+FB33+FB35+FB36+FB37+FB38+FB39+FB40+FB41+FB43+FB44+FB45+FB46+FB47+FB48+FB49+FB51+FB52+FB53+FB54+FB55)/T2),0)</f>
        <v/>
      </c>
      <c r="FL55" s="5">
        <f>IFERROR(ROUND(FB55/FD55,2),0)</f>
        <v/>
      </c>
      <c r="FM55" s="5">
        <f>IFERROR(ROUND(FB55/FE55,2),0)</f>
        <v/>
      </c>
      <c r="FN55" s="2" t="inlineStr">
        <is>
          <t>2023-10-29</t>
        </is>
      </c>
      <c r="FO55" s="5">
        <f>ROUND(0.0,2)</f>
        <v/>
      </c>
      <c r="FP55" s="3">
        <f>ROUND(0.0,2)</f>
        <v/>
      </c>
      <c r="FQ55" s="3">
        <f>ROUND(0.0,2)</f>
        <v/>
      </c>
      <c r="FR55" s="3">
        <f>ROUND(0.0,2)</f>
        <v/>
      </c>
      <c r="FS55" s="3">
        <f>ROUND(0.0,2)</f>
        <v/>
      </c>
      <c r="FT55" s="3">
        <f>ROUND(0.0,2)</f>
        <v/>
      </c>
      <c r="FU55" s="3">
        <f>ROUND(0.0,2)</f>
        <v/>
      </c>
      <c r="FV55" s="3">
        <f>ROUND(0.0,2)</f>
        <v/>
      </c>
      <c r="FW55" s="4">
        <f>IFERROR((FQ55/FP55),0)</f>
        <v/>
      </c>
      <c r="FX55" s="4">
        <f>IFERROR(((0+FO11+FO12+FO13+FO14+FO15+FO16+FO17+FO19+FO20+FO21+FO22+FO23+FO24+FO25+FO27+FO28+FO29+FO30+FO31+FO32+FO33+FO35+FO36+FO37+FO38+FO39+FO40+FO41+FO43+FO44+FO45+FO46+FO47+FO48+FO49+FO51+FO52+FO53+FO54+FO55)/T2),0)</f>
        <v/>
      </c>
      <c r="FY55" s="5">
        <f>IFERROR(ROUND(FO55/FQ55,2),0)</f>
        <v/>
      </c>
      <c r="FZ55" s="5">
        <f>IFERROR(ROUND(FO55/FR55,2),0)</f>
        <v/>
      </c>
      <c r="GA55" s="2" t="inlineStr">
        <is>
          <t>2023-10-29</t>
        </is>
      </c>
      <c r="GB55" s="5">
        <f>ROUND(0.0,2)</f>
        <v/>
      </c>
      <c r="GC55" s="3">
        <f>ROUND(0.0,2)</f>
        <v/>
      </c>
      <c r="GD55" s="3">
        <f>ROUND(0.0,2)</f>
        <v/>
      </c>
      <c r="GE55" s="3">
        <f>ROUND(0.0,2)</f>
        <v/>
      </c>
      <c r="GF55" s="3">
        <f>ROUND(0.0,2)</f>
        <v/>
      </c>
      <c r="GG55" s="3">
        <f>ROUND(0.0,2)</f>
        <v/>
      </c>
      <c r="GH55" s="3">
        <f>ROUND(0.0,2)</f>
        <v/>
      </c>
      <c r="GI55" s="3">
        <f>ROUND(0.0,2)</f>
        <v/>
      </c>
      <c r="GJ55" s="4">
        <f>IFERROR((GD55/GC55),0)</f>
        <v/>
      </c>
      <c r="GK55" s="4">
        <f>IFERROR(((0+GB11+GB12+GB13+GB14+GB15+GB16+GB17+GB19+GB20+GB21+GB22+GB23+GB24+GB25+GB27+GB28+GB29+GB30+GB31+GB32+GB33+GB35+GB36+GB37+GB38+GB39+GB40+GB41+GB43+GB44+GB45+GB46+GB47+GB48+GB49+GB51+GB52+GB53+GB54+GB55)/T2),0)</f>
        <v/>
      </c>
      <c r="GL55" s="5">
        <f>IFERROR(ROUND(GB55/GD55,2),0)</f>
        <v/>
      </c>
      <c r="GM55" s="5">
        <f>IFERROR(ROUND(GB55/GE55,2),0)</f>
        <v/>
      </c>
      <c r="GN55" s="2" t="inlineStr">
        <is>
          <t>2023-10-29</t>
        </is>
      </c>
      <c r="GO55" s="5">
        <f>ROUND(0.0,2)</f>
        <v/>
      </c>
      <c r="GP55" s="3">
        <f>ROUND(0.0,2)</f>
        <v/>
      </c>
      <c r="GQ55" s="3">
        <f>ROUND(0.0,2)</f>
        <v/>
      </c>
      <c r="GR55" s="3">
        <f>ROUND(0.0,2)</f>
        <v/>
      </c>
      <c r="GS55" s="3">
        <f>ROUND(0.0,2)</f>
        <v/>
      </c>
      <c r="GT55" s="3">
        <f>ROUND(0.0,2)</f>
        <v/>
      </c>
      <c r="GU55" s="3">
        <f>ROUND(0.0,2)</f>
        <v/>
      </c>
      <c r="GV55" s="3">
        <f>ROUND(0.0,2)</f>
        <v/>
      </c>
      <c r="GW55" s="4">
        <f>IFERROR((GQ55/GP55),0)</f>
        <v/>
      </c>
      <c r="GX55" s="4">
        <f>IFERROR(((0+GO11+GO12+GO13+GO14+GO15+GO16+GO17+GO19+GO20+GO21+GO22+GO23+GO24+GO25+GO27+GO28+GO29+GO30+GO31+GO32+GO33+GO35+GO36+GO37+GO38+GO39+GO40+GO41+GO43+GO44+GO45+GO46+GO47+GO48+GO49+GO51+GO52+GO53+GO54+GO55)/T2),0)</f>
        <v/>
      </c>
      <c r="GY55" s="5">
        <f>IFERROR(ROUND(GO55/GQ55,2),0)</f>
        <v/>
      </c>
      <c r="GZ55" s="5">
        <f>IFERROR(ROUND(GO55/GR55,2),0)</f>
        <v/>
      </c>
      <c r="HA55" s="2" t="inlineStr">
        <is>
          <t>2023-10-29</t>
        </is>
      </c>
      <c r="HB55" s="5">
        <f>ROUND(0.0,2)</f>
        <v/>
      </c>
      <c r="HC55" s="3">
        <f>ROUND(0.0,2)</f>
        <v/>
      </c>
      <c r="HD55" s="3">
        <f>ROUND(0.0,2)</f>
        <v/>
      </c>
      <c r="HE55" s="3">
        <f>ROUND(0.0,2)</f>
        <v/>
      </c>
      <c r="HF55" s="3">
        <f>ROUND(0.0,2)</f>
        <v/>
      </c>
      <c r="HG55" s="3">
        <f>ROUND(0.0,2)</f>
        <v/>
      </c>
      <c r="HH55" s="3">
        <f>ROUND(0.0,2)</f>
        <v/>
      </c>
      <c r="HI55" s="3">
        <f>ROUND(0.0,2)</f>
        <v/>
      </c>
      <c r="HJ55" s="4">
        <f>IFERROR((HD55/HC55),0)</f>
        <v/>
      </c>
      <c r="HK55" s="4">
        <f>IFERROR(((0+HB11+HB12+HB13+HB14+HB15+HB16+HB17+HB19+HB20+HB21+HB22+HB23+HB24+HB25+HB27+HB28+HB29+HB30+HB31+HB32+HB33+HB35+HB36+HB37+HB38+HB39+HB40+HB41+HB43+HB44+HB45+HB46+HB47+HB48+HB49+HB51+HB52+HB53+HB54+HB55)/T2),0)</f>
        <v/>
      </c>
      <c r="HL55" s="5">
        <f>IFERROR(ROUND(HB55/HD55,2),0)</f>
        <v/>
      </c>
      <c r="HM55" s="5">
        <f>IFERROR(ROUND(HB55/HE55,2),0)</f>
        <v/>
      </c>
      <c r="HN55" s="2" t="inlineStr">
        <is>
          <t>2023-10-29</t>
        </is>
      </c>
      <c r="HO55" s="5">
        <f>ROUND(0.0,2)</f>
        <v/>
      </c>
      <c r="HP55" s="3">
        <f>ROUND(0.0,2)</f>
        <v/>
      </c>
      <c r="HQ55" s="3">
        <f>ROUND(0.0,2)</f>
        <v/>
      </c>
      <c r="HR55" s="3">
        <f>ROUND(0.0,2)</f>
        <v/>
      </c>
      <c r="HS55" s="3">
        <f>ROUND(0.0,2)</f>
        <v/>
      </c>
      <c r="HT55" s="3">
        <f>ROUND(0.0,2)</f>
        <v/>
      </c>
      <c r="HU55" s="3">
        <f>ROUND(0.0,2)</f>
        <v/>
      </c>
      <c r="HV55" s="3">
        <f>ROUND(0.0,2)</f>
        <v/>
      </c>
      <c r="HW55" s="4">
        <f>IFERROR((HQ55/HP55),0)</f>
        <v/>
      </c>
      <c r="HX55" s="4">
        <f>IFERROR(((0+HO11+HO12+HO13+HO14+HO15+HO16+HO17+HO19+HO20+HO21+HO22+HO23+HO24+HO25+HO27+HO28+HO29+HO30+HO31+HO32+HO33+HO35+HO36+HO37+HO38+HO39+HO40+HO41+HO43+HO44+HO45+HO46+HO47+HO48+HO49+HO51+HO52+HO53+HO54+HO55)/T2),0)</f>
        <v/>
      </c>
      <c r="HY55" s="5">
        <f>IFERROR(ROUND(HO55/HQ55,2),0)</f>
        <v/>
      </c>
      <c r="HZ55" s="5">
        <f>IFERROR(ROUND(HO55/HR55,2),0)</f>
        <v/>
      </c>
      <c r="IA55" s="2" t="inlineStr">
        <is>
          <t>2023-10-29</t>
        </is>
      </c>
      <c r="IB55" s="5">
        <f>ROUND(0.0,2)</f>
        <v/>
      </c>
      <c r="IC55" s="3">
        <f>ROUND(0.0,2)</f>
        <v/>
      </c>
      <c r="ID55" s="3">
        <f>ROUND(0.0,2)</f>
        <v/>
      </c>
      <c r="IE55" s="3">
        <f>ROUND(0.0,2)</f>
        <v/>
      </c>
      <c r="IF55" s="3">
        <f>ROUND(0.0,2)</f>
        <v/>
      </c>
      <c r="IG55" s="3">
        <f>ROUND(0.0,2)</f>
        <v/>
      </c>
      <c r="IH55" s="3">
        <f>ROUND(0.0,2)</f>
        <v/>
      </c>
      <c r="II55" s="3">
        <f>ROUND(0.0,2)</f>
        <v/>
      </c>
      <c r="IJ55" s="4">
        <f>IFERROR((ID55/IC55),0)</f>
        <v/>
      </c>
      <c r="IK55" s="4">
        <f>IFERROR(((0+IB11+IB12+IB13+IB14+IB15+IB16+IB17+IB19+IB20+IB21+IB22+IB23+IB24+IB25+IB27+IB28+IB29+IB30+IB31+IB32+IB33+IB35+IB36+IB37+IB38+IB39+IB40+IB41+IB43+IB44+IB45+IB46+IB47+IB48+IB49+IB51+IB52+IB53+IB54+IB55)/T2),0)</f>
        <v/>
      </c>
      <c r="IL55" s="5">
        <f>IFERROR(ROUND(IB55/ID55,2),0)</f>
        <v/>
      </c>
      <c r="IM55" s="5">
        <f>IFERROR(ROUND(IB55/IE55,2),0)</f>
        <v/>
      </c>
      <c r="IN55" s="2" t="inlineStr">
        <is>
          <t>2023-10-29</t>
        </is>
      </c>
      <c r="IO55" s="5">
        <f>ROUND(0.0,2)</f>
        <v/>
      </c>
      <c r="IP55" s="3">
        <f>ROUND(0.0,2)</f>
        <v/>
      </c>
      <c r="IQ55" s="3">
        <f>ROUND(0.0,2)</f>
        <v/>
      </c>
      <c r="IR55" s="3">
        <f>ROUND(0.0,2)</f>
        <v/>
      </c>
      <c r="IS55" s="3">
        <f>ROUND(0.0,2)</f>
        <v/>
      </c>
      <c r="IT55" s="3">
        <f>ROUND(0.0,2)</f>
        <v/>
      </c>
      <c r="IU55" s="3">
        <f>ROUND(0.0,2)</f>
        <v/>
      </c>
      <c r="IV55" s="3">
        <f>ROUND(0.0,2)</f>
        <v/>
      </c>
      <c r="IW55" s="4">
        <f>IFERROR((IQ55/IP55),0)</f>
        <v/>
      </c>
      <c r="IX55" s="4">
        <f>IFERROR(((0+IO11+IO12+IO13+IO14+IO15+IO16+IO17+IO19+IO20+IO21+IO22+IO23+IO24+IO25+IO27+IO28+IO29+IO30+IO31+IO32+IO33+IO35+IO36+IO37+IO38+IO39+IO40+IO41+IO43+IO44+IO45+IO46+IO47+IO48+IO49+IO51+IO52+IO53+IO54+IO55)/T2),0)</f>
        <v/>
      </c>
      <c r="IY55" s="5">
        <f>IFERROR(ROUND(IO55/IQ55,2),0)</f>
        <v/>
      </c>
      <c r="IZ55" s="5">
        <f>IFERROR(ROUND(IO55/IR55,2),0)</f>
        <v/>
      </c>
      <c r="JA55" s="2" t="inlineStr">
        <is>
          <t>2023-10-29</t>
        </is>
      </c>
      <c r="JB55" s="5">
        <f>ROUND(0.0,2)</f>
        <v/>
      </c>
      <c r="JC55" s="3">
        <f>ROUND(0.0,2)</f>
        <v/>
      </c>
      <c r="JD55" s="3">
        <f>ROUND(0.0,2)</f>
        <v/>
      </c>
      <c r="JE55" s="3">
        <f>ROUND(0.0,2)</f>
        <v/>
      </c>
      <c r="JF55" s="3">
        <f>ROUND(0.0,2)</f>
        <v/>
      </c>
      <c r="JG55" s="3">
        <f>ROUND(0.0,2)</f>
        <v/>
      </c>
      <c r="JH55" s="3">
        <f>ROUND(0.0,2)</f>
        <v/>
      </c>
      <c r="JI55" s="3">
        <f>ROUND(0.0,2)</f>
        <v/>
      </c>
      <c r="JJ55" s="4">
        <f>IFERROR((JD55/JC55),0)</f>
        <v/>
      </c>
      <c r="JK55" s="4">
        <f>IFERROR(((0+JB11+JB12+JB13+JB14+JB15+JB16+JB17+JB19+JB20+JB21+JB22+JB23+JB24+JB25+JB27+JB28+JB29+JB30+JB31+JB32+JB33+JB35+JB36+JB37+JB38+JB39+JB40+JB41+JB43+JB44+JB45+JB46+JB47+JB48+JB49+JB51+JB52+JB53+JB54+JB55)/T2),0)</f>
        <v/>
      </c>
      <c r="JL55" s="5">
        <f>IFERROR(ROUND(JB55/JD55,2),0)</f>
        <v/>
      </c>
      <c r="JM55" s="5">
        <f>IFERROR(ROUND(JB55/JE55,2),0)</f>
        <v/>
      </c>
    </row>
    <row r="56">
      <c r="A56" s="6" t="inlineStr">
        <is>
          <t>Total</t>
        </is>
      </c>
      <c r="B56" s="7">
        <f>ROUND(3200.66,2)</f>
        <v/>
      </c>
      <c r="C56" s="8">
        <f>ROUND(6471347.0,2)</f>
        <v/>
      </c>
      <c r="D56" s="8">
        <f>ROUND(271044.0,2)</f>
        <v/>
      </c>
      <c r="E56" s="8">
        <f>ROUND(1666989.0,2)</f>
        <v/>
      </c>
      <c r="F56" s="8">
        <f>ROUND(1395732.0,2)</f>
        <v/>
      </c>
      <c r="G56" s="8">
        <f>ROUND(671932.0,2)</f>
        <v/>
      </c>
      <c r="H56" s="8">
        <f>ROUND(462572.0,2)</f>
        <v/>
      </c>
      <c r="I56" s="8">
        <f>ROUND(265351.0,2)</f>
        <v/>
      </c>
      <c r="J56" s="9">
        <f>IFERROR((D56/C56),0)</f>
        <v/>
      </c>
      <c r="K56" s="9">
        <f>IFERROR(((0+B56)/T2),0)</f>
        <v/>
      </c>
      <c r="L56" s="7">
        <f>IFERROR(B56/D56,0)</f>
        <v/>
      </c>
      <c r="M56" s="7">
        <f>IFERROR(ROUND(B56/E56,2),0)</f>
        <v/>
      </c>
      <c r="N56" s="6" t="inlineStr">
        <is>
          <t>Total</t>
        </is>
      </c>
      <c r="O56" s="7">
        <f>ROUND(53.410000000000004,2)</f>
        <v/>
      </c>
      <c r="P56" s="8">
        <f>ROUND(150682.0,2)</f>
        <v/>
      </c>
      <c r="Q56" s="8">
        <f>ROUND(5041.0,2)</f>
        <v/>
      </c>
      <c r="R56" s="8">
        <f>ROUND(23977.0,2)</f>
        <v/>
      </c>
      <c r="S56" s="8">
        <f>ROUND(17353.0,2)</f>
        <v/>
      </c>
      <c r="T56" s="8">
        <f>ROUND(7761.0,2)</f>
        <v/>
      </c>
      <c r="U56" s="8">
        <f>ROUND(4895.0,2)</f>
        <v/>
      </c>
      <c r="V56" s="8">
        <f>ROUND(1999.0,2)</f>
        <v/>
      </c>
      <c r="W56" s="9">
        <f>IFERROR((Q56/P56),0)</f>
        <v/>
      </c>
      <c r="X56" s="9">
        <f>IFERROR(((0+O56)/T2),0)</f>
        <v/>
      </c>
      <c r="Y56" s="7">
        <f>IFERROR(O56/Q56,0)</f>
        <v/>
      </c>
      <c r="Z56" s="7">
        <f>IFERROR(ROUND(O56/R56,2),0)</f>
        <v/>
      </c>
      <c r="AA56" s="6" t="inlineStr">
        <is>
          <t>Total</t>
        </is>
      </c>
      <c r="AB56" s="7">
        <f>ROUND(80.01,2)</f>
        <v/>
      </c>
      <c r="AC56" s="8">
        <f>ROUND(83713.0,2)</f>
        <v/>
      </c>
      <c r="AD56" s="8">
        <f>ROUND(6702.0,2)</f>
        <v/>
      </c>
      <c r="AE56" s="8">
        <f>ROUND(45084.0,2)</f>
        <v/>
      </c>
      <c r="AF56" s="8">
        <f>ROUND(41522.0,2)</f>
        <v/>
      </c>
      <c r="AG56" s="8">
        <f>ROUND(23108.0,2)</f>
        <v/>
      </c>
      <c r="AH56" s="8">
        <f>ROUND(19032.0,2)</f>
        <v/>
      </c>
      <c r="AI56" s="8">
        <f>ROUND(1288.0,2)</f>
        <v/>
      </c>
      <c r="AJ56" s="9">
        <f>IFERROR((AD56/AC56),0)</f>
        <v/>
      </c>
      <c r="AK56" s="9">
        <f>IFERROR(((0+AB56)/T2),0)</f>
        <v/>
      </c>
      <c r="AL56" s="7">
        <f>IFERROR(AB56/AD56,0)</f>
        <v/>
      </c>
      <c r="AM56" s="7">
        <f>IFERROR(ROUND(AB56/AE56,2),0)</f>
        <v/>
      </c>
      <c r="AN56" s="6" t="inlineStr">
        <is>
          <t>Total</t>
        </is>
      </c>
      <c r="AO56" s="7">
        <f>ROUND(27.819999999999997,2)</f>
        <v/>
      </c>
      <c r="AP56" s="8">
        <f>ROUND(35840.0,2)</f>
        <v/>
      </c>
      <c r="AQ56" s="8">
        <f>ROUND(2116.0,2)</f>
        <v/>
      </c>
      <c r="AR56" s="8">
        <f>ROUND(14974.0,2)</f>
        <v/>
      </c>
      <c r="AS56" s="8">
        <f>ROUND(13545.0,2)</f>
        <v/>
      </c>
      <c r="AT56" s="8">
        <f>ROUND(8285.0,2)</f>
        <v/>
      </c>
      <c r="AU56" s="8">
        <f>ROUND(6915.0,2)</f>
        <v/>
      </c>
      <c r="AV56" s="8">
        <f>ROUND(6020.0,2)</f>
        <v/>
      </c>
      <c r="AW56" s="9">
        <f>IFERROR((AQ56/AP56),0)</f>
        <v/>
      </c>
      <c r="AX56" s="9">
        <f>IFERROR(((0+AO56)/T2),0)</f>
        <v/>
      </c>
      <c r="AY56" s="7">
        <f>IFERROR(AO56/AQ56,0)</f>
        <v/>
      </c>
      <c r="AZ56" s="7">
        <f>IFERROR(ROUND(AO56/AR56,2),0)</f>
        <v/>
      </c>
      <c r="BA56" s="6" t="inlineStr">
        <is>
          <t>Total</t>
        </is>
      </c>
      <c r="BB56" s="7">
        <f>ROUND(393.21,2)</f>
        <v/>
      </c>
      <c r="BC56" s="8">
        <f>ROUND(1177937.0,2)</f>
        <v/>
      </c>
      <c r="BD56" s="8">
        <f>ROUND(40561.0,2)</f>
        <v/>
      </c>
      <c r="BE56" s="8">
        <f>ROUND(253356.0,2)</f>
        <v/>
      </c>
      <c r="BF56" s="8">
        <f>ROUND(189714.0,2)</f>
        <v/>
      </c>
      <c r="BG56" s="8">
        <f>ROUND(81834.0,2)</f>
        <v/>
      </c>
      <c r="BH56" s="8">
        <f>ROUND(47335.0,2)</f>
        <v/>
      </c>
      <c r="BI56" s="8">
        <f>ROUND(24362.0,2)</f>
        <v/>
      </c>
      <c r="BJ56" s="9">
        <f>IFERROR((BD56/BC56),0)</f>
        <v/>
      </c>
      <c r="BK56" s="9">
        <f>IFERROR(((0+BB56)/T2),0)</f>
        <v/>
      </c>
      <c r="BL56" s="7">
        <f>IFERROR(BB56/BD56,0)</f>
        <v/>
      </c>
      <c r="BM56" s="7">
        <f>IFERROR(ROUND(BB56/BE56,2),0)</f>
        <v/>
      </c>
      <c r="BN56" s="6" t="inlineStr">
        <is>
          <t>Total</t>
        </is>
      </c>
      <c r="BO56" s="7">
        <f>ROUND(380.79,2)</f>
        <v/>
      </c>
      <c r="BP56" s="8">
        <f>ROUND(1085089.0,2)</f>
        <v/>
      </c>
      <c r="BQ56" s="8">
        <f>ROUND(35297.0,2)</f>
        <v/>
      </c>
      <c r="BR56" s="8">
        <f>ROUND(254464.0,2)</f>
        <v/>
      </c>
      <c r="BS56" s="8">
        <f>ROUND(216350.0,2)</f>
        <v/>
      </c>
      <c r="BT56" s="8">
        <f>ROUND(121117.0,2)</f>
        <v/>
      </c>
      <c r="BU56" s="8">
        <f>ROUND(96533.0,2)</f>
        <v/>
      </c>
      <c r="BV56" s="8">
        <f>ROUND(59798.0,2)</f>
        <v/>
      </c>
      <c r="BW56" s="9">
        <f>IFERROR((BQ56/BP56),0)</f>
        <v/>
      </c>
      <c r="BX56" s="9">
        <f>IFERROR(((0+BO56)/T2),0)</f>
        <v/>
      </c>
      <c r="BY56" s="7">
        <f>IFERROR(BO56/BQ56,0)</f>
        <v/>
      </c>
      <c r="BZ56" s="7">
        <f>IFERROR(ROUND(BO56/BR56,2),0)</f>
        <v/>
      </c>
      <c r="CA56" s="6" t="inlineStr">
        <is>
          <t>Total</t>
        </is>
      </c>
      <c r="CB56" s="7">
        <f>ROUND(55.97,2)</f>
        <v/>
      </c>
      <c r="CC56" s="8">
        <f>ROUND(113029.0,2)</f>
        <v/>
      </c>
      <c r="CD56" s="8">
        <f>ROUND(5005.0,2)</f>
        <v/>
      </c>
      <c r="CE56" s="8">
        <f>ROUND(31987.0,2)</f>
        <v/>
      </c>
      <c r="CF56" s="8">
        <f>ROUND(24725.0,2)</f>
        <v/>
      </c>
      <c r="CG56" s="8">
        <f>ROUND(11817.0,2)</f>
        <v/>
      </c>
      <c r="CH56" s="8">
        <f>ROUND(8111.0,2)</f>
        <v/>
      </c>
      <c r="CI56" s="8">
        <f>ROUND(2652.0,2)</f>
        <v/>
      </c>
      <c r="CJ56" s="9">
        <f>IFERROR((CD56/CC56),0)</f>
        <v/>
      </c>
      <c r="CK56" s="9">
        <f>IFERROR(((0+CB56)/T2),0)</f>
        <v/>
      </c>
      <c r="CL56" s="7">
        <f>IFERROR(CB56/CD56,0)</f>
        <v/>
      </c>
      <c r="CM56" s="7">
        <f>IFERROR(ROUND(CB56/CE56,2),0)</f>
        <v/>
      </c>
      <c r="CN56" s="6" t="inlineStr">
        <is>
          <t>Total</t>
        </is>
      </c>
      <c r="CO56" s="7">
        <f>ROUND(680.57,2)</f>
        <v/>
      </c>
      <c r="CP56" s="8">
        <f>ROUND(866624.0,2)</f>
        <v/>
      </c>
      <c r="CQ56" s="8">
        <f>ROUND(54537.0,2)</f>
        <v/>
      </c>
      <c r="CR56" s="8">
        <f>ROUND(496116.0,2)</f>
        <v/>
      </c>
      <c r="CS56" s="8">
        <f>ROUND(472550.0,2)</f>
        <v/>
      </c>
      <c r="CT56" s="8">
        <f>ROUND(198280.0,2)</f>
        <v/>
      </c>
      <c r="CU56" s="8">
        <f>ROUND(119810.0,2)</f>
        <v/>
      </c>
      <c r="CV56" s="8">
        <f>ROUND(83955.0,2)</f>
        <v/>
      </c>
      <c r="CW56" s="9">
        <f>IFERROR((CQ56/CP56),0)</f>
        <v/>
      </c>
      <c r="CX56" s="9">
        <f>IFERROR(((0+CO56)/T2),0)</f>
        <v/>
      </c>
      <c r="CY56" s="7">
        <f>IFERROR(CO56/CQ56,0)</f>
        <v/>
      </c>
      <c r="CZ56" s="7">
        <f>IFERROR(ROUND(CO56/CR56,2),0)</f>
        <v/>
      </c>
      <c r="DA56" s="6" t="inlineStr">
        <is>
          <t>Total</t>
        </is>
      </c>
      <c r="DB56" s="7">
        <f>ROUND(122.34,2)</f>
        <v/>
      </c>
      <c r="DC56" s="8">
        <f>ROUND(307944.0,2)</f>
        <v/>
      </c>
      <c r="DD56" s="8">
        <f>ROUND(12165.0,2)</f>
        <v/>
      </c>
      <c r="DE56" s="8">
        <f>ROUND(35197.0,2)</f>
        <v/>
      </c>
      <c r="DF56" s="8">
        <f>ROUND(20871.0,2)</f>
        <v/>
      </c>
      <c r="DG56" s="8">
        <f>ROUND(8793.0,2)</f>
        <v/>
      </c>
      <c r="DH56" s="8">
        <f>ROUND(4713.0,2)</f>
        <v/>
      </c>
      <c r="DI56" s="8">
        <f>ROUND(2155.0,2)</f>
        <v/>
      </c>
      <c r="DJ56" s="9">
        <f>IFERROR((DD56/DC56),0)</f>
        <v/>
      </c>
      <c r="DK56" s="9">
        <f>IFERROR(((0+DB56)/T2),0)</f>
        <v/>
      </c>
      <c r="DL56" s="7">
        <f>IFERROR(DB56/DD56,0)</f>
        <v/>
      </c>
      <c r="DM56" s="7">
        <f>IFERROR(ROUND(DB56/DE56,2),0)</f>
        <v/>
      </c>
      <c r="DN56" s="6" t="inlineStr">
        <is>
          <t>Total</t>
        </is>
      </c>
      <c r="DO56" s="7">
        <f>ROUND(296.27000000000004,2)</f>
        <v/>
      </c>
      <c r="DP56" s="8">
        <f>ROUND(761112.0,2)</f>
        <v/>
      </c>
      <c r="DQ56" s="8">
        <f>ROUND(29658.0,2)</f>
        <v/>
      </c>
      <c r="DR56" s="8">
        <f>ROUND(112863.0,2)</f>
        <v/>
      </c>
      <c r="DS56" s="8">
        <f>ROUND(85547.0,2)</f>
        <v/>
      </c>
      <c r="DT56" s="8">
        <f>ROUND(50344.0,2)</f>
        <v/>
      </c>
      <c r="DU56" s="8">
        <f>ROUND(33298.0,2)</f>
        <v/>
      </c>
      <c r="DV56" s="8">
        <f>ROUND(18148.0,2)</f>
        <v/>
      </c>
      <c r="DW56" s="9">
        <f>IFERROR((DQ56/DP56),0)</f>
        <v/>
      </c>
      <c r="DX56" s="9">
        <f>IFERROR(((0+DO56)/T2),0)</f>
        <v/>
      </c>
      <c r="DY56" s="7">
        <f>IFERROR(DO56/DQ56,0)</f>
        <v/>
      </c>
      <c r="DZ56" s="7">
        <f>IFERROR(ROUND(DO56/DR56,2),0)</f>
        <v/>
      </c>
      <c r="EA56" s="6" t="inlineStr">
        <is>
          <t>Total</t>
        </is>
      </c>
      <c r="EB56" s="7">
        <f>ROUND(153.72,2)</f>
        <v/>
      </c>
      <c r="EC56" s="8">
        <f>ROUND(397714.0,2)</f>
        <v/>
      </c>
      <c r="ED56" s="8">
        <f>ROUND(15265.0,2)</f>
        <v/>
      </c>
      <c r="EE56" s="8">
        <f>ROUND(79671.0,2)</f>
        <v/>
      </c>
      <c r="EF56" s="8">
        <f>ROUND(48647.0,2)</f>
        <v/>
      </c>
      <c r="EG56" s="8">
        <f>ROUND(23331.0,2)</f>
        <v/>
      </c>
      <c r="EH56" s="8">
        <f>ROUND(18258.0,2)</f>
        <v/>
      </c>
      <c r="EI56" s="8">
        <f>ROUND(6464.0,2)</f>
        <v/>
      </c>
      <c r="EJ56" s="9">
        <f>IFERROR((ED56/EC56),0)</f>
        <v/>
      </c>
      <c r="EK56" s="9">
        <f>IFERROR(((0+EB56)/T2),0)</f>
        <v/>
      </c>
      <c r="EL56" s="7">
        <f>IFERROR(EB56/ED56,0)</f>
        <v/>
      </c>
      <c r="EM56" s="7">
        <f>IFERROR(ROUND(EB56/EE56,2),0)</f>
        <v/>
      </c>
      <c r="EN56" s="6" t="inlineStr">
        <is>
          <t>Total</t>
        </is>
      </c>
      <c r="EO56" s="7">
        <f>ROUND(62.7,2)</f>
        <v/>
      </c>
      <c r="EP56" s="8">
        <f>ROUND(93116.0,2)</f>
        <v/>
      </c>
      <c r="EQ56" s="8">
        <f>ROUND(4810.0,2)</f>
        <v/>
      </c>
      <c r="ER56" s="8">
        <f>ROUND(8455.0,2)</f>
        <v/>
      </c>
      <c r="ES56" s="8">
        <f>ROUND(5761.0,2)</f>
        <v/>
      </c>
      <c r="ET56" s="8">
        <f>ROUND(2732.0,2)</f>
        <v/>
      </c>
      <c r="EU56" s="8">
        <f>ROUND(1147.0,2)</f>
        <v/>
      </c>
      <c r="EV56" s="8">
        <f>ROUND(600.0,2)</f>
        <v/>
      </c>
      <c r="EW56" s="9">
        <f>IFERROR((EQ56/EP56),0)</f>
        <v/>
      </c>
      <c r="EX56" s="9">
        <f>IFERROR(((0+EO56)/T2),0)</f>
        <v/>
      </c>
      <c r="EY56" s="7">
        <f>IFERROR(EO56/EQ56,0)</f>
        <v/>
      </c>
      <c r="EZ56" s="7">
        <f>IFERROR(ROUND(EO56/ER56,2),0)</f>
        <v/>
      </c>
      <c r="FA56" s="6" t="inlineStr">
        <is>
          <t>Total</t>
        </is>
      </c>
      <c r="FB56" s="7">
        <f>ROUND(134.68,2)</f>
        <v/>
      </c>
      <c r="FC56" s="8">
        <f>ROUND(196988.0,2)</f>
        <v/>
      </c>
      <c r="FD56" s="8">
        <f>ROUND(9735.0,2)</f>
        <v/>
      </c>
      <c r="FE56" s="8">
        <f>ROUND(24874.0,2)</f>
        <v/>
      </c>
      <c r="FF56" s="8">
        <f>ROUND(20888.0,2)</f>
        <v/>
      </c>
      <c r="FG56" s="8">
        <f>ROUND(11232.0,2)</f>
        <v/>
      </c>
      <c r="FH56" s="8">
        <f>ROUND(7985.0,2)</f>
        <v/>
      </c>
      <c r="FI56" s="8">
        <f>ROUND(3715.0,2)</f>
        <v/>
      </c>
      <c r="FJ56" s="9">
        <f>IFERROR((FD56/FC56),0)</f>
        <v/>
      </c>
      <c r="FK56" s="9">
        <f>IFERROR(((0+FB56)/T2),0)</f>
        <v/>
      </c>
      <c r="FL56" s="7">
        <f>IFERROR(FB56/FD56,0)</f>
        <v/>
      </c>
      <c r="FM56" s="7">
        <f>IFERROR(ROUND(FB56/FE56,2),0)</f>
        <v/>
      </c>
      <c r="FN56" s="6" t="inlineStr">
        <is>
          <t>Total</t>
        </is>
      </c>
      <c r="FO56" s="7">
        <f>ROUND(15.62,2)</f>
        <v/>
      </c>
      <c r="FP56" s="8">
        <f>ROUND(13697.0,2)</f>
        <v/>
      </c>
      <c r="FQ56" s="8">
        <f>ROUND(995.0,2)</f>
        <v/>
      </c>
      <c r="FR56" s="8">
        <f>ROUND(4307.0,2)</f>
        <v/>
      </c>
      <c r="FS56" s="8">
        <f>ROUND(3799.0,2)</f>
        <v/>
      </c>
      <c r="FT56" s="8">
        <f>ROUND(1890.0,2)</f>
        <v/>
      </c>
      <c r="FU56" s="8">
        <f>ROUND(1475.0,2)</f>
        <v/>
      </c>
      <c r="FV56" s="8">
        <f>ROUND(197.0,2)</f>
        <v/>
      </c>
      <c r="FW56" s="9">
        <f>IFERROR((FQ56/FP56),0)</f>
        <v/>
      </c>
      <c r="FX56" s="9">
        <f>IFERROR(((0+FO56)/T2),0)</f>
        <v/>
      </c>
      <c r="FY56" s="7">
        <f>IFERROR(FO56/FQ56,0)</f>
        <v/>
      </c>
      <c r="FZ56" s="7">
        <f>IFERROR(ROUND(FO56/FR56,2),0)</f>
        <v/>
      </c>
      <c r="GA56" s="6" t="inlineStr">
        <is>
          <t>Total</t>
        </is>
      </c>
      <c r="GB56" s="7">
        <f>ROUND(156.37,2)</f>
        <v/>
      </c>
      <c r="GC56" s="8">
        <f>ROUND(353131.0,2)</f>
        <v/>
      </c>
      <c r="GD56" s="8">
        <f>ROUND(11299.0,2)</f>
        <v/>
      </c>
      <c r="GE56" s="8">
        <f>ROUND(62174.0,2)</f>
        <v/>
      </c>
      <c r="GF56" s="8">
        <f>ROUND(45398.0,2)</f>
        <v/>
      </c>
      <c r="GG56" s="8">
        <f>ROUND(19080.0,2)</f>
        <v/>
      </c>
      <c r="GH56" s="8">
        <f>ROUND(11371.0,2)</f>
        <v/>
      </c>
      <c r="GI56" s="8">
        <f>ROUND(4750.0,2)</f>
        <v/>
      </c>
      <c r="GJ56" s="9">
        <f>IFERROR((GD56/GC56),0)</f>
        <v/>
      </c>
      <c r="GK56" s="9">
        <f>IFERROR(((0+GB56)/T2),0)</f>
        <v/>
      </c>
      <c r="GL56" s="7">
        <f>IFERROR(GB56/GD56,0)</f>
        <v/>
      </c>
      <c r="GM56" s="7">
        <f>IFERROR(ROUND(GB56/GE56,2),0)</f>
        <v/>
      </c>
      <c r="GN56" s="6" t="inlineStr">
        <is>
          <t>Total</t>
        </is>
      </c>
      <c r="GO56" s="7">
        <f>ROUND(203.75,2)</f>
        <v/>
      </c>
      <c r="GP56" s="8">
        <f>ROUND(247013.0,2)</f>
        <v/>
      </c>
      <c r="GQ56" s="8">
        <f>ROUND(13064.0,2)</f>
        <v/>
      </c>
      <c r="GR56" s="8">
        <f>ROUND(72217.0,2)</f>
        <v/>
      </c>
      <c r="GS56" s="8">
        <f>ROUND(63659.0,2)</f>
        <v/>
      </c>
      <c r="GT56" s="8">
        <f>ROUND(29653.0,2)</f>
        <v/>
      </c>
      <c r="GU56" s="8">
        <f>ROUND(21655.0,2)</f>
        <v/>
      </c>
      <c r="GV56" s="8">
        <f>ROUND(17701.0,2)</f>
        <v/>
      </c>
      <c r="GW56" s="9">
        <f>IFERROR((GQ56/GP56),0)</f>
        <v/>
      </c>
      <c r="GX56" s="9">
        <f>IFERROR(((0+GO56)/T2),0)</f>
        <v/>
      </c>
      <c r="GY56" s="7">
        <f>IFERROR(GO56/GQ56,0)</f>
        <v/>
      </c>
      <c r="GZ56" s="7">
        <f>IFERROR(ROUND(GO56/GR56,2),0)</f>
        <v/>
      </c>
      <c r="HA56" s="6" t="inlineStr">
        <is>
          <t>Total</t>
        </is>
      </c>
      <c r="HB56" s="7">
        <f>ROUND(94.46000000000001,2)</f>
        <v/>
      </c>
      <c r="HC56" s="8">
        <f>ROUND(82823.0,2)</f>
        <v/>
      </c>
      <c r="HD56" s="8">
        <f>ROUND(5815.0,2)</f>
        <v/>
      </c>
      <c r="HE56" s="8">
        <f>ROUND(35322.0,2)</f>
        <v/>
      </c>
      <c r="HF56" s="8">
        <f>ROUND(29743.0,2)</f>
        <v/>
      </c>
      <c r="HG56" s="8">
        <f>ROUND(14805.0,2)</f>
        <v/>
      </c>
      <c r="HH56" s="8">
        <f>ROUND(12793.0,2)</f>
        <v/>
      </c>
      <c r="HI56" s="8">
        <f>ROUND(1154.0,2)</f>
        <v/>
      </c>
      <c r="HJ56" s="9">
        <f>IFERROR((HD56/HC56),0)</f>
        <v/>
      </c>
      <c r="HK56" s="9">
        <f>IFERROR(((0+HB56)/T2),0)</f>
        <v/>
      </c>
      <c r="HL56" s="7">
        <f>IFERROR(HB56/HD56,0)</f>
        <v/>
      </c>
      <c r="HM56" s="7">
        <f>IFERROR(ROUND(HB56/HE56,2),0)</f>
        <v/>
      </c>
      <c r="HN56" s="6" t="inlineStr">
        <is>
          <t>Total</t>
        </is>
      </c>
      <c r="HO56" s="7">
        <f>ROUND(25.369999999999997,2)</f>
        <v/>
      </c>
      <c r="HP56" s="8">
        <f>ROUND(28082.0,2)</f>
        <v/>
      </c>
      <c r="HQ56" s="8">
        <f>ROUND(1450.0,2)</f>
        <v/>
      </c>
      <c r="HR56" s="8">
        <f>ROUND(9156.0,2)</f>
        <v/>
      </c>
      <c r="HS56" s="8">
        <f>ROUND(8169.0,2)</f>
        <v/>
      </c>
      <c r="HT56" s="8">
        <f>ROUND(4968.0,2)</f>
        <v/>
      </c>
      <c r="HU56" s="8">
        <f>ROUND(4124.0,2)</f>
        <v/>
      </c>
      <c r="HV56" s="8">
        <f>ROUND(3662.0,2)</f>
        <v/>
      </c>
      <c r="HW56" s="9">
        <f>IFERROR((HQ56/HP56),0)</f>
        <v/>
      </c>
      <c r="HX56" s="9">
        <f>IFERROR(((0+HO56)/T2),0)</f>
        <v/>
      </c>
      <c r="HY56" s="7">
        <f>IFERROR(HO56/HQ56,0)</f>
        <v/>
      </c>
      <c r="HZ56" s="7">
        <f>IFERROR(ROUND(HO56/HR56,2),0)</f>
        <v/>
      </c>
      <c r="IA56" s="6" t="inlineStr">
        <is>
          <t>Total</t>
        </is>
      </c>
      <c r="IB56" s="7">
        <f>ROUND(47.36,2)</f>
        <v/>
      </c>
      <c r="IC56" s="8">
        <f>ROUND(85963.0,2)</f>
        <v/>
      </c>
      <c r="ID56" s="8">
        <f>ROUND(3228.0,2)</f>
        <v/>
      </c>
      <c r="IE56" s="8">
        <f>ROUND(17803.0,2)</f>
        <v/>
      </c>
      <c r="IF56" s="8">
        <f>ROUND(13650.0,2)</f>
        <v/>
      </c>
      <c r="IG56" s="8">
        <f>ROUND(6735.0,2)</f>
        <v/>
      </c>
      <c r="IH56" s="8">
        <f>ROUND(4963.0,2)</f>
        <v/>
      </c>
      <c r="II56" s="8">
        <f>ROUND(1824.0,2)</f>
        <v/>
      </c>
      <c r="IJ56" s="9">
        <f>IFERROR((ID56/IC56),0)</f>
        <v/>
      </c>
      <c r="IK56" s="9">
        <f>IFERROR(((0+IB56)/T2),0)</f>
        <v/>
      </c>
      <c r="IL56" s="7">
        <f>IFERROR(IB56/ID56,0)</f>
        <v/>
      </c>
      <c r="IM56" s="7">
        <f>IFERROR(ROUND(IB56/IE56,2),0)</f>
        <v/>
      </c>
      <c r="IN56" s="6" t="inlineStr">
        <is>
          <t>Total</t>
        </is>
      </c>
      <c r="IO56" s="7">
        <f>ROUND(178.32,2)</f>
        <v/>
      </c>
      <c r="IP56" s="8">
        <f>ROUND(348004.0,2)</f>
        <v/>
      </c>
      <c r="IQ56" s="8">
        <f>ROUND(11978.0,2)</f>
        <v/>
      </c>
      <c r="IR56" s="8">
        <f>ROUND(70798.0,2)</f>
        <v/>
      </c>
      <c r="IS56" s="8">
        <f>ROUND(61547.0,2)</f>
        <v/>
      </c>
      <c r="IT56" s="8">
        <f>ROUND(39660.0,2)</f>
        <v/>
      </c>
      <c r="IU56" s="8">
        <f>ROUND(32847.0,2)</f>
        <v/>
      </c>
      <c r="IV56" s="8">
        <f>ROUND(23774.0,2)</f>
        <v/>
      </c>
      <c r="IW56" s="9">
        <f>IFERROR((IQ56/IP56),0)</f>
        <v/>
      </c>
      <c r="IX56" s="9">
        <f>IFERROR(((0+IO56)/T2),0)</f>
        <v/>
      </c>
      <c r="IY56" s="7">
        <f>IFERROR(IO56/IQ56,0)</f>
        <v/>
      </c>
      <c r="IZ56" s="7">
        <f>IFERROR(ROUND(IO56/IR56,2),0)</f>
        <v/>
      </c>
      <c r="JA56" s="6" t="inlineStr">
        <is>
          <t>Total</t>
        </is>
      </c>
      <c r="JB56" s="7">
        <f>ROUND(37.919999999999995,2)</f>
        <v/>
      </c>
      <c r="JC56" s="8">
        <f>ROUND(42846.0,2)</f>
        <v/>
      </c>
      <c r="JD56" s="8">
        <f>ROUND(2323.0,2)</f>
        <v/>
      </c>
      <c r="JE56" s="8">
        <f>ROUND(14194.0,2)</f>
        <v/>
      </c>
      <c r="JF56" s="8">
        <f>ROUND(12294.0,2)</f>
        <v/>
      </c>
      <c r="JG56" s="8">
        <f>ROUND(6507.0,2)</f>
        <v/>
      </c>
      <c r="JH56" s="8">
        <f>ROUND(5312.0,2)</f>
        <v/>
      </c>
      <c r="JI56" s="8">
        <f>ROUND(1133.0,2)</f>
        <v/>
      </c>
      <c r="JJ56" s="9">
        <f>IFERROR((JD56/JC56),0)</f>
        <v/>
      </c>
      <c r="JK56" s="9">
        <f>IFERROR(((0+JB56)/T2),0)</f>
        <v/>
      </c>
      <c r="JL56" s="7">
        <f>IFERROR(JB56/JD56,0)</f>
        <v/>
      </c>
      <c r="JM56" s="7">
        <f>IFERROR(ROUND(JB56/JE56,2),0)</f>
        <v/>
      </c>
    </row>
  </sheetData>
  <mergeCells count="20">
    <mergeCell ref="HN9:HZ9"/>
    <mergeCell ref="EN9:EZ9"/>
    <mergeCell ref="JA9:JM9"/>
    <mergeCell ref="GA9:GM9"/>
    <mergeCell ref="N9:Z9"/>
    <mergeCell ref="BN9:BZ9"/>
    <mergeCell ref="EA9:EM9"/>
    <mergeCell ref="IN9:IZ9"/>
    <mergeCell ref="BA9:BM9"/>
    <mergeCell ref="AN9:AZ9"/>
    <mergeCell ref="CN9:CZ9"/>
    <mergeCell ref="FA9:FM9"/>
    <mergeCell ref="HA9:HM9"/>
    <mergeCell ref="AA9:AM9"/>
    <mergeCell ref="CA9:CM9"/>
    <mergeCell ref="DN9:DZ9"/>
    <mergeCell ref="GN9:GZ9"/>
    <mergeCell ref="FN9:FZ9"/>
    <mergeCell ref="IA9:IM9"/>
    <mergeCell ref="DA9:DM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Z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budget</t>
        </is>
      </c>
      <c r="C1" s="1" t="inlineStr">
        <is>
          <t>impressions</t>
        </is>
      </c>
      <c r="D1" s="1" t="inlineStr">
        <is>
          <t>clicks</t>
        </is>
      </c>
      <c r="E1" s="1" t="inlineStr">
        <is>
          <t>view</t>
        </is>
      </c>
      <c r="F1" s="1" t="inlineStr">
        <is>
          <t>percent_25</t>
        </is>
      </c>
      <c r="G1" s="1" t="inlineStr">
        <is>
          <t>percent_50</t>
        </is>
      </c>
      <c r="H1" s="1" t="inlineStr">
        <is>
          <t>percent_75</t>
        </is>
      </c>
      <c r="I1" s="1" t="inlineStr">
        <is>
          <t>percent_100</t>
        </is>
      </c>
      <c r="J1" s="1" t="inlineStr">
        <is>
          <t>CTR</t>
        </is>
      </c>
      <c r="K1" s="1" t="inlineStr">
        <is>
          <t>Spent Budget %</t>
        </is>
      </c>
      <c r="L1" s="1" t="inlineStr">
        <is>
          <t>CPC</t>
        </is>
      </c>
      <c r="M1" s="1" t="inlineStr">
        <is>
          <t>CPV</t>
        </is>
      </c>
      <c r="T1" s="2" t="inlineStr">
        <is>
          <t>Total Budget</t>
        </is>
      </c>
    </row>
    <row r="2">
      <c r="A2" s="2" t="inlineStr">
        <is>
          <t>1</t>
        </is>
      </c>
      <c r="B2" s="3">
        <f>ROUND(286.07,2)</f>
        <v/>
      </c>
      <c r="C2" s="3">
        <f>ROUND(803106.0,2)</f>
        <v/>
      </c>
      <c r="D2" s="3">
        <f>ROUND(17160.0,2)</f>
        <v/>
      </c>
      <c r="E2" s="3">
        <f>ROUND(0.0,2)</f>
        <v/>
      </c>
      <c r="F2" s="3">
        <f>ROUND(0.0,2)</f>
        <v/>
      </c>
      <c r="G2" s="3">
        <f>ROUND(0.0,2)</f>
        <v/>
      </c>
      <c r="H2" s="3">
        <f>ROUND(0.0,2)</f>
        <v/>
      </c>
      <c r="I2" s="3">
        <f>ROUND(0.0,2)</f>
        <v/>
      </c>
      <c r="J2" s="4">
        <f>IFERROR((D2/C2),0)</f>
        <v/>
      </c>
      <c r="K2" s="4">
        <f>IFERROR(((0+B2)/T2),0)</f>
        <v/>
      </c>
      <c r="L2" s="5">
        <f>IFERROR(ROUND(B2/D2,2),0)</f>
        <v/>
      </c>
      <c r="M2" s="5">
        <f>IFERROR(ROUND(B2/E2,2),0)</f>
        <v/>
      </c>
    </row>
    <row r="3">
      <c r="A3" s="2" t="inlineStr">
        <is>
          <t>2</t>
        </is>
      </c>
      <c r="B3" s="3">
        <f>ROUND(250.13,2)</f>
        <v/>
      </c>
      <c r="C3" s="3">
        <f>ROUND(771608.0,2)</f>
        <v/>
      </c>
      <c r="D3" s="3">
        <f>ROUND(25009.0,2)</f>
        <v/>
      </c>
      <c r="E3" s="3">
        <f>ROUND(0.0,2)</f>
        <v/>
      </c>
      <c r="F3" s="3">
        <f>ROUND(0.0,2)</f>
        <v/>
      </c>
      <c r="G3" s="3">
        <f>ROUND(0.0,2)</f>
        <v/>
      </c>
      <c r="H3" s="3">
        <f>ROUND(0.0,2)</f>
        <v/>
      </c>
      <c r="I3" s="3">
        <f>ROUND(0.0,2)</f>
        <v/>
      </c>
      <c r="J3" s="4">
        <f>IFERROR((D3/C3),0)</f>
        <v/>
      </c>
      <c r="K3" s="4">
        <f>IFERROR(((0+B2+B3)/T2),0)</f>
        <v/>
      </c>
      <c r="L3" s="5">
        <f>IFERROR(ROUND(B3/D3,2),0)</f>
        <v/>
      </c>
      <c r="M3" s="5">
        <f>IFERROR(ROUND(B3/E3,2),0)</f>
        <v/>
      </c>
    </row>
    <row r="4">
      <c r="A4" s="2" t="inlineStr">
        <is>
          <t>3</t>
        </is>
      </c>
      <c r="B4" s="3">
        <f>ROUND(289.23,2)</f>
        <v/>
      </c>
      <c r="C4" s="3">
        <f>ROUND(849779.0,2)</f>
        <v/>
      </c>
      <c r="D4" s="3">
        <f>ROUND(28922.0,2)</f>
        <v/>
      </c>
      <c r="E4" s="3">
        <f>ROUND(0.0,2)</f>
        <v/>
      </c>
      <c r="F4" s="3">
        <f>ROUND(0.0,2)</f>
        <v/>
      </c>
      <c r="G4" s="3">
        <f>ROUND(0.0,2)</f>
        <v/>
      </c>
      <c r="H4" s="3">
        <f>ROUND(0.0,2)</f>
        <v/>
      </c>
      <c r="I4" s="3">
        <f>ROUND(0.0,2)</f>
        <v/>
      </c>
      <c r="J4" s="4">
        <f>IFERROR((D4/C4),0)</f>
        <v/>
      </c>
      <c r="K4" s="4">
        <f>IFERROR(((0+B2+B3+B4)/T2),0)</f>
        <v/>
      </c>
      <c r="L4" s="5">
        <f>IFERROR(ROUND(B4/D4,2),0)</f>
        <v/>
      </c>
      <c r="M4" s="5">
        <f>IFERROR(ROUND(B4/E4,2),0)</f>
        <v/>
      </c>
    </row>
    <row r="5">
      <c r="A5" s="2" t="inlineStr">
        <is>
          <t>4</t>
        </is>
      </c>
      <c r="B5" s="3">
        <f>ROUND(288.17,2)</f>
        <v/>
      </c>
      <c r="C5" s="3">
        <f>ROUND(642388.0,2)</f>
        <v/>
      </c>
      <c r="D5" s="3">
        <f>ROUND(28815.0,2)</f>
        <v/>
      </c>
      <c r="E5" s="3">
        <f>ROUND(0.0,2)</f>
        <v/>
      </c>
      <c r="F5" s="3">
        <f>ROUND(0.0,2)</f>
        <v/>
      </c>
      <c r="G5" s="3">
        <f>ROUND(0.0,2)</f>
        <v/>
      </c>
      <c r="H5" s="3">
        <f>ROUND(0.0,2)</f>
        <v/>
      </c>
      <c r="I5" s="3">
        <f>ROUND(0.0,2)</f>
        <v/>
      </c>
      <c r="J5" s="4">
        <f>IFERROR((D5/C5),0)</f>
        <v/>
      </c>
      <c r="K5" s="4">
        <f>IFERROR(((0+B2+B3+B4+B5)/T2),0)</f>
        <v/>
      </c>
      <c r="L5" s="5">
        <f>IFERROR(ROUND(B5/D5,2),0)</f>
        <v/>
      </c>
      <c r="M5" s="5">
        <f>IFERROR(ROUND(B5/E5,2),0)</f>
        <v/>
      </c>
    </row>
    <row r="6">
      <c r="A6" s="2" t="inlineStr">
        <is>
          <t>5</t>
        </is>
      </c>
      <c r="B6" s="3">
        <f>ROUND(65.36,2)</f>
        <v/>
      </c>
      <c r="C6" s="3">
        <f>ROUND(143618.0,2)</f>
        <v/>
      </c>
      <c r="D6" s="3">
        <f>ROUND(6535.0,2)</f>
        <v/>
      </c>
      <c r="E6" s="3">
        <f>ROUND(0.0,2)</f>
        <v/>
      </c>
      <c r="F6" s="3">
        <f>ROUND(0.0,2)</f>
        <v/>
      </c>
      <c r="G6" s="3">
        <f>ROUND(0.0,2)</f>
        <v/>
      </c>
      <c r="H6" s="3">
        <f>ROUND(0.0,2)</f>
        <v/>
      </c>
      <c r="I6" s="3">
        <f>ROUND(0.0,2)</f>
        <v/>
      </c>
      <c r="J6" s="4">
        <f>IFERROR((D6/C6),0)</f>
        <v/>
      </c>
      <c r="K6" s="4">
        <f>IFERROR(((0+B2+B3+B4+B5+B6)/T2),0)</f>
        <v/>
      </c>
      <c r="L6" s="5">
        <f>IFERROR(ROUND(B6/D6,2),0)</f>
        <v/>
      </c>
      <c r="M6" s="5">
        <f>IFERROR(ROUND(B6/E6,2),0)</f>
        <v/>
      </c>
    </row>
    <row r="7">
      <c r="A7" s="2" t="inlineStr">
        <is>
          <t>6</t>
        </is>
      </c>
      <c r="B7" s="3">
        <f>ROUND(0.0,2)</f>
        <v/>
      </c>
      <c r="C7" s="3">
        <f>ROUND(0.0,2)</f>
        <v/>
      </c>
      <c r="D7" s="3">
        <f>ROUND(0.0,2)</f>
        <v/>
      </c>
      <c r="E7" s="3">
        <f>ROUND(0.0,2)</f>
        <v/>
      </c>
      <c r="F7" s="3">
        <f>ROUND(0.0,2)</f>
        <v/>
      </c>
      <c r="G7" s="3">
        <f>ROUND(0.0,2)</f>
        <v/>
      </c>
      <c r="H7" s="3">
        <f>ROUND(0.0,2)</f>
        <v/>
      </c>
      <c r="I7" s="3">
        <f>ROUND(0.0,2)</f>
        <v/>
      </c>
      <c r="J7" s="4">
        <f>IFERROR((D7/C7),0)</f>
        <v/>
      </c>
      <c r="K7" s="4">
        <f>IFERROR(((0+B2+B3+B4+B5+B6+B7)/T2),0)</f>
        <v/>
      </c>
      <c r="L7" s="5">
        <f>IFERROR(ROUND(B7/D7,2),0)</f>
        <v/>
      </c>
      <c r="M7" s="5">
        <f>IFERROR(ROUND(B7/E7,2),0)</f>
        <v/>
      </c>
    </row>
    <row r="8">
      <c r="A8" s="6" t="inlineStr">
        <is>
          <t>Total</t>
        </is>
      </c>
      <c r="B8" s="7">
        <f>ROUND(1178.96,2)</f>
        <v/>
      </c>
      <c r="C8" s="8">
        <f>ROUND(3210499.0,2)</f>
        <v/>
      </c>
      <c r="D8" s="8">
        <f>ROUND(106441.0,2)</f>
        <v/>
      </c>
      <c r="E8" s="8">
        <f>ROUND(0.0,2)</f>
        <v/>
      </c>
      <c r="F8" s="8">
        <f>ROUND(0.0,2)</f>
        <v/>
      </c>
      <c r="G8" s="8">
        <f>ROUND(0.0,2)</f>
        <v/>
      </c>
      <c r="H8" s="8">
        <f>ROUND(0.0,2)</f>
        <v/>
      </c>
      <c r="I8" s="8">
        <f>ROUND(0.0,2)</f>
        <v/>
      </c>
      <c r="J8" s="9">
        <f>IFERROR((D8/C8),0)</f>
        <v/>
      </c>
      <c r="K8" s="9">
        <f>IFERROR(((0+B8)/T2),0)</f>
        <v/>
      </c>
      <c r="L8" s="7">
        <f>IFERROR(B8/D8,0)</f>
        <v/>
      </c>
      <c r="M8" s="7">
        <f>IFERROR(ROUND(B8/E8,2),0)</f>
        <v/>
      </c>
      <c r="N8" s="1" t="inlineStr">
        <is>
          <t>Static</t>
        </is>
      </c>
      <c r="AA8" s="1" t="inlineStr">
        <is>
          <t>Static</t>
        </is>
      </c>
      <c r="AN8" s="1" t="inlineStr">
        <is>
          <t>Static</t>
        </is>
      </c>
      <c r="BA8" s="1" t="inlineStr">
        <is>
          <t>Static</t>
        </is>
      </c>
      <c r="BN8" s="1" t="inlineStr">
        <is>
          <t>Static</t>
        </is>
      </c>
      <c r="CA8" s="1" t="inlineStr">
        <is>
          <t>Static</t>
        </is>
      </c>
      <c r="CN8" s="1" t="inlineStr">
        <is>
          <t>Static</t>
        </is>
      </c>
      <c r="DA8" s="1" t="inlineStr">
        <is>
          <t>Static</t>
        </is>
      </c>
      <c r="DN8" s="1" t="inlineStr">
        <is>
          <t>Static</t>
        </is>
      </c>
      <c r="EA8" s="1" t="inlineStr">
        <is>
          <t>Static</t>
        </is>
      </c>
      <c r="EN8" s="1" t="inlineStr">
        <is>
          <t>Static</t>
        </is>
      </c>
      <c r="FA8" s="1" t="inlineStr">
        <is>
          <t>Static</t>
        </is>
      </c>
      <c r="FN8" s="1" t="inlineStr">
        <is>
          <t>Static</t>
        </is>
      </c>
      <c r="GA8" s="1" t="inlineStr">
        <is>
          <t>Static</t>
        </is>
      </c>
      <c r="GN8" s="1" t="inlineStr">
        <is>
          <t>Static</t>
        </is>
      </c>
      <c r="HA8" s="1" t="inlineStr">
        <is>
          <t>Static</t>
        </is>
      </c>
      <c r="HN8" s="1" t="inlineStr">
        <is>
          <t>Static</t>
        </is>
      </c>
      <c r="IA8" s="1" t="inlineStr">
        <is>
          <t>Static</t>
        </is>
      </c>
      <c r="IN8" s="1" t="inlineStr">
        <is>
          <t>Static</t>
        </is>
      </c>
      <c r="JA8" s="1" t="inlineStr">
        <is>
          <t>Static</t>
        </is>
      </c>
      <c r="JN8" s="1" t="inlineStr">
        <is>
          <t>Static</t>
        </is>
      </c>
      <c r="KA8" s="1" t="inlineStr">
        <is>
          <t>Static</t>
        </is>
      </c>
      <c r="KN8" s="1" t="inlineStr">
        <is>
          <t>Static</t>
        </is>
      </c>
      <c r="LA8" s="1" t="inlineStr">
        <is>
          <t>Static</t>
        </is>
      </c>
      <c r="LN8" s="1" t="inlineStr">
        <is>
          <t>Static</t>
        </is>
      </c>
      <c r="MA8" s="1" t="inlineStr">
        <is>
          <t>Static</t>
        </is>
      </c>
      <c r="MN8" s="1" t="inlineStr">
        <is>
          <t>Static</t>
        </is>
      </c>
      <c r="NA8" s="1" t="inlineStr">
        <is>
          <t>Static</t>
        </is>
      </c>
      <c r="NN8" s="1" t="inlineStr">
        <is>
          <t>Static</t>
        </is>
      </c>
      <c r="OA8" s="1" t="inlineStr">
        <is>
          <t>Static</t>
        </is>
      </c>
      <c r="ON8" s="1" t="inlineStr">
        <is>
          <t>Static</t>
        </is>
      </c>
      <c r="PA8" s="1" t="inlineStr">
        <is>
          <t>Static</t>
        </is>
      </c>
      <c r="PN8" s="1" t="inlineStr">
        <is>
          <t>Static</t>
        </is>
      </c>
      <c r="QA8" s="1" t="inlineStr">
        <is>
          <t>Static</t>
        </is>
      </c>
      <c r="QN8" s="1" t="inlineStr">
        <is>
          <t>Static</t>
        </is>
      </c>
      <c r="RA8" s="1" t="inlineStr">
        <is>
          <t>Static</t>
        </is>
      </c>
      <c r="RN8" s="1" t="inlineStr">
        <is>
          <t>Static</t>
        </is>
      </c>
      <c r="SA8" s="1" t="inlineStr">
        <is>
          <t>Static</t>
        </is>
      </c>
      <c r="SN8" s="1" t="inlineStr">
        <is>
          <t>Static</t>
        </is>
      </c>
    </row>
    <row r="9">
      <c r="N9" s="1" t="inlineStr">
        <is>
          <t xml:space="preserve">AC_Car_OP01 (AR) </t>
        </is>
      </c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1" t="n"/>
      <c r="AA9" s="1" t="inlineStr">
        <is>
          <t xml:space="preserve">WT_OP02 (AR) </t>
        </is>
      </c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1" t="n"/>
      <c r="AN9" s="1" t="inlineStr">
        <is>
          <t xml:space="preserve">Air_Purif_OP02 (AR) </t>
        </is>
      </c>
      <c r="AO9" s="10" t="n"/>
      <c r="AP9" s="10" t="n"/>
      <c r="AQ9" s="10" t="n"/>
      <c r="AR9" s="10" t="n"/>
      <c r="AS9" s="10" t="n"/>
      <c r="AT9" s="10" t="n"/>
      <c r="AU9" s="10" t="n"/>
      <c r="AV9" s="10" t="n"/>
      <c r="AW9" s="10" t="n"/>
      <c r="AX9" s="10" t="n"/>
      <c r="AY9" s="10" t="n"/>
      <c r="AZ9" s="11" t="n"/>
      <c r="BA9" s="1" t="inlineStr">
        <is>
          <t xml:space="preserve">DW_OP01 (AR) </t>
        </is>
      </c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 t="n"/>
      <c r="BK9" s="10" t="n"/>
      <c r="BL9" s="10" t="n"/>
      <c r="BM9" s="11" t="n"/>
      <c r="BN9" s="1" t="inlineStr">
        <is>
          <t xml:space="preserve">DW_OP02 (AR) </t>
        </is>
      </c>
      <c r="BO9" s="10" t="n"/>
      <c r="BP9" s="10" t="n"/>
      <c r="BQ9" s="10" t="n"/>
      <c r="BR9" s="10" t="n"/>
      <c r="BS9" s="10" t="n"/>
      <c r="BT9" s="10" t="n"/>
      <c r="BU9" s="10" t="n"/>
      <c r="BV9" s="10" t="n"/>
      <c r="BW9" s="10" t="n"/>
      <c r="BX9" s="10" t="n"/>
      <c r="BY9" s="10" t="n"/>
      <c r="BZ9" s="11" t="n"/>
      <c r="CA9" s="1" t="inlineStr">
        <is>
          <t xml:space="preserve">WT_OP01 (AR) </t>
        </is>
      </c>
      <c r="CB9" s="10" t="n"/>
      <c r="CC9" s="10" t="n"/>
      <c r="CD9" s="10" t="n"/>
      <c r="CE9" s="10" t="n"/>
      <c r="CF9" s="10" t="n"/>
      <c r="CG9" s="10" t="n"/>
      <c r="CH9" s="10" t="n"/>
      <c r="CI9" s="10" t="n"/>
      <c r="CJ9" s="10" t="n"/>
      <c r="CK9" s="10" t="n"/>
      <c r="CL9" s="10" t="n"/>
      <c r="CM9" s="11" t="n"/>
      <c r="CN9" s="1" t="inlineStr">
        <is>
          <t xml:space="preserve">Oled_VO_OP01 (AR) </t>
        </is>
      </c>
      <c r="CO9" s="10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 t="n"/>
      <c r="CY9" s="10" t="n"/>
      <c r="CZ9" s="11" t="n"/>
      <c r="DA9" s="1" t="inlineStr">
        <is>
          <t xml:space="preserve">WM_OP02 (AR) </t>
        </is>
      </c>
      <c r="DB9" s="10" t="n"/>
      <c r="DC9" s="10" t="n"/>
      <c r="DD9" s="10" t="n"/>
      <c r="DE9" s="10" t="n"/>
      <c r="DF9" s="10" t="n"/>
      <c r="DG9" s="10" t="n"/>
      <c r="DH9" s="10" t="n"/>
      <c r="DI9" s="10" t="n"/>
      <c r="DJ9" s="10" t="n"/>
      <c r="DK9" s="10" t="n"/>
      <c r="DL9" s="10" t="n"/>
      <c r="DM9" s="11" t="n"/>
      <c r="DN9" s="1" t="inlineStr">
        <is>
          <t xml:space="preserve">Air_Purif_OP01 (AR) </t>
        </is>
      </c>
      <c r="DO9" s="10" t="n"/>
      <c r="DP9" s="10" t="n"/>
      <c r="DQ9" s="10" t="n"/>
      <c r="DR9" s="10" t="n"/>
      <c r="DS9" s="10" t="n"/>
      <c r="DT9" s="10" t="n"/>
      <c r="DU9" s="10" t="n"/>
      <c r="DV9" s="10" t="n"/>
      <c r="DW9" s="10" t="n"/>
      <c r="DX9" s="10" t="n"/>
      <c r="DY9" s="10" t="n"/>
      <c r="DZ9" s="11" t="n"/>
      <c r="EA9" s="1" t="inlineStr">
        <is>
          <t xml:space="preserve">AC_Car_OP02 (AR) </t>
        </is>
      </c>
      <c r="EB9" s="10" t="n"/>
      <c r="EC9" s="10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 t="n"/>
      <c r="EM9" s="11" t="n"/>
      <c r="EN9" s="1" t="inlineStr">
        <is>
          <t xml:space="preserve">RAC_ThinQ_OP01 (AR) </t>
        </is>
      </c>
      <c r="EO9" s="10" t="n"/>
      <c r="EP9" s="10" t="n"/>
      <c r="EQ9" s="10" t="n"/>
      <c r="ER9" s="10" t="n"/>
      <c r="ES9" s="10" t="n"/>
      <c r="ET9" s="10" t="n"/>
      <c r="EU9" s="10" t="n"/>
      <c r="EV9" s="10" t="n"/>
      <c r="EW9" s="10" t="n"/>
      <c r="EX9" s="10" t="n"/>
      <c r="EY9" s="10" t="n"/>
      <c r="EZ9" s="11" t="n"/>
      <c r="FA9" s="1" t="inlineStr">
        <is>
          <t xml:space="preserve">RAC_ThinQ_OP02 (AR) </t>
        </is>
      </c>
      <c r="FB9" s="10" t="n"/>
      <c r="FC9" s="10" t="n"/>
      <c r="FD9" s="10" t="n"/>
      <c r="FE9" s="10" t="n"/>
      <c r="FF9" s="10" t="n"/>
      <c r="FG9" s="10" t="n"/>
      <c r="FH9" s="10" t="n"/>
      <c r="FI9" s="10" t="n"/>
      <c r="FJ9" s="10" t="n"/>
      <c r="FK9" s="10" t="n"/>
      <c r="FL9" s="10" t="n"/>
      <c r="FM9" s="11" t="n"/>
      <c r="FN9" s="1" t="inlineStr">
        <is>
          <t xml:space="preserve">Oled_VO_OP02 (AR) </t>
        </is>
      </c>
      <c r="FO9" s="10" t="n"/>
      <c r="FP9" s="10" t="n"/>
      <c r="FQ9" s="10" t="n"/>
      <c r="FR9" s="10" t="n"/>
      <c r="FS9" s="10" t="n"/>
      <c r="FT9" s="10" t="n"/>
      <c r="FU9" s="10" t="n"/>
      <c r="FV9" s="10" t="n"/>
      <c r="FW9" s="10" t="n"/>
      <c r="FX9" s="10" t="n"/>
      <c r="FY9" s="10" t="n"/>
      <c r="FZ9" s="11" t="n"/>
      <c r="GA9" s="1" t="inlineStr">
        <is>
          <t xml:space="preserve">Vacuum_OP01 (AR) </t>
        </is>
      </c>
      <c r="GB9" s="10" t="n"/>
      <c r="GC9" s="10" t="n"/>
      <c r="GD9" s="10" t="n"/>
      <c r="GE9" s="10" t="n"/>
      <c r="GF9" s="10" t="n"/>
      <c r="GG9" s="10" t="n"/>
      <c r="GH9" s="10" t="n"/>
      <c r="GI9" s="10" t="n"/>
      <c r="GJ9" s="10" t="n"/>
      <c r="GK9" s="10" t="n"/>
      <c r="GL9" s="10" t="n"/>
      <c r="GM9" s="11" t="n"/>
      <c r="GN9" s="1" t="inlineStr">
        <is>
          <t xml:space="preserve">Vacuum_OP02 (AR) </t>
        </is>
      </c>
      <c r="GO9" s="10" t="n"/>
      <c r="GP9" s="10" t="n"/>
      <c r="GQ9" s="10" t="n"/>
      <c r="GR9" s="10" t="n"/>
      <c r="GS9" s="10" t="n"/>
      <c r="GT9" s="10" t="n"/>
      <c r="GU9" s="10" t="n"/>
      <c r="GV9" s="10" t="n"/>
      <c r="GW9" s="10" t="n"/>
      <c r="GX9" s="10" t="n"/>
      <c r="GY9" s="10" t="n"/>
      <c r="GZ9" s="11" t="n"/>
      <c r="HA9" s="1" t="inlineStr">
        <is>
          <t xml:space="preserve">WM_OP01 (AR) </t>
        </is>
      </c>
      <c r="HB9" s="10" t="n"/>
      <c r="HC9" s="10" t="n"/>
      <c r="HD9" s="10" t="n"/>
      <c r="HE9" s="10" t="n"/>
      <c r="HF9" s="10" t="n"/>
      <c r="HG9" s="10" t="n"/>
      <c r="HH9" s="10" t="n"/>
      <c r="HI9" s="10" t="n"/>
      <c r="HJ9" s="10" t="n"/>
      <c r="HK9" s="10" t="n"/>
      <c r="HL9" s="10" t="n"/>
      <c r="HM9" s="11" t="n"/>
      <c r="HN9" s="1" t="inlineStr">
        <is>
          <t xml:space="preserve">Ref_ThinQ_OP02 (AR) </t>
        </is>
      </c>
      <c r="HO9" s="10" t="n"/>
      <c r="HP9" s="10" t="n"/>
      <c r="HQ9" s="10" t="n"/>
      <c r="HR9" s="10" t="n"/>
      <c r="HS9" s="10" t="n"/>
      <c r="HT9" s="10" t="n"/>
      <c r="HU9" s="10" t="n"/>
      <c r="HV9" s="10" t="n"/>
      <c r="HW9" s="10" t="n"/>
      <c r="HX9" s="10" t="n"/>
      <c r="HY9" s="10" t="n"/>
      <c r="HZ9" s="11" t="n"/>
      <c r="IA9" s="1" t="inlineStr">
        <is>
          <t xml:space="preserve">Knock_OP01 (AR) </t>
        </is>
      </c>
      <c r="IB9" s="10" t="n"/>
      <c r="IC9" s="10" t="n"/>
      <c r="ID9" s="10" t="n"/>
      <c r="IE9" s="10" t="n"/>
      <c r="IF9" s="10" t="n"/>
      <c r="IG9" s="10" t="n"/>
      <c r="IH9" s="10" t="n"/>
      <c r="II9" s="10" t="n"/>
      <c r="IJ9" s="10" t="n"/>
      <c r="IK9" s="10" t="n"/>
      <c r="IL9" s="10" t="n"/>
      <c r="IM9" s="11" t="n"/>
      <c r="IN9" s="1" t="inlineStr">
        <is>
          <t xml:space="preserve">Knock_OP02 (AR) </t>
        </is>
      </c>
      <c r="IO9" s="10" t="n"/>
      <c r="IP9" s="10" t="n"/>
      <c r="IQ9" s="10" t="n"/>
      <c r="IR9" s="10" t="n"/>
      <c r="IS9" s="10" t="n"/>
      <c r="IT9" s="10" t="n"/>
      <c r="IU9" s="10" t="n"/>
      <c r="IV9" s="10" t="n"/>
      <c r="IW9" s="10" t="n"/>
      <c r="IX9" s="10" t="n"/>
      <c r="IY9" s="10" t="n"/>
      <c r="IZ9" s="11" t="n"/>
      <c r="JA9" s="1" t="inlineStr">
        <is>
          <t xml:space="preserve">Ref_ThinQ_OP01 (AR) </t>
        </is>
      </c>
      <c r="JB9" s="10" t="n"/>
      <c r="JC9" s="10" t="n"/>
      <c r="JD9" s="10" t="n"/>
      <c r="JE9" s="10" t="n"/>
      <c r="JF9" s="10" t="n"/>
      <c r="JG9" s="10" t="n"/>
      <c r="JH9" s="10" t="n"/>
      <c r="JI9" s="10" t="n"/>
      <c r="JJ9" s="10" t="n"/>
      <c r="JK9" s="10" t="n"/>
      <c r="JL9" s="10" t="n"/>
      <c r="JM9" s="11" t="n"/>
      <c r="JN9" s="1" t="inlineStr">
        <is>
          <t xml:space="preserve">Vacuum_OP01 (KU) </t>
        </is>
      </c>
      <c r="JO9" s="10" t="n"/>
      <c r="JP9" s="10" t="n"/>
      <c r="JQ9" s="10" t="n"/>
      <c r="JR9" s="10" t="n"/>
      <c r="JS9" s="10" t="n"/>
      <c r="JT9" s="10" t="n"/>
      <c r="JU9" s="10" t="n"/>
      <c r="JV9" s="10" t="n"/>
      <c r="JW9" s="10" t="n"/>
      <c r="JX9" s="10" t="n"/>
      <c r="JY9" s="10" t="n"/>
      <c r="JZ9" s="11" t="n"/>
      <c r="KA9" s="1" t="inlineStr">
        <is>
          <t xml:space="preserve">Ref_ThinQ_OP02 (KU) </t>
        </is>
      </c>
      <c r="KB9" s="10" t="n"/>
      <c r="KC9" s="10" t="n"/>
      <c r="KD9" s="10" t="n"/>
      <c r="KE9" s="10" t="n"/>
      <c r="KF9" s="10" t="n"/>
      <c r="KG9" s="10" t="n"/>
      <c r="KH9" s="10" t="n"/>
      <c r="KI9" s="10" t="n"/>
      <c r="KJ9" s="10" t="n"/>
      <c r="KK9" s="10" t="n"/>
      <c r="KL9" s="10" t="n"/>
      <c r="KM9" s="11" t="n"/>
      <c r="KN9" s="1" t="inlineStr">
        <is>
          <t xml:space="preserve">Ref_ThinQ_OP01 (KU) </t>
        </is>
      </c>
      <c r="KO9" s="10" t="n"/>
      <c r="KP9" s="10" t="n"/>
      <c r="KQ9" s="10" t="n"/>
      <c r="KR9" s="10" t="n"/>
      <c r="KS9" s="10" t="n"/>
      <c r="KT9" s="10" t="n"/>
      <c r="KU9" s="10" t="n"/>
      <c r="KV9" s="10" t="n"/>
      <c r="KW9" s="10" t="n"/>
      <c r="KX9" s="10" t="n"/>
      <c r="KY9" s="10" t="n"/>
      <c r="KZ9" s="11" t="n"/>
      <c r="LA9" s="1" t="inlineStr">
        <is>
          <t xml:space="preserve">Knock_OP02 (KU) </t>
        </is>
      </c>
      <c r="LB9" s="10" t="n"/>
      <c r="LC9" s="10" t="n"/>
      <c r="LD9" s="10" t="n"/>
      <c r="LE9" s="10" t="n"/>
      <c r="LF9" s="10" t="n"/>
      <c r="LG9" s="10" t="n"/>
      <c r="LH9" s="10" t="n"/>
      <c r="LI9" s="10" t="n"/>
      <c r="LJ9" s="10" t="n"/>
      <c r="LK9" s="10" t="n"/>
      <c r="LL9" s="10" t="n"/>
      <c r="LM9" s="11" t="n"/>
      <c r="LN9" s="1" t="inlineStr">
        <is>
          <t xml:space="preserve">Knock_OP01 (KU) </t>
        </is>
      </c>
      <c r="LO9" s="10" t="n"/>
      <c r="LP9" s="10" t="n"/>
      <c r="LQ9" s="10" t="n"/>
      <c r="LR9" s="10" t="n"/>
      <c r="LS9" s="10" t="n"/>
      <c r="LT9" s="10" t="n"/>
      <c r="LU9" s="10" t="n"/>
      <c r="LV9" s="10" t="n"/>
      <c r="LW9" s="10" t="n"/>
      <c r="LX9" s="10" t="n"/>
      <c r="LY9" s="10" t="n"/>
      <c r="LZ9" s="11" t="n"/>
      <c r="MA9" s="1" t="inlineStr">
        <is>
          <t xml:space="preserve">Vacuum_OP02 (KU) </t>
        </is>
      </c>
      <c r="MB9" s="10" t="n"/>
      <c r="MC9" s="10" t="n"/>
      <c r="MD9" s="10" t="n"/>
      <c r="ME9" s="10" t="n"/>
      <c r="MF9" s="10" t="n"/>
      <c r="MG9" s="10" t="n"/>
      <c r="MH9" s="10" t="n"/>
      <c r="MI9" s="10" t="n"/>
      <c r="MJ9" s="10" t="n"/>
      <c r="MK9" s="10" t="n"/>
      <c r="ML9" s="10" t="n"/>
      <c r="MM9" s="11" t="n"/>
      <c r="MN9" s="1" t="inlineStr">
        <is>
          <t xml:space="preserve">AC_Car_OP01 (KU) </t>
        </is>
      </c>
      <c r="MO9" s="10" t="n"/>
      <c r="MP9" s="10" t="n"/>
      <c r="MQ9" s="10" t="n"/>
      <c r="MR9" s="10" t="n"/>
      <c r="MS9" s="10" t="n"/>
      <c r="MT9" s="10" t="n"/>
      <c r="MU9" s="10" t="n"/>
      <c r="MV9" s="10" t="n"/>
      <c r="MW9" s="10" t="n"/>
      <c r="MX9" s="10" t="n"/>
      <c r="MY9" s="10" t="n"/>
      <c r="MZ9" s="11" t="n"/>
      <c r="NA9" s="1" t="inlineStr">
        <is>
          <t xml:space="preserve">WT_OP02 (KU) </t>
        </is>
      </c>
      <c r="NB9" s="10" t="n"/>
      <c r="NC9" s="10" t="n"/>
      <c r="ND9" s="10" t="n"/>
      <c r="NE9" s="10" t="n"/>
      <c r="NF9" s="10" t="n"/>
      <c r="NG9" s="10" t="n"/>
      <c r="NH9" s="10" t="n"/>
      <c r="NI9" s="10" t="n"/>
      <c r="NJ9" s="10" t="n"/>
      <c r="NK9" s="10" t="n"/>
      <c r="NL9" s="10" t="n"/>
      <c r="NM9" s="11" t="n"/>
      <c r="NN9" s="1" t="inlineStr">
        <is>
          <t xml:space="preserve">WM_OP02 (KU) </t>
        </is>
      </c>
      <c r="NO9" s="10" t="n"/>
      <c r="NP9" s="10" t="n"/>
      <c r="NQ9" s="10" t="n"/>
      <c r="NR9" s="10" t="n"/>
      <c r="NS9" s="10" t="n"/>
      <c r="NT9" s="10" t="n"/>
      <c r="NU9" s="10" t="n"/>
      <c r="NV9" s="10" t="n"/>
      <c r="NW9" s="10" t="n"/>
      <c r="NX9" s="10" t="n"/>
      <c r="NY9" s="10" t="n"/>
      <c r="NZ9" s="11" t="n"/>
      <c r="OA9" s="1" t="inlineStr">
        <is>
          <t xml:space="preserve">WM_OP01 (KU) </t>
        </is>
      </c>
      <c r="OB9" s="10" t="n"/>
      <c r="OC9" s="10" t="n"/>
      <c r="OD9" s="10" t="n"/>
      <c r="OE9" s="10" t="n"/>
      <c r="OF9" s="10" t="n"/>
      <c r="OG9" s="10" t="n"/>
      <c r="OH9" s="10" t="n"/>
      <c r="OI9" s="10" t="n"/>
      <c r="OJ9" s="10" t="n"/>
      <c r="OK9" s="10" t="n"/>
      <c r="OL9" s="10" t="n"/>
      <c r="OM9" s="11" t="n"/>
      <c r="ON9" s="1" t="inlineStr">
        <is>
          <t xml:space="preserve">Oled_VO_OP02 (KU) </t>
        </is>
      </c>
      <c r="OO9" s="10" t="n"/>
      <c r="OP9" s="10" t="n"/>
      <c r="OQ9" s="10" t="n"/>
      <c r="OR9" s="10" t="n"/>
      <c r="OS9" s="10" t="n"/>
      <c r="OT9" s="10" t="n"/>
      <c r="OU9" s="10" t="n"/>
      <c r="OV9" s="10" t="n"/>
      <c r="OW9" s="10" t="n"/>
      <c r="OX9" s="10" t="n"/>
      <c r="OY9" s="10" t="n"/>
      <c r="OZ9" s="11" t="n"/>
      <c r="PA9" s="1" t="inlineStr">
        <is>
          <t xml:space="preserve">Air_Purif_OP01 (KU) </t>
        </is>
      </c>
      <c r="PB9" s="10" t="n"/>
      <c r="PC9" s="10" t="n"/>
      <c r="PD9" s="10" t="n"/>
      <c r="PE9" s="10" t="n"/>
      <c r="PF9" s="10" t="n"/>
      <c r="PG9" s="10" t="n"/>
      <c r="PH9" s="10" t="n"/>
      <c r="PI9" s="10" t="n"/>
      <c r="PJ9" s="10" t="n"/>
      <c r="PK9" s="10" t="n"/>
      <c r="PL9" s="10" t="n"/>
      <c r="PM9" s="11" t="n"/>
      <c r="PN9" s="1" t="inlineStr">
        <is>
          <t xml:space="preserve">RAC_ThinQ_OP02 (KU) </t>
        </is>
      </c>
      <c r="PO9" s="10" t="n"/>
      <c r="PP9" s="10" t="n"/>
      <c r="PQ9" s="10" t="n"/>
      <c r="PR9" s="10" t="n"/>
      <c r="PS9" s="10" t="n"/>
      <c r="PT9" s="10" t="n"/>
      <c r="PU9" s="10" t="n"/>
      <c r="PV9" s="10" t="n"/>
      <c r="PW9" s="10" t="n"/>
      <c r="PX9" s="10" t="n"/>
      <c r="PY9" s="10" t="n"/>
      <c r="PZ9" s="11" t="n"/>
      <c r="QA9" s="1" t="inlineStr">
        <is>
          <t xml:space="preserve">RAC_ThinQ_OP01 (KU) </t>
        </is>
      </c>
      <c r="QB9" s="10" t="n"/>
      <c r="QC9" s="10" t="n"/>
      <c r="QD9" s="10" t="n"/>
      <c r="QE9" s="10" t="n"/>
      <c r="QF9" s="10" t="n"/>
      <c r="QG9" s="10" t="n"/>
      <c r="QH9" s="10" t="n"/>
      <c r="QI9" s="10" t="n"/>
      <c r="QJ9" s="10" t="n"/>
      <c r="QK9" s="10" t="n"/>
      <c r="QL9" s="10" t="n"/>
      <c r="QM9" s="11" t="n"/>
      <c r="QN9" s="1" t="inlineStr">
        <is>
          <t xml:space="preserve">AC_Car_OP02 (KU) </t>
        </is>
      </c>
      <c r="QO9" s="10" t="n"/>
      <c r="QP9" s="10" t="n"/>
      <c r="QQ9" s="10" t="n"/>
      <c r="QR9" s="10" t="n"/>
      <c r="QS9" s="10" t="n"/>
      <c r="QT9" s="10" t="n"/>
      <c r="QU9" s="10" t="n"/>
      <c r="QV9" s="10" t="n"/>
      <c r="QW9" s="10" t="n"/>
      <c r="QX9" s="10" t="n"/>
      <c r="QY9" s="10" t="n"/>
      <c r="QZ9" s="11" t="n"/>
      <c r="RA9" s="1" t="inlineStr">
        <is>
          <t xml:space="preserve">Air_Purif_OP02 (KU) </t>
        </is>
      </c>
      <c r="RB9" s="10" t="n"/>
      <c r="RC9" s="10" t="n"/>
      <c r="RD9" s="10" t="n"/>
      <c r="RE9" s="10" t="n"/>
      <c r="RF9" s="10" t="n"/>
      <c r="RG9" s="10" t="n"/>
      <c r="RH9" s="10" t="n"/>
      <c r="RI9" s="10" t="n"/>
      <c r="RJ9" s="10" t="n"/>
      <c r="RK9" s="10" t="n"/>
      <c r="RL9" s="10" t="n"/>
      <c r="RM9" s="11" t="n"/>
      <c r="RN9" s="1" t="inlineStr">
        <is>
          <t xml:space="preserve">Oled_VO_OP01 (KU) </t>
        </is>
      </c>
      <c r="RO9" s="10" t="n"/>
      <c r="RP9" s="10" t="n"/>
      <c r="RQ9" s="10" t="n"/>
      <c r="RR9" s="10" t="n"/>
      <c r="RS9" s="10" t="n"/>
      <c r="RT9" s="10" t="n"/>
      <c r="RU9" s="10" t="n"/>
      <c r="RV9" s="10" t="n"/>
      <c r="RW9" s="10" t="n"/>
      <c r="RX9" s="10" t="n"/>
      <c r="RY9" s="10" t="n"/>
      <c r="RZ9" s="11" t="n"/>
      <c r="SA9" s="1" t="inlineStr">
        <is>
          <t xml:space="preserve">DW_OP02 (KU) </t>
        </is>
      </c>
      <c r="SB9" s="10" t="n"/>
      <c r="SC9" s="10" t="n"/>
      <c r="SD9" s="10" t="n"/>
      <c r="SE9" s="10" t="n"/>
      <c r="SF9" s="10" t="n"/>
      <c r="SG9" s="10" t="n"/>
      <c r="SH9" s="10" t="n"/>
      <c r="SI9" s="10" t="n"/>
      <c r="SJ9" s="10" t="n"/>
      <c r="SK9" s="10" t="n"/>
      <c r="SL9" s="10" t="n"/>
      <c r="SM9" s="11" t="n"/>
      <c r="SN9" s="1" t="inlineStr">
        <is>
          <t xml:space="preserve">DW_OP01 (KU) </t>
        </is>
      </c>
      <c r="SO9" s="10" t="n"/>
      <c r="SP9" s="10" t="n"/>
      <c r="SQ9" s="10" t="n"/>
      <c r="SR9" s="10" t="n"/>
      <c r="SS9" s="10" t="n"/>
      <c r="ST9" s="10" t="n"/>
      <c r="SU9" s="10" t="n"/>
      <c r="SV9" s="10" t="n"/>
      <c r="SW9" s="10" t="n"/>
      <c r="SX9" s="10" t="n"/>
      <c r="SY9" s="10" t="n"/>
      <c r="SZ9" s="11" t="n"/>
    </row>
    <row r="10">
      <c r="A10" s="1" t="inlineStr">
        <is>
          <t>date</t>
        </is>
      </c>
      <c r="B10" s="1" t="inlineStr">
        <is>
          <t>budget</t>
        </is>
      </c>
      <c r="C10" s="1" t="inlineStr">
        <is>
          <t>impressions</t>
        </is>
      </c>
      <c r="D10" s="1" t="inlineStr">
        <is>
          <t>clicks</t>
        </is>
      </c>
      <c r="E10" s="1" t="inlineStr">
        <is>
          <t>view</t>
        </is>
      </c>
      <c r="F10" s="1" t="inlineStr">
        <is>
          <t>percent_25</t>
        </is>
      </c>
      <c r="G10" s="1" t="inlineStr">
        <is>
          <t>percent_50</t>
        </is>
      </c>
      <c r="H10" s="1" t="inlineStr">
        <is>
          <t>percent_75</t>
        </is>
      </c>
      <c r="I10" s="1" t="inlineStr">
        <is>
          <t>percent_100</t>
        </is>
      </c>
      <c r="J10" s="1" t="inlineStr">
        <is>
          <t>CTR</t>
        </is>
      </c>
      <c r="K10" s="1" t="inlineStr">
        <is>
          <t>Spent Budget %</t>
        </is>
      </c>
      <c r="L10" s="1" t="inlineStr">
        <is>
          <t>CPC</t>
        </is>
      </c>
      <c r="M10" s="1" t="inlineStr">
        <is>
          <t>CPV</t>
        </is>
      </c>
      <c r="N10" s="1" t="inlineStr">
        <is>
          <t>date</t>
        </is>
      </c>
      <c r="O10" s="1" t="inlineStr">
        <is>
          <t>budget</t>
        </is>
      </c>
      <c r="P10" s="1" t="inlineStr">
        <is>
          <t>impressions</t>
        </is>
      </c>
      <c r="Q10" s="1" t="inlineStr">
        <is>
          <t>clicks</t>
        </is>
      </c>
      <c r="R10" s="1" t="inlineStr">
        <is>
          <t>view</t>
        </is>
      </c>
      <c r="S10" s="1" t="inlineStr">
        <is>
          <t>percent_25</t>
        </is>
      </c>
      <c r="T10" s="1" t="inlineStr">
        <is>
          <t>percent_50</t>
        </is>
      </c>
      <c r="U10" s="1" t="inlineStr">
        <is>
          <t>percent_75</t>
        </is>
      </c>
      <c r="V10" s="1" t="inlineStr">
        <is>
          <t>percent_100</t>
        </is>
      </c>
      <c r="W10" s="1" t="inlineStr">
        <is>
          <t>CTR</t>
        </is>
      </c>
      <c r="X10" s="1" t="inlineStr">
        <is>
          <t>Spent Budget %</t>
        </is>
      </c>
      <c r="Y10" s="1" t="inlineStr">
        <is>
          <t>CPC</t>
        </is>
      </c>
      <c r="Z10" s="1" t="inlineStr">
        <is>
          <t>CPV</t>
        </is>
      </c>
      <c r="AA10" s="1" t="inlineStr">
        <is>
          <t>date</t>
        </is>
      </c>
      <c r="AB10" s="1" t="inlineStr">
        <is>
          <t>budget</t>
        </is>
      </c>
      <c r="AC10" s="1" t="inlineStr">
        <is>
          <t>impressions</t>
        </is>
      </c>
      <c r="AD10" s="1" t="inlineStr">
        <is>
          <t>clicks</t>
        </is>
      </c>
      <c r="AE10" s="1" t="inlineStr">
        <is>
          <t>view</t>
        </is>
      </c>
      <c r="AF10" s="1" t="inlineStr">
        <is>
          <t>percent_25</t>
        </is>
      </c>
      <c r="AG10" s="1" t="inlineStr">
        <is>
          <t>percent_50</t>
        </is>
      </c>
      <c r="AH10" s="1" t="inlineStr">
        <is>
          <t>percent_75</t>
        </is>
      </c>
      <c r="AI10" s="1" t="inlineStr">
        <is>
          <t>percent_100</t>
        </is>
      </c>
      <c r="AJ10" s="1" t="inlineStr">
        <is>
          <t>CTR</t>
        </is>
      </c>
      <c r="AK10" s="1" t="inlineStr">
        <is>
          <t>Spent Budget %</t>
        </is>
      </c>
      <c r="AL10" s="1" t="inlineStr">
        <is>
          <t>CPC</t>
        </is>
      </c>
      <c r="AM10" s="1" t="inlineStr">
        <is>
          <t>CPV</t>
        </is>
      </c>
      <c r="AN10" s="1" t="inlineStr">
        <is>
          <t>date</t>
        </is>
      </c>
      <c r="AO10" s="1" t="inlineStr">
        <is>
          <t>budget</t>
        </is>
      </c>
      <c r="AP10" s="1" t="inlineStr">
        <is>
          <t>impressions</t>
        </is>
      </c>
      <c r="AQ10" s="1" t="inlineStr">
        <is>
          <t>clicks</t>
        </is>
      </c>
      <c r="AR10" s="1" t="inlineStr">
        <is>
          <t>view</t>
        </is>
      </c>
      <c r="AS10" s="1" t="inlineStr">
        <is>
          <t>percent_25</t>
        </is>
      </c>
      <c r="AT10" s="1" t="inlineStr">
        <is>
          <t>percent_50</t>
        </is>
      </c>
      <c r="AU10" s="1" t="inlineStr">
        <is>
          <t>percent_75</t>
        </is>
      </c>
      <c r="AV10" s="1" t="inlineStr">
        <is>
          <t>percent_100</t>
        </is>
      </c>
      <c r="AW10" s="1" t="inlineStr">
        <is>
          <t>CTR</t>
        </is>
      </c>
      <c r="AX10" s="1" t="inlineStr">
        <is>
          <t>Spent Budget %</t>
        </is>
      </c>
      <c r="AY10" s="1" t="inlineStr">
        <is>
          <t>CPC</t>
        </is>
      </c>
      <c r="AZ10" s="1" t="inlineStr">
        <is>
          <t>CPV</t>
        </is>
      </c>
      <c r="BA10" s="1" t="inlineStr">
        <is>
          <t>date</t>
        </is>
      </c>
      <c r="BB10" s="1" t="inlineStr">
        <is>
          <t>budget</t>
        </is>
      </c>
      <c r="BC10" s="1" t="inlineStr">
        <is>
          <t>impressions</t>
        </is>
      </c>
      <c r="BD10" s="1" t="inlineStr">
        <is>
          <t>clicks</t>
        </is>
      </c>
      <c r="BE10" s="1" t="inlineStr">
        <is>
          <t>view</t>
        </is>
      </c>
      <c r="BF10" s="1" t="inlineStr">
        <is>
          <t>percent_25</t>
        </is>
      </c>
      <c r="BG10" s="1" t="inlineStr">
        <is>
          <t>percent_50</t>
        </is>
      </c>
      <c r="BH10" s="1" t="inlineStr">
        <is>
          <t>percent_75</t>
        </is>
      </c>
      <c r="BI10" s="1" t="inlineStr">
        <is>
          <t>percent_100</t>
        </is>
      </c>
      <c r="BJ10" s="1" t="inlineStr">
        <is>
          <t>CTR</t>
        </is>
      </c>
      <c r="BK10" s="1" t="inlineStr">
        <is>
          <t>Spent Budget %</t>
        </is>
      </c>
      <c r="BL10" s="1" t="inlineStr">
        <is>
          <t>CPC</t>
        </is>
      </c>
      <c r="BM10" s="1" t="inlineStr">
        <is>
          <t>CPV</t>
        </is>
      </c>
      <c r="BN10" s="1" t="inlineStr">
        <is>
          <t>date</t>
        </is>
      </c>
      <c r="BO10" s="1" t="inlineStr">
        <is>
          <t>budget</t>
        </is>
      </c>
      <c r="BP10" s="1" t="inlineStr">
        <is>
          <t>impressions</t>
        </is>
      </c>
      <c r="BQ10" s="1" t="inlineStr">
        <is>
          <t>clicks</t>
        </is>
      </c>
      <c r="BR10" s="1" t="inlineStr">
        <is>
          <t>view</t>
        </is>
      </c>
      <c r="BS10" s="1" t="inlineStr">
        <is>
          <t>percent_25</t>
        </is>
      </c>
      <c r="BT10" s="1" t="inlineStr">
        <is>
          <t>percent_50</t>
        </is>
      </c>
      <c r="BU10" s="1" t="inlineStr">
        <is>
          <t>percent_75</t>
        </is>
      </c>
      <c r="BV10" s="1" t="inlineStr">
        <is>
          <t>percent_100</t>
        </is>
      </c>
      <c r="BW10" s="1" t="inlineStr">
        <is>
          <t>CTR</t>
        </is>
      </c>
      <c r="BX10" s="1" t="inlineStr">
        <is>
          <t>Spent Budget %</t>
        </is>
      </c>
      <c r="BY10" s="1" t="inlineStr">
        <is>
          <t>CPC</t>
        </is>
      </c>
      <c r="BZ10" s="1" t="inlineStr">
        <is>
          <t>CPV</t>
        </is>
      </c>
      <c r="CA10" s="1" t="inlineStr">
        <is>
          <t>date</t>
        </is>
      </c>
      <c r="CB10" s="1" t="inlineStr">
        <is>
          <t>budget</t>
        </is>
      </c>
      <c r="CC10" s="1" t="inlineStr">
        <is>
          <t>impressions</t>
        </is>
      </c>
      <c r="CD10" s="1" t="inlineStr">
        <is>
          <t>clicks</t>
        </is>
      </c>
      <c r="CE10" s="1" t="inlineStr">
        <is>
          <t>view</t>
        </is>
      </c>
      <c r="CF10" s="1" t="inlineStr">
        <is>
          <t>percent_25</t>
        </is>
      </c>
      <c r="CG10" s="1" t="inlineStr">
        <is>
          <t>percent_50</t>
        </is>
      </c>
      <c r="CH10" s="1" t="inlineStr">
        <is>
          <t>percent_75</t>
        </is>
      </c>
      <c r="CI10" s="1" t="inlineStr">
        <is>
          <t>percent_100</t>
        </is>
      </c>
      <c r="CJ10" s="1" t="inlineStr">
        <is>
          <t>CTR</t>
        </is>
      </c>
      <c r="CK10" s="1" t="inlineStr">
        <is>
          <t>Spent Budget %</t>
        </is>
      </c>
      <c r="CL10" s="1" t="inlineStr">
        <is>
          <t>CPC</t>
        </is>
      </c>
      <c r="CM10" s="1" t="inlineStr">
        <is>
          <t>CPV</t>
        </is>
      </c>
      <c r="CN10" s="1" t="inlineStr">
        <is>
          <t>date</t>
        </is>
      </c>
      <c r="CO10" s="1" t="inlineStr">
        <is>
          <t>budget</t>
        </is>
      </c>
      <c r="CP10" s="1" t="inlineStr">
        <is>
          <t>impressions</t>
        </is>
      </c>
      <c r="CQ10" s="1" t="inlineStr">
        <is>
          <t>clicks</t>
        </is>
      </c>
      <c r="CR10" s="1" t="inlineStr">
        <is>
          <t>view</t>
        </is>
      </c>
      <c r="CS10" s="1" t="inlineStr">
        <is>
          <t>percent_25</t>
        </is>
      </c>
      <c r="CT10" s="1" t="inlineStr">
        <is>
          <t>percent_50</t>
        </is>
      </c>
      <c r="CU10" s="1" t="inlineStr">
        <is>
          <t>percent_75</t>
        </is>
      </c>
      <c r="CV10" s="1" t="inlineStr">
        <is>
          <t>percent_100</t>
        </is>
      </c>
      <c r="CW10" s="1" t="inlineStr">
        <is>
          <t>CTR</t>
        </is>
      </c>
      <c r="CX10" s="1" t="inlineStr">
        <is>
          <t>Spent Budget %</t>
        </is>
      </c>
      <c r="CY10" s="1" t="inlineStr">
        <is>
          <t>CPC</t>
        </is>
      </c>
      <c r="CZ10" s="1" t="inlineStr">
        <is>
          <t>CPV</t>
        </is>
      </c>
      <c r="DA10" s="1" t="inlineStr">
        <is>
          <t>date</t>
        </is>
      </c>
      <c r="DB10" s="1" t="inlineStr">
        <is>
          <t>budget</t>
        </is>
      </c>
      <c r="DC10" s="1" t="inlineStr">
        <is>
          <t>impressions</t>
        </is>
      </c>
      <c r="DD10" s="1" t="inlineStr">
        <is>
          <t>clicks</t>
        </is>
      </c>
      <c r="DE10" s="1" t="inlineStr">
        <is>
          <t>view</t>
        </is>
      </c>
      <c r="DF10" s="1" t="inlineStr">
        <is>
          <t>percent_25</t>
        </is>
      </c>
      <c r="DG10" s="1" t="inlineStr">
        <is>
          <t>percent_50</t>
        </is>
      </c>
      <c r="DH10" s="1" t="inlineStr">
        <is>
          <t>percent_75</t>
        </is>
      </c>
      <c r="DI10" s="1" t="inlineStr">
        <is>
          <t>percent_100</t>
        </is>
      </c>
      <c r="DJ10" s="1" t="inlineStr">
        <is>
          <t>CTR</t>
        </is>
      </c>
      <c r="DK10" s="1" t="inlineStr">
        <is>
          <t>Spent Budget %</t>
        </is>
      </c>
      <c r="DL10" s="1" t="inlineStr">
        <is>
          <t>CPC</t>
        </is>
      </c>
      <c r="DM10" s="1" t="inlineStr">
        <is>
          <t>CPV</t>
        </is>
      </c>
      <c r="DN10" s="1" t="inlineStr">
        <is>
          <t>date</t>
        </is>
      </c>
      <c r="DO10" s="1" t="inlineStr">
        <is>
          <t>budget</t>
        </is>
      </c>
      <c r="DP10" s="1" t="inlineStr">
        <is>
          <t>impressions</t>
        </is>
      </c>
      <c r="DQ10" s="1" t="inlineStr">
        <is>
          <t>clicks</t>
        </is>
      </c>
      <c r="DR10" s="1" t="inlineStr">
        <is>
          <t>view</t>
        </is>
      </c>
      <c r="DS10" s="1" t="inlineStr">
        <is>
          <t>percent_25</t>
        </is>
      </c>
      <c r="DT10" s="1" t="inlineStr">
        <is>
          <t>percent_50</t>
        </is>
      </c>
      <c r="DU10" s="1" t="inlineStr">
        <is>
          <t>percent_75</t>
        </is>
      </c>
      <c r="DV10" s="1" t="inlineStr">
        <is>
          <t>percent_100</t>
        </is>
      </c>
      <c r="DW10" s="1" t="inlineStr">
        <is>
          <t>CTR</t>
        </is>
      </c>
      <c r="DX10" s="1" t="inlineStr">
        <is>
          <t>Spent Budget %</t>
        </is>
      </c>
      <c r="DY10" s="1" t="inlineStr">
        <is>
          <t>CPC</t>
        </is>
      </c>
      <c r="DZ10" s="1" t="inlineStr">
        <is>
          <t>CPV</t>
        </is>
      </c>
      <c r="EA10" s="1" t="inlineStr">
        <is>
          <t>date</t>
        </is>
      </c>
      <c r="EB10" s="1" t="inlineStr">
        <is>
          <t>budget</t>
        </is>
      </c>
      <c r="EC10" s="1" t="inlineStr">
        <is>
          <t>impressions</t>
        </is>
      </c>
      <c r="ED10" s="1" t="inlineStr">
        <is>
          <t>clicks</t>
        </is>
      </c>
      <c r="EE10" s="1" t="inlineStr">
        <is>
          <t>view</t>
        </is>
      </c>
      <c r="EF10" s="1" t="inlineStr">
        <is>
          <t>percent_25</t>
        </is>
      </c>
      <c r="EG10" s="1" t="inlineStr">
        <is>
          <t>percent_50</t>
        </is>
      </c>
      <c r="EH10" s="1" t="inlineStr">
        <is>
          <t>percent_75</t>
        </is>
      </c>
      <c r="EI10" s="1" t="inlineStr">
        <is>
          <t>percent_100</t>
        </is>
      </c>
      <c r="EJ10" s="1" t="inlineStr">
        <is>
          <t>CTR</t>
        </is>
      </c>
      <c r="EK10" s="1" t="inlineStr">
        <is>
          <t>Spent Budget %</t>
        </is>
      </c>
      <c r="EL10" s="1" t="inlineStr">
        <is>
          <t>CPC</t>
        </is>
      </c>
      <c r="EM10" s="1" t="inlineStr">
        <is>
          <t>CPV</t>
        </is>
      </c>
      <c r="EN10" s="1" t="inlineStr">
        <is>
          <t>date</t>
        </is>
      </c>
      <c r="EO10" s="1" t="inlineStr">
        <is>
          <t>budget</t>
        </is>
      </c>
      <c r="EP10" s="1" t="inlineStr">
        <is>
          <t>impressions</t>
        </is>
      </c>
      <c r="EQ10" s="1" t="inlineStr">
        <is>
          <t>clicks</t>
        </is>
      </c>
      <c r="ER10" s="1" t="inlineStr">
        <is>
          <t>view</t>
        </is>
      </c>
      <c r="ES10" s="1" t="inlineStr">
        <is>
          <t>percent_25</t>
        </is>
      </c>
      <c r="ET10" s="1" t="inlineStr">
        <is>
          <t>percent_50</t>
        </is>
      </c>
      <c r="EU10" s="1" t="inlineStr">
        <is>
          <t>percent_75</t>
        </is>
      </c>
      <c r="EV10" s="1" t="inlineStr">
        <is>
          <t>percent_100</t>
        </is>
      </c>
      <c r="EW10" s="1" t="inlineStr">
        <is>
          <t>CTR</t>
        </is>
      </c>
      <c r="EX10" s="1" t="inlineStr">
        <is>
          <t>Spent Budget %</t>
        </is>
      </c>
      <c r="EY10" s="1" t="inlineStr">
        <is>
          <t>CPC</t>
        </is>
      </c>
      <c r="EZ10" s="1" t="inlineStr">
        <is>
          <t>CPV</t>
        </is>
      </c>
      <c r="FA10" s="1" t="inlineStr">
        <is>
          <t>date</t>
        </is>
      </c>
      <c r="FB10" s="1" t="inlineStr">
        <is>
          <t>budget</t>
        </is>
      </c>
      <c r="FC10" s="1" t="inlineStr">
        <is>
          <t>impressions</t>
        </is>
      </c>
      <c r="FD10" s="1" t="inlineStr">
        <is>
          <t>clicks</t>
        </is>
      </c>
      <c r="FE10" s="1" t="inlineStr">
        <is>
          <t>view</t>
        </is>
      </c>
      <c r="FF10" s="1" t="inlineStr">
        <is>
          <t>percent_25</t>
        </is>
      </c>
      <c r="FG10" s="1" t="inlineStr">
        <is>
          <t>percent_50</t>
        </is>
      </c>
      <c r="FH10" s="1" t="inlineStr">
        <is>
          <t>percent_75</t>
        </is>
      </c>
      <c r="FI10" s="1" t="inlineStr">
        <is>
          <t>percent_100</t>
        </is>
      </c>
      <c r="FJ10" s="1" t="inlineStr">
        <is>
          <t>CTR</t>
        </is>
      </c>
      <c r="FK10" s="1" t="inlineStr">
        <is>
          <t>Spent Budget %</t>
        </is>
      </c>
      <c r="FL10" s="1" t="inlineStr">
        <is>
          <t>CPC</t>
        </is>
      </c>
      <c r="FM10" s="1" t="inlineStr">
        <is>
          <t>CPV</t>
        </is>
      </c>
      <c r="FN10" s="1" t="inlineStr">
        <is>
          <t>date</t>
        </is>
      </c>
      <c r="FO10" s="1" t="inlineStr">
        <is>
          <t>budget</t>
        </is>
      </c>
      <c r="FP10" s="1" t="inlineStr">
        <is>
          <t>impressions</t>
        </is>
      </c>
      <c r="FQ10" s="1" t="inlineStr">
        <is>
          <t>clicks</t>
        </is>
      </c>
      <c r="FR10" s="1" t="inlineStr">
        <is>
          <t>view</t>
        </is>
      </c>
      <c r="FS10" s="1" t="inlineStr">
        <is>
          <t>percent_25</t>
        </is>
      </c>
      <c r="FT10" s="1" t="inlineStr">
        <is>
          <t>percent_50</t>
        </is>
      </c>
      <c r="FU10" s="1" t="inlineStr">
        <is>
          <t>percent_75</t>
        </is>
      </c>
      <c r="FV10" s="1" t="inlineStr">
        <is>
          <t>percent_100</t>
        </is>
      </c>
      <c r="FW10" s="1" t="inlineStr">
        <is>
          <t>CTR</t>
        </is>
      </c>
      <c r="FX10" s="1" t="inlineStr">
        <is>
          <t>Spent Budget %</t>
        </is>
      </c>
      <c r="FY10" s="1" t="inlineStr">
        <is>
          <t>CPC</t>
        </is>
      </c>
      <c r="FZ10" s="1" t="inlineStr">
        <is>
          <t>CPV</t>
        </is>
      </c>
      <c r="GA10" s="1" t="inlineStr">
        <is>
          <t>date</t>
        </is>
      </c>
      <c r="GB10" s="1" t="inlineStr">
        <is>
          <t>budget</t>
        </is>
      </c>
      <c r="GC10" s="1" t="inlineStr">
        <is>
          <t>impressions</t>
        </is>
      </c>
      <c r="GD10" s="1" t="inlineStr">
        <is>
          <t>clicks</t>
        </is>
      </c>
      <c r="GE10" s="1" t="inlineStr">
        <is>
          <t>view</t>
        </is>
      </c>
      <c r="GF10" s="1" t="inlineStr">
        <is>
          <t>percent_25</t>
        </is>
      </c>
      <c r="GG10" s="1" t="inlineStr">
        <is>
          <t>percent_50</t>
        </is>
      </c>
      <c r="GH10" s="1" t="inlineStr">
        <is>
          <t>percent_75</t>
        </is>
      </c>
      <c r="GI10" s="1" t="inlineStr">
        <is>
          <t>percent_100</t>
        </is>
      </c>
      <c r="GJ10" s="1" t="inlineStr">
        <is>
          <t>CTR</t>
        </is>
      </c>
      <c r="GK10" s="1" t="inlineStr">
        <is>
          <t>Spent Budget %</t>
        </is>
      </c>
      <c r="GL10" s="1" t="inlineStr">
        <is>
          <t>CPC</t>
        </is>
      </c>
      <c r="GM10" s="1" t="inlineStr">
        <is>
          <t>CPV</t>
        </is>
      </c>
      <c r="GN10" s="1" t="inlineStr">
        <is>
          <t>date</t>
        </is>
      </c>
      <c r="GO10" s="1" t="inlineStr">
        <is>
          <t>budget</t>
        </is>
      </c>
      <c r="GP10" s="1" t="inlineStr">
        <is>
          <t>impressions</t>
        </is>
      </c>
      <c r="GQ10" s="1" t="inlineStr">
        <is>
          <t>clicks</t>
        </is>
      </c>
      <c r="GR10" s="1" t="inlineStr">
        <is>
          <t>view</t>
        </is>
      </c>
      <c r="GS10" s="1" t="inlineStr">
        <is>
          <t>percent_25</t>
        </is>
      </c>
      <c r="GT10" s="1" t="inlineStr">
        <is>
          <t>percent_50</t>
        </is>
      </c>
      <c r="GU10" s="1" t="inlineStr">
        <is>
          <t>percent_75</t>
        </is>
      </c>
      <c r="GV10" s="1" t="inlineStr">
        <is>
          <t>percent_100</t>
        </is>
      </c>
      <c r="GW10" s="1" t="inlineStr">
        <is>
          <t>CTR</t>
        </is>
      </c>
      <c r="GX10" s="1" t="inlineStr">
        <is>
          <t>Spent Budget %</t>
        </is>
      </c>
      <c r="GY10" s="1" t="inlineStr">
        <is>
          <t>CPC</t>
        </is>
      </c>
      <c r="GZ10" s="1" t="inlineStr">
        <is>
          <t>CPV</t>
        </is>
      </c>
      <c r="HA10" s="1" t="inlineStr">
        <is>
          <t>date</t>
        </is>
      </c>
      <c r="HB10" s="1" t="inlineStr">
        <is>
          <t>budget</t>
        </is>
      </c>
      <c r="HC10" s="1" t="inlineStr">
        <is>
          <t>impressions</t>
        </is>
      </c>
      <c r="HD10" s="1" t="inlineStr">
        <is>
          <t>clicks</t>
        </is>
      </c>
      <c r="HE10" s="1" t="inlineStr">
        <is>
          <t>view</t>
        </is>
      </c>
      <c r="HF10" s="1" t="inlineStr">
        <is>
          <t>percent_25</t>
        </is>
      </c>
      <c r="HG10" s="1" t="inlineStr">
        <is>
          <t>percent_50</t>
        </is>
      </c>
      <c r="HH10" s="1" t="inlineStr">
        <is>
          <t>percent_75</t>
        </is>
      </c>
      <c r="HI10" s="1" t="inlineStr">
        <is>
          <t>percent_100</t>
        </is>
      </c>
      <c r="HJ10" s="1" t="inlineStr">
        <is>
          <t>CTR</t>
        </is>
      </c>
      <c r="HK10" s="1" t="inlineStr">
        <is>
          <t>Spent Budget %</t>
        </is>
      </c>
      <c r="HL10" s="1" t="inlineStr">
        <is>
          <t>CPC</t>
        </is>
      </c>
      <c r="HM10" s="1" t="inlineStr">
        <is>
          <t>CPV</t>
        </is>
      </c>
      <c r="HN10" s="1" t="inlineStr">
        <is>
          <t>date</t>
        </is>
      </c>
      <c r="HO10" s="1" t="inlineStr">
        <is>
          <t>budget</t>
        </is>
      </c>
      <c r="HP10" s="1" t="inlineStr">
        <is>
          <t>impressions</t>
        </is>
      </c>
      <c r="HQ10" s="1" t="inlineStr">
        <is>
          <t>clicks</t>
        </is>
      </c>
      <c r="HR10" s="1" t="inlineStr">
        <is>
          <t>view</t>
        </is>
      </c>
      <c r="HS10" s="1" t="inlineStr">
        <is>
          <t>percent_25</t>
        </is>
      </c>
      <c r="HT10" s="1" t="inlineStr">
        <is>
          <t>percent_50</t>
        </is>
      </c>
      <c r="HU10" s="1" t="inlineStr">
        <is>
          <t>percent_75</t>
        </is>
      </c>
      <c r="HV10" s="1" t="inlineStr">
        <is>
          <t>percent_100</t>
        </is>
      </c>
      <c r="HW10" s="1" t="inlineStr">
        <is>
          <t>CTR</t>
        </is>
      </c>
      <c r="HX10" s="1" t="inlineStr">
        <is>
          <t>Spent Budget %</t>
        </is>
      </c>
      <c r="HY10" s="1" t="inlineStr">
        <is>
          <t>CPC</t>
        </is>
      </c>
      <c r="HZ10" s="1" t="inlineStr">
        <is>
          <t>CPV</t>
        </is>
      </c>
      <c r="IA10" s="1" t="inlineStr">
        <is>
          <t>date</t>
        </is>
      </c>
      <c r="IB10" s="1" t="inlineStr">
        <is>
          <t>budget</t>
        </is>
      </c>
      <c r="IC10" s="1" t="inlineStr">
        <is>
          <t>impressions</t>
        </is>
      </c>
      <c r="ID10" s="1" t="inlineStr">
        <is>
          <t>clicks</t>
        </is>
      </c>
      <c r="IE10" s="1" t="inlineStr">
        <is>
          <t>view</t>
        </is>
      </c>
      <c r="IF10" s="1" t="inlineStr">
        <is>
          <t>percent_25</t>
        </is>
      </c>
      <c r="IG10" s="1" t="inlineStr">
        <is>
          <t>percent_50</t>
        </is>
      </c>
      <c r="IH10" s="1" t="inlineStr">
        <is>
          <t>percent_75</t>
        </is>
      </c>
      <c r="II10" s="1" t="inlineStr">
        <is>
          <t>percent_100</t>
        </is>
      </c>
      <c r="IJ10" s="1" t="inlineStr">
        <is>
          <t>CTR</t>
        </is>
      </c>
      <c r="IK10" s="1" t="inlineStr">
        <is>
          <t>Spent Budget %</t>
        </is>
      </c>
      <c r="IL10" s="1" t="inlineStr">
        <is>
          <t>CPC</t>
        </is>
      </c>
      <c r="IM10" s="1" t="inlineStr">
        <is>
          <t>CPV</t>
        </is>
      </c>
      <c r="IN10" s="1" t="inlineStr">
        <is>
          <t>date</t>
        </is>
      </c>
      <c r="IO10" s="1" t="inlineStr">
        <is>
          <t>budget</t>
        </is>
      </c>
      <c r="IP10" s="1" t="inlineStr">
        <is>
          <t>impressions</t>
        </is>
      </c>
      <c r="IQ10" s="1" t="inlineStr">
        <is>
          <t>clicks</t>
        </is>
      </c>
      <c r="IR10" s="1" t="inlineStr">
        <is>
          <t>view</t>
        </is>
      </c>
      <c r="IS10" s="1" t="inlineStr">
        <is>
          <t>percent_25</t>
        </is>
      </c>
      <c r="IT10" s="1" t="inlineStr">
        <is>
          <t>percent_50</t>
        </is>
      </c>
      <c r="IU10" s="1" t="inlineStr">
        <is>
          <t>percent_75</t>
        </is>
      </c>
      <c r="IV10" s="1" t="inlineStr">
        <is>
          <t>percent_100</t>
        </is>
      </c>
      <c r="IW10" s="1" t="inlineStr">
        <is>
          <t>CTR</t>
        </is>
      </c>
      <c r="IX10" s="1" t="inlineStr">
        <is>
          <t>Spent Budget %</t>
        </is>
      </c>
      <c r="IY10" s="1" t="inlineStr">
        <is>
          <t>CPC</t>
        </is>
      </c>
      <c r="IZ10" s="1" t="inlineStr">
        <is>
          <t>CPV</t>
        </is>
      </c>
      <c r="JA10" s="1" t="inlineStr">
        <is>
          <t>date</t>
        </is>
      </c>
      <c r="JB10" s="1" t="inlineStr">
        <is>
          <t>budget</t>
        </is>
      </c>
      <c r="JC10" s="1" t="inlineStr">
        <is>
          <t>impressions</t>
        </is>
      </c>
      <c r="JD10" s="1" t="inlineStr">
        <is>
          <t>clicks</t>
        </is>
      </c>
      <c r="JE10" s="1" t="inlineStr">
        <is>
          <t>view</t>
        </is>
      </c>
      <c r="JF10" s="1" t="inlineStr">
        <is>
          <t>percent_25</t>
        </is>
      </c>
      <c r="JG10" s="1" t="inlineStr">
        <is>
          <t>percent_50</t>
        </is>
      </c>
      <c r="JH10" s="1" t="inlineStr">
        <is>
          <t>percent_75</t>
        </is>
      </c>
      <c r="JI10" s="1" t="inlineStr">
        <is>
          <t>percent_100</t>
        </is>
      </c>
      <c r="JJ10" s="1" t="inlineStr">
        <is>
          <t>CTR</t>
        </is>
      </c>
      <c r="JK10" s="1" t="inlineStr">
        <is>
          <t>Spent Budget %</t>
        </is>
      </c>
      <c r="JL10" s="1" t="inlineStr">
        <is>
          <t>CPC</t>
        </is>
      </c>
      <c r="JM10" s="1" t="inlineStr">
        <is>
          <t>CPV</t>
        </is>
      </c>
      <c r="JN10" s="1" t="inlineStr">
        <is>
          <t>date</t>
        </is>
      </c>
      <c r="JO10" s="1" t="inlineStr">
        <is>
          <t>budget</t>
        </is>
      </c>
      <c r="JP10" s="1" t="inlineStr">
        <is>
          <t>impressions</t>
        </is>
      </c>
      <c r="JQ10" s="1" t="inlineStr">
        <is>
          <t>clicks</t>
        </is>
      </c>
      <c r="JR10" s="1" t="inlineStr">
        <is>
          <t>view</t>
        </is>
      </c>
      <c r="JS10" s="1" t="inlineStr">
        <is>
          <t>percent_25</t>
        </is>
      </c>
      <c r="JT10" s="1" t="inlineStr">
        <is>
          <t>percent_50</t>
        </is>
      </c>
      <c r="JU10" s="1" t="inlineStr">
        <is>
          <t>percent_75</t>
        </is>
      </c>
      <c r="JV10" s="1" t="inlineStr">
        <is>
          <t>percent_100</t>
        </is>
      </c>
      <c r="JW10" s="1" t="inlineStr">
        <is>
          <t>CTR</t>
        </is>
      </c>
      <c r="JX10" s="1" t="inlineStr">
        <is>
          <t>Spent Budget %</t>
        </is>
      </c>
      <c r="JY10" s="1" t="inlineStr">
        <is>
          <t>CPC</t>
        </is>
      </c>
      <c r="JZ10" s="1" t="inlineStr">
        <is>
          <t>CPV</t>
        </is>
      </c>
      <c r="KA10" s="1" t="inlineStr">
        <is>
          <t>date</t>
        </is>
      </c>
      <c r="KB10" s="1" t="inlineStr">
        <is>
          <t>budget</t>
        </is>
      </c>
      <c r="KC10" s="1" t="inlineStr">
        <is>
          <t>impressions</t>
        </is>
      </c>
      <c r="KD10" s="1" t="inlineStr">
        <is>
          <t>clicks</t>
        </is>
      </c>
      <c r="KE10" s="1" t="inlineStr">
        <is>
          <t>view</t>
        </is>
      </c>
      <c r="KF10" s="1" t="inlineStr">
        <is>
          <t>percent_25</t>
        </is>
      </c>
      <c r="KG10" s="1" t="inlineStr">
        <is>
          <t>percent_50</t>
        </is>
      </c>
      <c r="KH10" s="1" t="inlineStr">
        <is>
          <t>percent_75</t>
        </is>
      </c>
      <c r="KI10" s="1" t="inlineStr">
        <is>
          <t>percent_100</t>
        </is>
      </c>
      <c r="KJ10" s="1" t="inlineStr">
        <is>
          <t>CTR</t>
        </is>
      </c>
      <c r="KK10" s="1" t="inlineStr">
        <is>
          <t>Spent Budget %</t>
        </is>
      </c>
      <c r="KL10" s="1" t="inlineStr">
        <is>
          <t>CPC</t>
        </is>
      </c>
      <c r="KM10" s="1" t="inlineStr">
        <is>
          <t>CPV</t>
        </is>
      </c>
      <c r="KN10" s="1" t="inlineStr">
        <is>
          <t>date</t>
        </is>
      </c>
      <c r="KO10" s="1" t="inlineStr">
        <is>
          <t>budget</t>
        </is>
      </c>
      <c r="KP10" s="1" t="inlineStr">
        <is>
          <t>impressions</t>
        </is>
      </c>
      <c r="KQ10" s="1" t="inlineStr">
        <is>
          <t>clicks</t>
        </is>
      </c>
      <c r="KR10" s="1" t="inlineStr">
        <is>
          <t>view</t>
        </is>
      </c>
      <c r="KS10" s="1" t="inlineStr">
        <is>
          <t>percent_25</t>
        </is>
      </c>
      <c r="KT10" s="1" t="inlineStr">
        <is>
          <t>percent_50</t>
        </is>
      </c>
      <c r="KU10" s="1" t="inlineStr">
        <is>
          <t>percent_75</t>
        </is>
      </c>
      <c r="KV10" s="1" t="inlineStr">
        <is>
          <t>percent_100</t>
        </is>
      </c>
      <c r="KW10" s="1" t="inlineStr">
        <is>
          <t>CTR</t>
        </is>
      </c>
      <c r="KX10" s="1" t="inlineStr">
        <is>
          <t>Spent Budget %</t>
        </is>
      </c>
      <c r="KY10" s="1" t="inlineStr">
        <is>
          <t>CPC</t>
        </is>
      </c>
      <c r="KZ10" s="1" t="inlineStr">
        <is>
          <t>CPV</t>
        </is>
      </c>
      <c r="LA10" s="1" t="inlineStr">
        <is>
          <t>date</t>
        </is>
      </c>
      <c r="LB10" s="1" t="inlineStr">
        <is>
          <t>budget</t>
        </is>
      </c>
      <c r="LC10" s="1" t="inlineStr">
        <is>
          <t>impressions</t>
        </is>
      </c>
      <c r="LD10" s="1" t="inlineStr">
        <is>
          <t>clicks</t>
        </is>
      </c>
      <c r="LE10" s="1" t="inlineStr">
        <is>
          <t>view</t>
        </is>
      </c>
      <c r="LF10" s="1" t="inlineStr">
        <is>
          <t>percent_25</t>
        </is>
      </c>
      <c r="LG10" s="1" t="inlineStr">
        <is>
          <t>percent_50</t>
        </is>
      </c>
      <c r="LH10" s="1" t="inlineStr">
        <is>
          <t>percent_75</t>
        </is>
      </c>
      <c r="LI10" s="1" t="inlineStr">
        <is>
          <t>percent_100</t>
        </is>
      </c>
      <c r="LJ10" s="1" t="inlineStr">
        <is>
          <t>CTR</t>
        </is>
      </c>
      <c r="LK10" s="1" t="inlineStr">
        <is>
          <t>Spent Budget %</t>
        </is>
      </c>
      <c r="LL10" s="1" t="inlineStr">
        <is>
          <t>CPC</t>
        </is>
      </c>
      <c r="LM10" s="1" t="inlineStr">
        <is>
          <t>CPV</t>
        </is>
      </c>
      <c r="LN10" s="1" t="inlineStr">
        <is>
          <t>date</t>
        </is>
      </c>
      <c r="LO10" s="1" t="inlineStr">
        <is>
          <t>budget</t>
        </is>
      </c>
      <c r="LP10" s="1" t="inlineStr">
        <is>
          <t>impressions</t>
        </is>
      </c>
      <c r="LQ10" s="1" t="inlineStr">
        <is>
          <t>clicks</t>
        </is>
      </c>
      <c r="LR10" s="1" t="inlineStr">
        <is>
          <t>view</t>
        </is>
      </c>
      <c r="LS10" s="1" t="inlineStr">
        <is>
          <t>percent_25</t>
        </is>
      </c>
      <c r="LT10" s="1" t="inlineStr">
        <is>
          <t>percent_50</t>
        </is>
      </c>
      <c r="LU10" s="1" t="inlineStr">
        <is>
          <t>percent_75</t>
        </is>
      </c>
      <c r="LV10" s="1" t="inlineStr">
        <is>
          <t>percent_100</t>
        </is>
      </c>
      <c r="LW10" s="1" t="inlineStr">
        <is>
          <t>CTR</t>
        </is>
      </c>
      <c r="LX10" s="1" t="inlineStr">
        <is>
          <t>Spent Budget %</t>
        </is>
      </c>
      <c r="LY10" s="1" t="inlineStr">
        <is>
          <t>CPC</t>
        </is>
      </c>
      <c r="LZ10" s="1" t="inlineStr">
        <is>
          <t>CPV</t>
        </is>
      </c>
      <c r="MA10" s="1" t="inlineStr">
        <is>
          <t>date</t>
        </is>
      </c>
      <c r="MB10" s="1" t="inlineStr">
        <is>
          <t>budget</t>
        </is>
      </c>
      <c r="MC10" s="1" t="inlineStr">
        <is>
          <t>impressions</t>
        </is>
      </c>
      <c r="MD10" s="1" t="inlineStr">
        <is>
          <t>clicks</t>
        </is>
      </c>
      <c r="ME10" s="1" t="inlineStr">
        <is>
          <t>view</t>
        </is>
      </c>
      <c r="MF10" s="1" t="inlineStr">
        <is>
          <t>percent_25</t>
        </is>
      </c>
      <c r="MG10" s="1" t="inlineStr">
        <is>
          <t>percent_50</t>
        </is>
      </c>
      <c r="MH10" s="1" t="inlineStr">
        <is>
          <t>percent_75</t>
        </is>
      </c>
      <c r="MI10" s="1" t="inlineStr">
        <is>
          <t>percent_100</t>
        </is>
      </c>
      <c r="MJ10" s="1" t="inlineStr">
        <is>
          <t>CTR</t>
        </is>
      </c>
      <c r="MK10" s="1" t="inlineStr">
        <is>
          <t>Spent Budget %</t>
        </is>
      </c>
      <c r="ML10" s="1" t="inlineStr">
        <is>
          <t>CPC</t>
        </is>
      </c>
      <c r="MM10" s="1" t="inlineStr">
        <is>
          <t>CPV</t>
        </is>
      </c>
      <c r="MN10" s="1" t="inlineStr">
        <is>
          <t>date</t>
        </is>
      </c>
      <c r="MO10" s="1" t="inlineStr">
        <is>
          <t>budget</t>
        </is>
      </c>
      <c r="MP10" s="1" t="inlineStr">
        <is>
          <t>impressions</t>
        </is>
      </c>
      <c r="MQ10" s="1" t="inlineStr">
        <is>
          <t>clicks</t>
        </is>
      </c>
      <c r="MR10" s="1" t="inlineStr">
        <is>
          <t>view</t>
        </is>
      </c>
      <c r="MS10" s="1" t="inlineStr">
        <is>
          <t>percent_25</t>
        </is>
      </c>
      <c r="MT10" s="1" t="inlineStr">
        <is>
          <t>percent_50</t>
        </is>
      </c>
      <c r="MU10" s="1" t="inlineStr">
        <is>
          <t>percent_75</t>
        </is>
      </c>
      <c r="MV10" s="1" t="inlineStr">
        <is>
          <t>percent_100</t>
        </is>
      </c>
      <c r="MW10" s="1" t="inlineStr">
        <is>
          <t>CTR</t>
        </is>
      </c>
      <c r="MX10" s="1" t="inlineStr">
        <is>
          <t>Spent Budget %</t>
        </is>
      </c>
      <c r="MY10" s="1" t="inlineStr">
        <is>
          <t>CPC</t>
        </is>
      </c>
      <c r="MZ10" s="1" t="inlineStr">
        <is>
          <t>CPV</t>
        </is>
      </c>
      <c r="NA10" s="1" t="inlineStr">
        <is>
          <t>date</t>
        </is>
      </c>
      <c r="NB10" s="1" t="inlineStr">
        <is>
          <t>budget</t>
        </is>
      </c>
      <c r="NC10" s="1" t="inlineStr">
        <is>
          <t>impressions</t>
        </is>
      </c>
      <c r="ND10" s="1" t="inlineStr">
        <is>
          <t>clicks</t>
        </is>
      </c>
      <c r="NE10" s="1" t="inlineStr">
        <is>
          <t>view</t>
        </is>
      </c>
      <c r="NF10" s="1" t="inlineStr">
        <is>
          <t>percent_25</t>
        </is>
      </c>
      <c r="NG10" s="1" t="inlineStr">
        <is>
          <t>percent_50</t>
        </is>
      </c>
      <c r="NH10" s="1" t="inlineStr">
        <is>
          <t>percent_75</t>
        </is>
      </c>
      <c r="NI10" s="1" t="inlineStr">
        <is>
          <t>percent_100</t>
        </is>
      </c>
      <c r="NJ10" s="1" t="inlineStr">
        <is>
          <t>CTR</t>
        </is>
      </c>
      <c r="NK10" s="1" t="inlineStr">
        <is>
          <t>Spent Budget %</t>
        </is>
      </c>
      <c r="NL10" s="1" t="inlineStr">
        <is>
          <t>CPC</t>
        </is>
      </c>
      <c r="NM10" s="1" t="inlineStr">
        <is>
          <t>CPV</t>
        </is>
      </c>
      <c r="NN10" s="1" t="inlineStr">
        <is>
          <t>date</t>
        </is>
      </c>
      <c r="NO10" s="1" t="inlineStr">
        <is>
          <t>budget</t>
        </is>
      </c>
      <c r="NP10" s="1" t="inlineStr">
        <is>
          <t>impressions</t>
        </is>
      </c>
      <c r="NQ10" s="1" t="inlineStr">
        <is>
          <t>clicks</t>
        </is>
      </c>
      <c r="NR10" s="1" t="inlineStr">
        <is>
          <t>view</t>
        </is>
      </c>
      <c r="NS10" s="1" t="inlineStr">
        <is>
          <t>percent_25</t>
        </is>
      </c>
      <c r="NT10" s="1" t="inlineStr">
        <is>
          <t>percent_50</t>
        </is>
      </c>
      <c r="NU10" s="1" t="inlineStr">
        <is>
          <t>percent_75</t>
        </is>
      </c>
      <c r="NV10" s="1" t="inlineStr">
        <is>
          <t>percent_100</t>
        </is>
      </c>
      <c r="NW10" s="1" t="inlineStr">
        <is>
          <t>CTR</t>
        </is>
      </c>
      <c r="NX10" s="1" t="inlineStr">
        <is>
          <t>Spent Budget %</t>
        </is>
      </c>
      <c r="NY10" s="1" t="inlineStr">
        <is>
          <t>CPC</t>
        </is>
      </c>
      <c r="NZ10" s="1" t="inlineStr">
        <is>
          <t>CPV</t>
        </is>
      </c>
      <c r="OA10" s="1" t="inlineStr">
        <is>
          <t>date</t>
        </is>
      </c>
      <c r="OB10" s="1" t="inlineStr">
        <is>
          <t>budget</t>
        </is>
      </c>
      <c r="OC10" s="1" t="inlineStr">
        <is>
          <t>impressions</t>
        </is>
      </c>
      <c r="OD10" s="1" t="inlineStr">
        <is>
          <t>clicks</t>
        </is>
      </c>
      <c r="OE10" s="1" t="inlineStr">
        <is>
          <t>view</t>
        </is>
      </c>
      <c r="OF10" s="1" t="inlineStr">
        <is>
          <t>percent_25</t>
        </is>
      </c>
      <c r="OG10" s="1" t="inlineStr">
        <is>
          <t>percent_50</t>
        </is>
      </c>
      <c r="OH10" s="1" t="inlineStr">
        <is>
          <t>percent_75</t>
        </is>
      </c>
      <c r="OI10" s="1" t="inlineStr">
        <is>
          <t>percent_100</t>
        </is>
      </c>
      <c r="OJ10" s="1" t="inlineStr">
        <is>
          <t>CTR</t>
        </is>
      </c>
      <c r="OK10" s="1" t="inlineStr">
        <is>
          <t>Spent Budget %</t>
        </is>
      </c>
      <c r="OL10" s="1" t="inlineStr">
        <is>
          <t>CPC</t>
        </is>
      </c>
      <c r="OM10" s="1" t="inlineStr">
        <is>
          <t>CPV</t>
        </is>
      </c>
      <c r="ON10" s="1" t="inlineStr">
        <is>
          <t>date</t>
        </is>
      </c>
      <c r="OO10" s="1" t="inlineStr">
        <is>
          <t>budget</t>
        </is>
      </c>
      <c r="OP10" s="1" t="inlineStr">
        <is>
          <t>impressions</t>
        </is>
      </c>
      <c r="OQ10" s="1" t="inlineStr">
        <is>
          <t>clicks</t>
        </is>
      </c>
      <c r="OR10" s="1" t="inlineStr">
        <is>
          <t>view</t>
        </is>
      </c>
      <c r="OS10" s="1" t="inlineStr">
        <is>
          <t>percent_25</t>
        </is>
      </c>
      <c r="OT10" s="1" t="inlineStr">
        <is>
          <t>percent_50</t>
        </is>
      </c>
      <c r="OU10" s="1" t="inlineStr">
        <is>
          <t>percent_75</t>
        </is>
      </c>
      <c r="OV10" s="1" t="inlineStr">
        <is>
          <t>percent_100</t>
        </is>
      </c>
      <c r="OW10" s="1" t="inlineStr">
        <is>
          <t>CTR</t>
        </is>
      </c>
      <c r="OX10" s="1" t="inlineStr">
        <is>
          <t>Spent Budget %</t>
        </is>
      </c>
      <c r="OY10" s="1" t="inlineStr">
        <is>
          <t>CPC</t>
        </is>
      </c>
      <c r="OZ10" s="1" t="inlineStr">
        <is>
          <t>CPV</t>
        </is>
      </c>
      <c r="PA10" s="1" t="inlineStr">
        <is>
          <t>date</t>
        </is>
      </c>
      <c r="PB10" s="1" t="inlineStr">
        <is>
          <t>budget</t>
        </is>
      </c>
      <c r="PC10" s="1" t="inlineStr">
        <is>
          <t>impressions</t>
        </is>
      </c>
      <c r="PD10" s="1" t="inlineStr">
        <is>
          <t>clicks</t>
        </is>
      </c>
      <c r="PE10" s="1" t="inlineStr">
        <is>
          <t>view</t>
        </is>
      </c>
      <c r="PF10" s="1" t="inlineStr">
        <is>
          <t>percent_25</t>
        </is>
      </c>
      <c r="PG10" s="1" t="inlineStr">
        <is>
          <t>percent_50</t>
        </is>
      </c>
      <c r="PH10" s="1" t="inlineStr">
        <is>
          <t>percent_75</t>
        </is>
      </c>
      <c r="PI10" s="1" t="inlineStr">
        <is>
          <t>percent_100</t>
        </is>
      </c>
      <c r="PJ10" s="1" t="inlineStr">
        <is>
          <t>CTR</t>
        </is>
      </c>
      <c r="PK10" s="1" t="inlineStr">
        <is>
          <t>Spent Budget %</t>
        </is>
      </c>
      <c r="PL10" s="1" t="inlineStr">
        <is>
          <t>CPC</t>
        </is>
      </c>
      <c r="PM10" s="1" t="inlineStr">
        <is>
          <t>CPV</t>
        </is>
      </c>
      <c r="PN10" s="1" t="inlineStr">
        <is>
          <t>date</t>
        </is>
      </c>
      <c r="PO10" s="1" t="inlineStr">
        <is>
          <t>budget</t>
        </is>
      </c>
      <c r="PP10" s="1" t="inlineStr">
        <is>
          <t>impressions</t>
        </is>
      </c>
      <c r="PQ10" s="1" t="inlineStr">
        <is>
          <t>clicks</t>
        </is>
      </c>
      <c r="PR10" s="1" t="inlineStr">
        <is>
          <t>view</t>
        </is>
      </c>
      <c r="PS10" s="1" t="inlineStr">
        <is>
          <t>percent_25</t>
        </is>
      </c>
      <c r="PT10" s="1" t="inlineStr">
        <is>
          <t>percent_50</t>
        </is>
      </c>
      <c r="PU10" s="1" t="inlineStr">
        <is>
          <t>percent_75</t>
        </is>
      </c>
      <c r="PV10" s="1" t="inlineStr">
        <is>
          <t>percent_100</t>
        </is>
      </c>
      <c r="PW10" s="1" t="inlineStr">
        <is>
          <t>CTR</t>
        </is>
      </c>
      <c r="PX10" s="1" t="inlineStr">
        <is>
          <t>Spent Budget %</t>
        </is>
      </c>
      <c r="PY10" s="1" t="inlineStr">
        <is>
          <t>CPC</t>
        </is>
      </c>
      <c r="PZ10" s="1" t="inlineStr">
        <is>
          <t>CPV</t>
        </is>
      </c>
      <c r="QA10" s="1" t="inlineStr">
        <is>
          <t>date</t>
        </is>
      </c>
      <c r="QB10" s="1" t="inlineStr">
        <is>
          <t>budget</t>
        </is>
      </c>
      <c r="QC10" s="1" t="inlineStr">
        <is>
          <t>impressions</t>
        </is>
      </c>
      <c r="QD10" s="1" t="inlineStr">
        <is>
          <t>clicks</t>
        </is>
      </c>
      <c r="QE10" s="1" t="inlineStr">
        <is>
          <t>view</t>
        </is>
      </c>
      <c r="QF10" s="1" t="inlineStr">
        <is>
          <t>percent_25</t>
        </is>
      </c>
      <c r="QG10" s="1" t="inlineStr">
        <is>
          <t>percent_50</t>
        </is>
      </c>
      <c r="QH10" s="1" t="inlineStr">
        <is>
          <t>percent_75</t>
        </is>
      </c>
      <c r="QI10" s="1" t="inlineStr">
        <is>
          <t>percent_100</t>
        </is>
      </c>
      <c r="QJ10" s="1" t="inlineStr">
        <is>
          <t>CTR</t>
        </is>
      </c>
      <c r="QK10" s="1" t="inlineStr">
        <is>
          <t>Spent Budget %</t>
        </is>
      </c>
      <c r="QL10" s="1" t="inlineStr">
        <is>
          <t>CPC</t>
        </is>
      </c>
      <c r="QM10" s="1" t="inlineStr">
        <is>
          <t>CPV</t>
        </is>
      </c>
      <c r="QN10" s="1" t="inlineStr">
        <is>
          <t>date</t>
        </is>
      </c>
      <c r="QO10" s="1" t="inlineStr">
        <is>
          <t>budget</t>
        </is>
      </c>
      <c r="QP10" s="1" t="inlineStr">
        <is>
          <t>impressions</t>
        </is>
      </c>
      <c r="QQ10" s="1" t="inlineStr">
        <is>
          <t>clicks</t>
        </is>
      </c>
      <c r="QR10" s="1" t="inlineStr">
        <is>
          <t>view</t>
        </is>
      </c>
      <c r="QS10" s="1" t="inlineStr">
        <is>
          <t>percent_25</t>
        </is>
      </c>
      <c r="QT10" s="1" t="inlineStr">
        <is>
          <t>percent_50</t>
        </is>
      </c>
      <c r="QU10" s="1" t="inlineStr">
        <is>
          <t>percent_75</t>
        </is>
      </c>
      <c r="QV10" s="1" t="inlineStr">
        <is>
          <t>percent_100</t>
        </is>
      </c>
      <c r="QW10" s="1" t="inlineStr">
        <is>
          <t>CTR</t>
        </is>
      </c>
      <c r="QX10" s="1" t="inlineStr">
        <is>
          <t>Spent Budget %</t>
        </is>
      </c>
      <c r="QY10" s="1" t="inlineStr">
        <is>
          <t>CPC</t>
        </is>
      </c>
      <c r="QZ10" s="1" t="inlineStr">
        <is>
          <t>CPV</t>
        </is>
      </c>
      <c r="RA10" s="1" t="inlineStr">
        <is>
          <t>date</t>
        </is>
      </c>
      <c r="RB10" s="1" t="inlineStr">
        <is>
          <t>budget</t>
        </is>
      </c>
      <c r="RC10" s="1" t="inlineStr">
        <is>
          <t>impressions</t>
        </is>
      </c>
      <c r="RD10" s="1" t="inlineStr">
        <is>
          <t>clicks</t>
        </is>
      </c>
      <c r="RE10" s="1" t="inlineStr">
        <is>
          <t>view</t>
        </is>
      </c>
      <c r="RF10" s="1" t="inlineStr">
        <is>
          <t>percent_25</t>
        </is>
      </c>
      <c r="RG10" s="1" t="inlineStr">
        <is>
          <t>percent_50</t>
        </is>
      </c>
      <c r="RH10" s="1" t="inlineStr">
        <is>
          <t>percent_75</t>
        </is>
      </c>
      <c r="RI10" s="1" t="inlineStr">
        <is>
          <t>percent_100</t>
        </is>
      </c>
      <c r="RJ10" s="1" t="inlineStr">
        <is>
          <t>CTR</t>
        </is>
      </c>
      <c r="RK10" s="1" t="inlineStr">
        <is>
          <t>Spent Budget %</t>
        </is>
      </c>
      <c r="RL10" s="1" t="inlineStr">
        <is>
          <t>CPC</t>
        </is>
      </c>
      <c r="RM10" s="1" t="inlineStr">
        <is>
          <t>CPV</t>
        </is>
      </c>
      <c r="RN10" s="1" t="inlineStr">
        <is>
          <t>date</t>
        </is>
      </c>
      <c r="RO10" s="1" t="inlineStr">
        <is>
          <t>budget</t>
        </is>
      </c>
      <c r="RP10" s="1" t="inlineStr">
        <is>
          <t>impressions</t>
        </is>
      </c>
      <c r="RQ10" s="1" t="inlineStr">
        <is>
          <t>clicks</t>
        </is>
      </c>
      <c r="RR10" s="1" t="inlineStr">
        <is>
          <t>view</t>
        </is>
      </c>
      <c r="RS10" s="1" t="inlineStr">
        <is>
          <t>percent_25</t>
        </is>
      </c>
      <c r="RT10" s="1" t="inlineStr">
        <is>
          <t>percent_50</t>
        </is>
      </c>
      <c r="RU10" s="1" t="inlineStr">
        <is>
          <t>percent_75</t>
        </is>
      </c>
      <c r="RV10" s="1" t="inlineStr">
        <is>
          <t>percent_100</t>
        </is>
      </c>
      <c r="RW10" s="1" t="inlineStr">
        <is>
          <t>CTR</t>
        </is>
      </c>
      <c r="RX10" s="1" t="inlineStr">
        <is>
          <t>Spent Budget %</t>
        </is>
      </c>
      <c r="RY10" s="1" t="inlineStr">
        <is>
          <t>CPC</t>
        </is>
      </c>
      <c r="RZ10" s="1" t="inlineStr">
        <is>
          <t>CPV</t>
        </is>
      </c>
      <c r="SA10" s="1" t="inlineStr">
        <is>
          <t>date</t>
        </is>
      </c>
      <c r="SB10" s="1" t="inlineStr">
        <is>
          <t>budget</t>
        </is>
      </c>
      <c r="SC10" s="1" t="inlineStr">
        <is>
          <t>impressions</t>
        </is>
      </c>
      <c r="SD10" s="1" t="inlineStr">
        <is>
          <t>clicks</t>
        </is>
      </c>
      <c r="SE10" s="1" t="inlineStr">
        <is>
          <t>view</t>
        </is>
      </c>
      <c r="SF10" s="1" t="inlineStr">
        <is>
          <t>percent_25</t>
        </is>
      </c>
      <c r="SG10" s="1" t="inlineStr">
        <is>
          <t>percent_50</t>
        </is>
      </c>
      <c r="SH10" s="1" t="inlineStr">
        <is>
          <t>percent_75</t>
        </is>
      </c>
      <c r="SI10" s="1" t="inlineStr">
        <is>
          <t>percent_100</t>
        </is>
      </c>
      <c r="SJ10" s="1" t="inlineStr">
        <is>
          <t>CTR</t>
        </is>
      </c>
      <c r="SK10" s="1" t="inlineStr">
        <is>
          <t>Spent Budget %</t>
        </is>
      </c>
      <c r="SL10" s="1" t="inlineStr">
        <is>
          <t>CPC</t>
        </is>
      </c>
      <c r="SM10" s="1" t="inlineStr">
        <is>
          <t>CPV</t>
        </is>
      </c>
      <c r="SN10" s="1" t="inlineStr">
        <is>
          <t>date</t>
        </is>
      </c>
      <c r="SO10" s="1" t="inlineStr">
        <is>
          <t>budget</t>
        </is>
      </c>
      <c r="SP10" s="1" t="inlineStr">
        <is>
          <t>impressions</t>
        </is>
      </c>
      <c r="SQ10" s="1" t="inlineStr">
        <is>
          <t>clicks</t>
        </is>
      </c>
      <c r="SR10" s="1" t="inlineStr">
        <is>
          <t>view</t>
        </is>
      </c>
      <c r="SS10" s="1" t="inlineStr">
        <is>
          <t>percent_25</t>
        </is>
      </c>
      <c r="ST10" s="1" t="inlineStr">
        <is>
          <t>percent_50</t>
        </is>
      </c>
      <c r="SU10" s="1" t="inlineStr">
        <is>
          <t>percent_75</t>
        </is>
      </c>
      <c r="SV10" s="1" t="inlineStr">
        <is>
          <t>percent_100</t>
        </is>
      </c>
      <c r="SW10" s="1" t="inlineStr">
        <is>
          <t>CTR</t>
        </is>
      </c>
      <c r="SX10" s="1" t="inlineStr">
        <is>
          <t>Spent Budget %</t>
        </is>
      </c>
      <c r="SY10" s="1" t="inlineStr">
        <is>
          <t>CPC</t>
        </is>
      </c>
      <c r="SZ10" s="1" t="inlineStr">
        <is>
          <t>CPV</t>
        </is>
      </c>
    </row>
    <row r="11">
      <c r="A11" s="2" t="inlineStr">
        <is>
          <t>2023-09-20</t>
        </is>
      </c>
      <c r="B11" s="5">
        <f>ROUND(39.22,2)</f>
        <v/>
      </c>
      <c r="C11" s="3">
        <f>ROUND(119110.0,2)</f>
        <v/>
      </c>
      <c r="D11" s="3">
        <f>ROUND(2220.0,2)</f>
        <v/>
      </c>
      <c r="E11" s="3">
        <f>ROUND(0.0,2)</f>
        <v/>
      </c>
      <c r="F11" s="3">
        <f>ROUND(0.0,2)</f>
        <v/>
      </c>
      <c r="G11" s="3">
        <f>ROUND(0.0,2)</f>
        <v/>
      </c>
      <c r="H11" s="3">
        <f>ROUND(0.0,2)</f>
        <v/>
      </c>
      <c r="I11" s="3">
        <f>ROUND(0.0,2)</f>
        <v/>
      </c>
      <c r="J11" s="4">
        <f>IFERROR((D11/C11),0)</f>
        <v/>
      </c>
      <c r="K11" s="4">
        <f>IFERROR(((0+B11)/T2),0)</f>
        <v/>
      </c>
      <c r="L11" s="5">
        <f>IFERROR(ROUND(B11/D11,2),0)</f>
        <v/>
      </c>
      <c r="M11" s="5">
        <f>IFERROR(ROUND(B11/E11,2),0)</f>
        <v/>
      </c>
      <c r="N11" s="2" t="inlineStr">
        <is>
          <t>2023-09-20</t>
        </is>
      </c>
      <c r="O11" s="5">
        <f>ROUND(1.68,2)</f>
        <v/>
      </c>
      <c r="P11" s="3">
        <f>ROUND(3053.0,2)</f>
        <v/>
      </c>
      <c r="Q11" s="3">
        <f>ROUND(84.0,2)</f>
        <v/>
      </c>
      <c r="R11" s="3">
        <f>ROUND(0.0,2)</f>
        <v/>
      </c>
      <c r="S11" s="3">
        <f>ROUND(0.0,2)</f>
        <v/>
      </c>
      <c r="T11" s="3">
        <f>ROUND(0.0,2)</f>
        <v/>
      </c>
      <c r="U11" s="3">
        <f>ROUND(0.0,2)</f>
        <v/>
      </c>
      <c r="V11" s="3">
        <f>ROUND(0.0,2)</f>
        <v/>
      </c>
      <c r="W11" s="4">
        <f>IFERROR((Q11/P11),0)</f>
        <v/>
      </c>
      <c r="X11" s="4">
        <f>IFERROR(((0+O11)/T2),0)</f>
        <v/>
      </c>
      <c r="Y11" s="5">
        <f>IFERROR(ROUND(O11/Q11,2),0)</f>
        <v/>
      </c>
      <c r="Z11" s="5">
        <f>IFERROR(ROUND(O11/R11,2),0)</f>
        <v/>
      </c>
      <c r="AA11" s="2" t="inlineStr">
        <is>
          <t>2023-09-20</t>
        </is>
      </c>
      <c r="AB11" s="5">
        <f>ROUND(0.53,2)</f>
        <v/>
      </c>
      <c r="AC11" s="3">
        <f>ROUND(1814.0,2)</f>
        <v/>
      </c>
      <c r="AD11" s="3">
        <f>ROUND(33.0,2)</f>
        <v/>
      </c>
      <c r="AE11" s="3">
        <f>ROUND(0.0,2)</f>
        <v/>
      </c>
      <c r="AF11" s="3">
        <f>ROUND(0.0,2)</f>
        <v/>
      </c>
      <c r="AG11" s="3">
        <f>ROUND(0.0,2)</f>
        <v/>
      </c>
      <c r="AH11" s="3">
        <f>ROUND(0.0,2)</f>
        <v/>
      </c>
      <c r="AI11" s="3">
        <f>ROUND(0.0,2)</f>
        <v/>
      </c>
      <c r="AJ11" s="4">
        <f>IFERROR((AD11/AC11),0)</f>
        <v/>
      </c>
      <c r="AK11" s="4">
        <f>IFERROR(((0+AB11)/T2),0)</f>
        <v/>
      </c>
      <c r="AL11" s="5">
        <f>IFERROR(ROUND(AB11/AD11,2),0)</f>
        <v/>
      </c>
      <c r="AM11" s="5">
        <f>IFERROR(ROUND(AB11/AE11,2),0)</f>
        <v/>
      </c>
      <c r="AN11" s="2" t="inlineStr">
        <is>
          <t>2023-09-20</t>
        </is>
      </c>
      <c r="AO11" s="5">
        <f>ROUND(0.48,2)</f>
        <v/>
      </c>
      <c r="AP11" s="3">
        <f>ROUND(2110.0,2)</f>
        <v/>
      </c>
      <c r="AQ11" s="3">
        <f>ROUND(33.0,2)</f>
        <v/>
      </c>
      <c r="AR11" s="3">
        <f>ROUND(0.0,2)</f>
        <v/>
      </c>
      <c r="AS11" s="3">
        <f>ROUND(0.0,2)</f>
        <v/>
      </c>
      <c r="AT11" s="3">
        <f>ROUND(0.0,2)</f>
        <v/>
      </c>
      <c r="AU11" s="3">
        <f>ROUND(0.0,2)</f>
        <v/>
      </c>
      <c r="AV11" s="3">
        <f>ROUND(0.0,2)</f>
        <v/>
      </c>
      <c r="AW11" s="4">
        <f>IFERROR((AQ11/AP11),0)</f>
        <v/>
      </c>
      <c r="AX11" s="4">
        <f>IFERROR(((0+AO11)/T2),0)</f>
        <v/>
      </c>
      <c r="AY11" s="5">
        <f>IFERROR(ROUND(AO11/AQ11,2),0)</f>
        <v/>
      </c>
      <c r="AZ11" s="5">
        <f>IFERROR(ROUND(AO11/AR11,2),0)</f>
        <v/>
      </c>
      <c r="BA11" s="2" t="inlineStr">
        <is>
          <t>2023-09-20</t>
        </is>
      </c>
      <c r="BB11" s="5">
        <f>ROUND(2.52,2)</f>
        <v/>
      </c>
      <c r="BC11" s="3">
        <f>ROUND(3976.0,2)</f>
        <v/>
      </c>
      <c r="BD11" s="3">
        <f>ROUND(125.0,2)</f>
        <v/>
      </c>
      <c r="BE11" s="3">
        <f>ROUND(0.0,2)</f>
        <v/>
      </c>
      <c r="BF11" s="3">
        <f>ROUND(0.0,2)</f>
        <v/>
      </c>
      <c r="BG11" s="3">
        <f>ROUND(0.0,2)</f>
        <v/>
      </c>
      <c r="BH11" s="3">
        <f>ROUND(0.0,2)</f>
        <v/>
      </c>
      <c r="BI11" s="3">
        <f>ROUND(0.0,2)</f>
        <v/>
      </c>
      <c r="BJ11" s="4">
        <f>IFERROR((BD11/BC11),0)</f>
        <v/>
      </c>
      <c r="BK11" s="4">
        <f>IFERROR(((0+BB11)/T2),0)</f>
        <v/>
      </c>
      <c r="BL11" s="5">
        <f>IFERROR(ROUND(BB11/BD11,2),0)</f>
        <v/>
      </c>
      <c r="BM11" s="5">
        <f>IFERROR(ROUND(BB11/BE11,2),0)</f>
        <v/>
      </c>
      <c r="BN11" s="2" t="inlineStr">
        <is>
          <t>2023-09-20</t>
        </is>
      </c>
      <c r="BO11" s="5">
        <f>ROUND(0.23,2)</f>
        <v/>
      </c>
      <c r="BP11" s="3">
        <f>ROUND(485.0,2)</f>
        <v/>
      </c>
      <c r="BQ11" s="3">
        <f>ROUND(11.0,2)</f>
        <v/>
      </c>
      <c r="BR11" s="3">
        <f>ROUND(0.0,2)</f>
        <v/>
      </c>
      <c r="BS11" s="3">
        <f>ROUND(0.0,2)</f>
        <v/>
      </c>
      <c r="BT11" s="3">
        <f>ROUND(0.0,2)</f>
        <v/>
      </c>
      <c r="BU11" s="3">
        <f>ROUND(0.0,2)</f>
        <v/>
      </c>
      <c r="BV11" s="3">
        <f>ROUND(0.0,2)</f>
        <v/>
      </c>
      <c r="BW11" s="4">
        <f>IFERROR((BQ11/BP11),0)</f>
        <v/>
      </c>
      <c r="BX11" s="4">
        <f>IFERROR(((0+BO11)/T2),0)</f>
        <v/>
      </c>
      <c r="BY11" s="5">
        <f>IFERROR(ROUND(BO11/BQ11,2),0)</f>
        <v/>
      </c>
      <c r="BZ11" s="5">
        <f>IFERROR(ROUND(BO11/BR11,2),0)</f>
        <v/>
      </c>
      <c r="CA11" s="2" t="inlineStr">
        <is>
          <t>2023-09-20</t>
        </is>
      </c>
      <c r="CB11" s="5">
        <f>ROUND(0.5,2)</f>
        <v/>
      </c>
      <c r="CC11" s="3">
        <f>ROUND(1834.0,2)</f>
        <v/>
      </c>
      <c r="CD11" s="3">
        <f>ROUND(27.0,2)</f>
        <v/>
      </c>
      <c r="CE11" s="3">
        <f>ROUND(0.0,2)</f>
        <v/>
      </c>
      <c r="CF11" s="3">
        <f>ROUND(0.0,2)</f>
        <v/>
      </c>
      <c r="CG11" s="3">
        <f>ROUND(0.0,2)</f>
        <v/>
      </c>
      <c r="CH11" s="3">
        <f>ROUND(0.0,2)</f>
        <v/>
      </c>
      <c r="CI11" s="3">
        <f>ROUND(0.0,2)</f>
        <v/>
      </c>
      <c r="CJ11" s="4">
        <f>IFERROR((CD11/CC11),0)</f>
        <v/>
      </c>
      <c r="CK11" s="4">
        <f>IFERROR(((0+CB11)/T2),0)</f>
        <v/>
      </c>
      <c r="CL11" s="5">
        <f>IFERROR(ROUND(CB11/CD11,2),0)</f>
        <v/>
      </c>
      <c r="CM11" s="5">
        <f>IFERROR(ROUND(CB11/CE11,2),0)</f>
        <v/>
      </c>
      <c r="CN11" s="2" t="inlineStr">
        <is>
          <t>2023-09-20</t>
        </is>
      </c>
      <c r="CO11" s="5">
        <f>ROUND(4.59,2)</f>
        <v/>
      </c>
      <c r="CP11" s="3">
        <f>ROUND(13756.0,2)</f>
        <v/>
      </c>
      <c r="CQ11" s="3">
        <f>ROUND(253.0,2)</f>
        <v/>
      </c>
      <c r="CR11" s="3">
        <f>ROUND(0.0,2)</f>
        <v/>
      </c>
      <c r="CS11" s="3">
        <f>ROUND(0.0,2)</f>
        <v/>
      </c>
      <c r="CT11" s="3">
        <f>ROUND(0.0,2)</f>
        <v/>
      </c>
      <c r="CU11" s="3">
        <f>ROUND(0.0,2)</f>
        <v/>
      </c>
      <c r="CV11" s="3">
        <f>ROUND(0.0,2)</f>
        <v/>
      </c>
      <c r="CW11" s="4">
        <f>IFERROR((CQ11/CP11),0)</f>
        <v/>
      </c>
      <c r="CX11" s="4">
        <f>IFERROR(((0+CO11)/T2),0)</f>
        <v/>
      </c>
      <c r="CY11" s="5">
        <f>IFERROR(ROUND(CO11/CQ11,2),0)</f>
        <v/>
      </c>
      <c r="CZ11" s="5">
        <f>IFERROR(ROUND(CO11/CR11,2),0)</f>
        <v/>
      </c>
      <c r="DA11" s="2" t="inlineStr">
        <is>
          <t>2023-09-20</t>
        </is>
      </c>
      <c r="DB11" s="5">
        <f>ROUND(0.42,2)</f>
        <v/>
      </c>
      <c r="DC11" s="3">
        <f>ROUND(2094.0,2)</f>
        <v/>
      </c>
      <c r="DD11" s="3">
        <f>ROUND(28.0,2)</f>
        <v/>
      </c>
      <c r="DE11" s="3">
        <f>ROUND(0.0,2)</f>
        <v/>
      </c>
      <c r="DF11" s="3">
        <f>ROUND(0.0,2)</f>
        <v/>
      </c>
      <c r="DG11" s="3">
        <f>ROUND(0.0,2)</f>
        <v/>
      </c>
      <c r="DH11" s="3">
        <f>ROUND(0.0,2)</f>
        <v/>
      </c>
      <c r="DI11" s="3">
        <f>ROUND(0.0,2)</f>
        <v/>
      </c>
      <c r="DJ11" s="4">
        <f>IFERROR((DD11/DC11),0)</f>
        <v/>
      </c>
      <c r="DK11" s="4">
        <f>IFERROR(((0+DB11)/T2),0)</f>
        <v/>
      </c>
      <c r="DL11" s="5">
        <f>IFERROR(ROUND(DB11/DD11,2),0)</f>
        <v/>
      </c>
      <c r="DM11" s="5">
        <f>IFERROR(ROUND(DB11/DE11,2),0)</f>
        <v/>
      </c>
      <c r="DN11" s="2" t="inlineStr">
        <is>
          <t>2023-09-20</t>
        </is>
      </c>
      <c r="DO11" s="5">
        <f>ROUND(0.23,2)</f>
        <v/>
      </c>
      <c r="DP11" s="3">
        <f>ROUND(1546.0,2)</f>
        <v/>
      </c>
      <c r="DQ11" s="3">
        <f>ROUND(15.0,2)</f>
        <v/>
      </c>
      <c r="DR11" s="3">
        <f>ROUND(0.0,2)</f>
        <v/>
      </c>
      <c r="DS11" s="3">
        <f>ROUND(0.0,2)</f>
        <v/>
      </c>
      <c r="DT11" s="3">
        <f>ROUND(0.0,2)</f>
        <v/>
      </c>
      <c r="DU11" s="3">
        <f>ROUND(0.0,2)</f>
        <v/>
      </c>
      <c r="DV11" s="3">
        <f>ROUND(0.0,2)</f>
        <v/>
      </c>
      <c r="DW11" s="4">
        <f>IFERROR((DQ11/DP11),0)</f>
        <v/>
      </c>
      <c r="DX11" s="4">
        <f>IFERROR(((0+DO11)/T2),0)</f>
        <v/>
      </c>
      <c r="DY11" s="5">
        <f>IFERROR(ROUND(DO11/DQ11,2),0)</f>
        <v/>
      </c>
      <c r="DZ11" s="5">
        <f>IFERROR(ROUND(DO11/DR11,2),0)</f>
        <v/>
      </c>
      <c r="EA11" s="2" t="inlineStr">
        <is>
          <t>2023-09-20</t>
        </is>
      </c>
      <c r="EB11" s="5">
        <f>ROUND(3.92,2)</f>
        <v/>
      </c>
      <c r="EC11" s="3">
        <f>ROUND(17077.0,2)</f>
        <v/>
      </c>
      <c r="ED11" s="3">
        <f>ROUND(234.0,2)</f>
        <v/>
      </c>
      <c r="EE11" s="3">
        <f>ROUND(0.0,2)</f>
        <v/>
      </c>
      <c r="EF11" s="3">
        <f>ROUND(0.0,2)</f>
        <v/>
      </c>
      <c r="EG11" s="3">
        <f>ROUND(0.0,2)</f>
        <v/>
      </c>
      <c r="EH11" s="3">
        <f>ROUND(0.0,2)</f>
        <v/>
      </c>
      <c r="EI11" s="3">
        <f>ROUND(0.0,2)</f>
        <v/>
      </c>
      <c r="EJ11" s="4">
        <f>IFERROR((ED11/EC11),0)</f>
        <v/>
      </c>
      <c r="EK11" s="4">
        <f>IFERROR(((0+EB11)/T2),0)</f>
        <v/>
      </c>
      <c r="EL11" s="5">
        <f>IFERROR(ROUND(EB11/ED11,2),0)</f>
        <v/>
      </c>
      <c r="EM11" s="5">
        <f>IFERROR(ROUND(EB11/EE11,2),0)</f>
        <v/>
      </c>
      <c r="EN11" s="2" t="inlineStr">
        <is>
          <t>2023-09-20</t>
        </is>
      </c>
      <c r="EO11" s="5">
        <f>ROUND(1.8800000000000001,2)</f>
        <v/>
      </c>
      <c r="EP11" s="3">
        <f>ROUND(2412.0,2)</f>
        <v/>
      </c>
      <c r="EQ11" s="3">
        <f>ROUND(106.0,2)</f>
        <v/>
      </c>
      <c r="ER11" s="3">
        <f>ROUND(0.0,2)</f>
        <v/>
      </c>
      <c r="ES11" s="3">
        <f>ROUND(0.0,2)</f>
        <v/>
      </c>
      <c r="ET11" s="3">
        <f>ROUND(0.0,2)</f>
        <v/>
      </c>
      <c r="EU11" s="3">
        <f>ROUND(0.0,2)</f>
        <v/>
      </c>
      <c r="EV11" s="3">
        <f>ROUND(0.0,2)</f>
        <v/>
      </c>
      <c r="EW11" s="4">
        <f>IFERROR((EQ11/EP11),0)</f>
        <v/>
      </c>
      <c r="EX11" s="4">
        <f>IFERROR(((0+EO11)/T2),0)</f>
        <v/>
      </c>
      <c r="EY11" s="5">
        <f>IFERROR(ROUND(EO11/EQ11,2),0)</f>
        <v/>
      </c>
      <c r="EZ11" s="5">
        <f>IFERROR(ROUND(EO11/ER11,2),0)</f>
        <v/>
      </c>
      <c r="FA11" s="2" t="inlineStr">
        <is>
          <t>2023-09-20</t>
        </is>
      </c>
      <c r="FB11" s="5">
        <f>ROUND(3.98,2)</f>
        <v/>
      </c>
      <c r="FC11" s="3">
        <f>ROUND(13472.0,2)</f>
        <v/>
      </c>
      <c r="FD11" s="3">
        <f>ROUND(238.0,2)</f>
        <v/>
      </c>
      <c r="FE11" s="3">
        <f>ROUND(0.0,2)</f>
        <v/>
      </c>
      <c r="FF11" s="3">
        <f>ROUND(0.0,2)</f>
        <v/>
      </c>
      <c r="FG11" s="3">
        <f>ROUND(0.0,2)</f>
        <v/>
      </c>
      <c r="FH11" s="3">
        <f>ROUND(0.0,2)</f>
        <v/>
      </c>
      <c r="FI11" s="3">
        <f>ROUND(0.0,2)</f>
        <v/>
      </c>
      <c r="FJ11" s="4">
        <f>IFERROR((FD11/FC11),0)</f>
        <v/>
      </c>
      <c r="FK11" s="4">
        <f>IFERROR(((0+FB11)/T2),0)</f>
        <v/>
      </c>
      <c r="FL11" s="5">
        <f>IFERROR(ROUND(FB11/FD11,2),0)</f>
        <v/>
      </c>
      <c r="FM11" s="5">
        <f>IFERROR(ROUND(FB11/FE11,2),0)</f>
        <v/>
      </c>
      <c r="FN11" s="2" t="inlineStr">
        <is>
          <t>2023-09-20</t>
        </is>
      </c>
      <c r="FO11" s="5">
        <f>ROUND(3.87,2)</f>
        <v/>
      </c>
      <c r="FP11" s="3">
        <f>ROUND(15187.0,2)</f>
        <v/>
      </c>
      <c r="FQ11" s="3">
        <f>ROUND(237.0,2)</f>
        <v/>
      </c>
      <c r="FR11" s="3">
        <f>ROUND(0.0,2)</f>
        <v/>
      </c>
      <c r="FS11" s="3">
        <f>ROUND(0.0,2)</f>
        <v/>
      </c>
      <c r="FT11" s="3">
        <f>ROUND(0.0,2)</f>
        <v/>
      </c>
      <c r="FU11" s="3">
        <f>ROUND(0.0,2)</f>
        <v/>
      </c>
      <c r="FV11" s="3">
        <f>ROUND(0.0,2)</f>
        <v/>
      </c>
      <c r="FW11" s="4">
        <f>IFERROR((FQ11/FP11),0)</f>
        <v/>
      </c>
      <c r="FX11" s="4">
        <f>IFERROR(((0+FO11)/T2),0)</f>
        <v/>
      </c>
      <c r="FY11" s="5">
        <f>IFERROR(ROUND(FO11/FQ11,2),0)</f>
        <v/>
      </c>
      <c r="FZ11" s="5">
        <f>IFERROR(ROUND(FO11/FR11,2),0)</f>
        <v/>
      </c>
      <c r="GA11" s="2" t="inlineStr">
        <is>
          <t>2023-09-20</t>
        </is>
      </c>
      <c r="GB11" s="5">
        <f>ROUND(0.39,2)</f>
        <v/>
      </c>
      <c r="GC11" s="3">
        <f>ROUND(556.0,2)</f>
        <v/>
      </c>
      <c r="GD11" s="3">
        <f>ROUND(19.0,2)</f>
        <v/>
      </c>
      <c r="GE11" s="3">
        <f>ROUND(0.0,2)</f>
        <v/>
      </c>
      <c r="GF11" s="3">
        <f>ROUND(0.0,2)</f>
        <v/>
      </c>
      <c r="GG11" s="3">
        <f>ROUND(0.0,2)</f>
        <v/>
      </c>
      <c r="GH11" s="3">
        <f>ROUND(0.0,2)</f>
        <v/>
      </c>
      <c r="GI11" s="3">
        <f>ROUND(0.0,2)</f>
        <v/>
      </c>
      <c r="GJ11" s="4">
        <f>IFERROR((GD11/GC11),0)</f>
        <v/>
      </c>
      <c r="GK11" s="4">
        <f>IFERROR(((0+GB11)/T2),0)</f>
        <v/>
      </c>
      <c r="GL11" s="5">
        <f>IFERROR(ROUND(GB11/GD11,2),0)</f>
        <v/>
      </c>
      <c r="GM11" s="5">
        <f>IFERROR(ROUND(GB11/GE11,2),0)</f>
        <v/>
      </c>
      <c r="GN11" s="2" t="inlineStr">
        <is>
          <t>2023-09-20</t>
        </is>
      </c>
      <c r="GO11" s="5">
        <f>ROUND(2.44,2)</f>
        <v/>
      </c>
      <c r="GP11" s="3">
        <f>ROUND(13035.0,2)</f>
        <v/>
      </c>
      <c r="GQ11" s="3">
        <f>ROUND(172.0,2)</f>
        <v/>
      </c>
      <c r="GR11" s="3">
        <f>ROUND(0.0,2)</f>
        <v/>
      </c>
      <c r="GS11" s="3">
        <f>ROUND(0.0,2)</f>
        <v/>
      </c>
      <c r="GT11" s="3">
        <f>ROUND(0.0,2)</f>
        <v/>
      </c>
      <c r="GU11" s="3">
        <f>ROUND(0.0,2)</f>
        <v/>
      </c>
      <c r="GV11" s="3">
        <f>ROUND(0.0,2)</f>
        <v/>
      </c>
      <c r="GW11" s="4">
        <f>IFERROR((GQ11/GP11),0)</f>
        <v/>
      </c>
      <c r="GX11" s="4">
        <f>IFERROR(((0+GO11)/T2),0)</f>
        <v/>
      </c>
      <c r="GY11" s="5">
        <f>IFERROR(ROUND(GO11/GQ11,2),0)</f>
        <v/>
      </c>
      <c r="GZ11" s="5">
        <f>IFERROR(ROUND(GO11/GR11,2),0)</f>
        <v/>
      </c>
      <c r="HA11" s="2" t="inlineStr">
        <is>
          <t>2023-09-20</t>
        </is>
      </c>
      <c r="HB11" s="5">
        <f>ROUND(1.4900000000000002,2)</f>
        <v/>
      </c>
      <c r="HC11" s="3">
        <f>ROUND(1935.0,2)</f>
        <v/>
      </c>
      <c r="HD11" s="3">
        <f>ROUND(82.0,2)</f>
        <v/>
      </c>
      <c r="HE11" s="3">
        <f>ROUND(0.0,2)</f>
        <v/>
      </c>
      <c r="HF11" s="3">
        <f>ROUND(0.0,2)</f>
        <v/>
      </c>
      <c r="HG11" s="3">
        <f>ROUND(0.0,2)</f>
        <v/>
      </c>
      <c r="HH11" s="3">
        <f>ROUND(0.0,2)</f>
        <v/>
      </c>
      <c r="HI11" s="3">
        <f>ROUND(0.0,2)</f>
        <v/>
      </c>
      <c r="HJ11" s="4">
        <f>IFERROR((HD11/HC11),0)</f>
        <v/>
      </c>
      <c r="HK11" s="4">
        <f>IFERROR(((0+HB11)/T2),0)</f>
        <v/>
      </c>
      <c r="HL11" s="5">
        <f>IFERROR(ROUND(HB11/HD11,2),0)</f>
        <v/>
      </c>
      <c r="HM11" s="5">
        <f>IFERROR(ROUND(HB11/HE11,2),0)</f>
        <v/>
      </c>
      <c r="HN11" s="2" t="inlineStr">
        <is>
          <t>2023-09-20</t>
        </is>
      </c>
      <c r="HO11" s="5">
        <f>ROUND(1.23,2)</f>
        <v/>
      </c>
      <c r="HP11" s="3">
        <f>ROUND(2684.0,2)</f>
        <v/>
      </c>
      <c r="HQ11" s="3">
        <f>ROUND(71.0,2)</f>
        <v/>
      </c>
      <c r="HR11" s="3">
        <f>ROUND(0.0,2)</f>
        <v/>
      </c>
      <c r="HS11" s="3">
        <f>ROUND(0.0,2)</f>
        <v/>
      </c>
      <c r="HT11" s="3">
        <f>ROUND(0.0,2)</f>
        <v/>
      </c>
      <c r="HU11" s="3">
        <f>ROUND(0.0,2)</f>
        <v/>
      </c>
      <c r="HV11" s="3">
        <f>ROUND(0.0,2)</f>
        <v/>
      </c>
      <c r="HW11" s="4">
        <f>IFERROR((HQ11/HP11),0)</f>
        <v/>
      </c>
      <c r="HX11" s="4">
        <f>IFERROR(((0+HO11)/T2),0)</f>
        <v/>
      </c>
      <c r="HY11" s="5">
        <f>IFERROR(ROUND(HO11/HQ11,2),0)</f>
        <v/>
      </c>
      <c r="HZ11" s="5">
        <f>IFERROR(ROUND(HO11/HR11,2),0)</f>
        <v/>
      </c>
      <c r="IA11" s="2" t="inlineStr">
        <is>
          <t>2023-09-20</t>
        </is>
      </c>
      <c r="IB11" s="5">
        <f>ROUND(1.23,2)</f>
        <v/>
      </c>
      <c r="IC11" s="3">
        <f>ROUND(2662.0,2)</f>
        <v/>
      </c>
      <c r="ID11" s="3">
        <f>ROUND(73.0,2)</f>
        <v/>
      </c>
      <c r="IE11" s="3">
        <f>ROUND(0.0,2)</f>
        <v/>
      </c>
      <c r="IF11" s="3">
        <f>ROUND(0.0,2)</f>
        <v/>
      </c>
      <c r="IG11" s="3">
        <f>ROUND(0.0,2)</f>
        <v/>
      </c>
      <c r="IH11" s="3">
        <f>ROUND(0.0,2)</f>
        <v/>
      </c>
      <c r="II11" s="3">
        <f>ROUND(0.0,2)</f>
        <v/>
      </c>
      <c r="IJ11" s="4">
        <f>IFERROR((ID11/IC11),0)</f>
        <v/>
      </c>
      <c r="IK11" s="4">
        <f>IFERROR(((0+IB11)/T2),0)</f>
        <v/>
      </c>
      <c r="IL11" s="5">
        <f>IFERROR(ROUND(IB11/ID11,2),0)</f>
        <v/>
      </c>
      <c r="IM11" s="5">
        <f>IFERROR(ROUND(IB11/IE11,2),0)</f>
        <v/>
      </c>
      <c r="IN11" s="2" t="inlineStr">
        <is>
          <t>2023-09-20</t>
        </is>
      </c>
      <c r="IO11" s="5">
        <f>ROUND(0.41000000000000003,2)</f>
        <v/>
      </c>
      <c r="IP11" s="3">
        <f>ROUND(1877.0,2)</f>
        <v/>
      </c>
      <c r="IQ11" s="3">
        <f>ROUND(24.0,2)</f>
        <v/>
      </c>
      <c r="IR11" s="3">
        <f>ROUND(0.0,2)</f>
        <v/>
      </c>
      <c r="IS11" s="3">
        <f>ROUND(0.0,2)</f>
        <v/>
      </c>
      <c r="IT11" s="3">
        <f>ROUND(0.0,2)</f>
        <v/>
      </c>
      <c r="IU11" s="3">
        <f>ROUND(0.0,2)</f>
        <v/>
      </c>
      <c r="IV11" s="3">
        <f>ROUND(0.0,2)</f>
        <v/>
      </c>
      <c r="IW11" s="4">
        <f>IFERROR((IQ11/IP11),0)</f>
        <v/>
      </c>
      <c r="IX11" s="4">
        <f>IFERROR(((0+IO11)/T2),0)</f>
        <v/>
      </c>
      <c r="IY11" s="5">
        <f>IFERROR(ROUND(IO11/IQ11,2),0)</f>
        <v/>
      </c>
      <c r="IZ11" s="5">
        <f>IFERROR(ROUND(IO11/IR11,2),0)</f>
        <v/>
      </c>
      <c r="JA11" s="2" t="inlineStr">
        <is>
          <t>2023-09-20</t>
        </is>
      </c>
      <c r="JB11" s="5">
        <f>ROUND(1.77,2)</f>
        <v/>
      </c>
      <c r="JC11" s="3">
        <f>ROUND(3149.0,2)</f>
        <v/>
      </c>
      <c r="JD11" s="3">
        <f>ROUND(94.0,2)</f>
        <v/>
      </c>
      <c r="JE11" s="3">
        <f>ROUND(0.0,2)</f>
        <v/>
      </c>
      <c r="JF11" s="3">
        <f>ROUND(0.0,2)</f>
        <v/>
      </c>
      <c r="JG11" s="3">
        <f>ROUND(0.0,2)</f>
        <v/>
      </c>
      <c r="JH11" s="3">
        <f>ROUND(0.0,2)</f>
        <v/>
      </c>
      <c r="JI11" s="3">
        <f>ROUND(0.0,2)</f>
        <v/>
      </c>
      <c r="JJ11" s="4">
        <f>IFERROR((JD11/JC11),0)</f>
        <v/>
      </c>
      <c r="JK11" s="4">
        <f>IFERROR(((0+JB11)/T2),0)</f>
        <v/>
      </c>
      <c r="JL11" s="5">
        <f>IFERROR(ROUND(JB11/JD11,2),0)</f>
        <v/>
      </c>
      <c r="JM11" s="5">
        <f>IFERROR(ROUND(JB11/JE11,2),0)</f>
        <v/>
      </c>
      <c r="JN11" s="2" t="inlineStr">
        <is>
          <t>2023-09-20</t>
        </is>
      </c>
      <c r="JO11" s="5">
        <f>ROUND(0.22,2)</f>
        <v/>
      </c>
      <c r="JP11" s="3">
        <f>ROUND(364.0,2)</f>
        <v/>
      </c>
      <c r="JQ11" s="3">
        <f>ROUND(9.0,2)</f>
        <v/>
      </c>
      <c r="JR11" s="3">
        <f>ROUND(0.0,2)</f>
        <v/>
      </c>
      <c r="JS11" s="3">
        <f>ROUND(0.0,2)</f>
        <v/>
      </c>
      <c r="JT11" s="3">
        <f>ROUND(0.0,2)</f>
        <v/>
      </c>
      <c r="JU11" s="3">
        <f>ROUND(0.0,2)</f>
        <v/>
      </c>
      <c r="JV11" s="3">
        <f>ROUND(0.0,2)</f>
        <v/>
      </c>
      <c r="JW11" s="4">
        <f>IFERROR((JQ11/JP11),0)</f>
        <v/>
      </c>
      <c r="JX11" s="4">
        <f>IFERROR(((0+JO11)/T2),0)</f>
        <v/>
      </c>
      <c r="JY11" s="5">
        <f>IFERROR(ROUND(JO11/JQ11,2),0)</f>
        <v/>
      </c>
      <c r="JZ11" s="5">
        <f>IFERROR(ROUND(JO11/JR11,2),0)</f>
        <v/>
      </c>
      <c r="KA11" s="2" t="inlineStr">
        <is>
          <t>2023-09-20</t>
        </is>
      </c>
      <c r="KB11" s="5">
        <f>ROUND(0.22000000000000003,2)</f>
        <v/>
      </c>
      <c r="KC11" s="3">
        <f>ROUND(408.0,2)</f>
        <v/>
      </c>
      <c r="KD11" s="3">
        <f>ROUND(11.0,2)</f>
        <v/>
      </c>
      <c r="KE11" s="3">
        <f>ROUND(0.0,2)</f>
        <v/>
      </c>
      <c r="KF11" s="3">
        <f>ROUND(0.0,2)</f>
        <v/>
      </c>
      <c r="KG11" s="3">
        <f>ROUND(0.0,2)</f>
        <v/>
      </c>
      <c r="KH11" s="3">
        <f>ROUND(0.0,2)</f>
        <v/>
      </c>
      <c r="KI11" s="3">
        <f>ROUND(0.0,2)</f>
        <v/>
      </c>
      <c r="KJ11" s="4">
        <f>IFERROR((KD11/KC11),0)</f>
        <v/>
      </c>
      <c r="KK11" s="4">
        <f>IFERROR(((0+KB11)/T2),0)</f>
        <v/>
      </c>
      <c r="KL11" s="5">
        <f>IFERROR(ROUND(KB11/KD11,2),0)</f>
        <v/>
      </c>
      <c r="KM11" s="5">
        <f>IFERROR(ROUND(KB11/KE11,2),0)</f>
        <v/>
      </c>
      <c r="KN11" s="2" t="inlineStr">
        <is>
          <t>2023-09-20</t>
        </is>
      </c>
      <c r="KO11" s="5">
        <f>ROUND(0.38,2)</f>
        <v/>
      </c>
      <c r="KP11" s="3">
        <f>ROUND(1557.0,2)</f>
        <v/>
      </c>
      <c r="KQ11" s="3">
        <f>ROUND(19.0,2)</f>
        <v/>
      </c>
      <c r="KR11" s="3">
        <f>ROUND(0.0,2)</f>
        <v/>
      </c>
      <c r="KS11" s="3">
        <f>ROUND(0.0,2)</f>
        <v/>
      </c>
      <c r="KT11" s="3">
        <f>ROUND(0.0,2)</f>
        <v/>
      </c>
      <c r="KU11" s="3">
        <f>ROUND(0.0,2)</f>
        <v/>
      </c>
      <c r="KV11" s="3">
        <f>ROUND(0.0,2)</f>
        <v/>
      </c>
      <c r="KW11" s="4">
        <f>IFERROR((KQ11/KP11),0)</f>
        <v/>
      </c>
      <c r="KX11" s="4">
        <f>IFERROR(((0+KO11)/T2),0)</f>
        <v/>
      </c>
      <c r="KY11" s="5">
        <f>IFERROR(ROUND(KO11/KQ11,2),0)</f>
        <v/>
      </c>
      <c r="KZ11" s="5">
        <f>IFERROR(ROUND(KO11/KR11,2),0)</f>
        <v/>
      </c>
      <c r="LA11" s="2" t="inlineStr">
        <is>
          <t>2023-09-20</t>
        </is>
      </c>
      <c r="LB11" s="5">
        <f>ROUND(0.63,2)</f>
        <v/>
      </c>
      <c r="LC11" s="3">
        <f>ROUND(1796.0,2)</f>
        <v/>
      </c>
      <c r="LD11" s="3">
        <f>ROUND(35.0,2)</f>
        <v/>
      </c>
      <c r="LE11" s="3">
        <f>ROUND(0.0,2)</f>
        <v/>
      </c>
      <c r="LF11" s="3">
        <f>ROUND(0.0,2)</f>
        <v/>
      </c>
      <c r="LG11" s="3">
        <f>ROUND(0.0,2)</f>
        <v/>
      </c>
      <c r="LH11" s="3">
        <f>ROUND(0.0,2)</f>
        <v/>
      </c>
      <c r="LI11" s="3">
        <f>ROUND(0.0,2)</f>
        <v/>
      </c>
      <c r="LJ11" s="4">
        <f>IFERROR((LD11/LC11),0)</f>
        <v/>
      </c>
      <c r="LK11" s="4">
        <f>IFERROR(((0+LB11)/T2),0)</f>
        <v/>
      </c>
      <c r="LL11" s="5">
        <f>IFERROR(ROUND(LB11/LD11,2),0)</f>
        <v/>
      </c>
      <c r="LM11" s="5">
        <f>IFERROR(ROUND(LB11/LE11,2),0)</f>
        <v/>
      </c>
      <c r="LN11" s="2" t="inlineStr">
        <is>
          <t>2023-09-20</t>
        </is>
      </c>
      <c r="LO11" s="5">
        <f>ROUND(0.35,2)</f>
        <v/>
      </c>
      <c r="LP11" s="3">
        <f>ROUND(1422.0,2)</f>
        <v/>
      </c>
      <c r="LQ11" s="3">
        <f>ROUND(14.0,2)</f>
        <v/>
      </c>
      <c r="LR11" s="3">
        <f>ROUND(0.0,2)</f>
        <v/>
      </c>
      <c r="LS11" s="3">
        <f>ROUND(0.0,2)</f>
        <v/>
      </c>
      <c r="LT11" s="3">
        <f>ROUND(0.0,2)</f>
        <v/>
      </c>
      <c r="LU11" s="3">
        <f>ROUND(0.0,2)</f>
        <v/>
      </c>
      <c r="LV11" s="3">
        <f>ROUND(0.0,2)</f>
        <v/>
      </c>
      <c r="LW11" s="4">
        <f>IFERROR((LQ11/LP11),0)</f>
        <v/>
      </c>
      <c r="LX11" s="4">
        <f>IFERROR(((0+LO11)/T2),0)</f>
        <v/>
      </c>
      <c r="LY11" s="5">
        <f>IFERROR(ROUND(LO11/LQ11,2),0)</f>
        <v/>
      </c>
      <c r="LZ11" s="5">
        <f>IFERROR(ROUND(LO11/LR11,2),0)</f>
        <v/>
      </c>
      <c r="MA11" s="2" t="inlineStr">
        <is>
          <t>2023-09-20</t>
        </is>
      </c>
      <c r="MB11" s="5">
        <f>ROUND(0.46,2)</f>
        <v/>
      </c>
      <c r="MC11" s="3">
        <f>ROUND(1304.0,2)</f>
        <v/>
      </c>
      <c r="MD11" s="3">
        <f>ROUND(22.0,2)</f>
        <v/>
      </c>
      <c r="ME11" s="3">
        <f>ROUND(0.0,2)</f>
        <v/>
      </c>
      <c r="MF11" s="3">
        <f>ROUND(0.0,2)</f>
        <v/>
      </c>
      <c r="MG11" s="3">
        <f>ROUND(0.0,2)</f>
        <v/>
      </c>
      <c r="MH11" s="3">
        <f>ROUND(0.0,2)</f>
        <v/>
      </c>
      <c r="MI11" s="3">
        <f>ROUND(0.0,2)</f>
        <v/>
      </c>
      <c r="MJ11" s="4">
        <f>IFERROR((MD11/MC11),0)</f>
        <v/>
      </c>
      <c r="MK11" s="4">
        <f>IFERROR(((0+MB11)/T2),0)</f>
        <v/>
      </c>
      <c r="ML11" s="5">
        <f>IFERROR(ROUND(MB11/MD11,2),0)</f>
        <v/>
      </c>
      <c r="MM11" s="5">
        <f>IFERROR(ROUND(MB11/ME11,2),0)</f>
        <v/>
      </c>
      <c r="MN11" s="2" t="inlineStr">
        <is>
          <t>2023-09-20</t>
        </is>
      </c>
      <c r="MO11" s="5">
        <f>ROUND(0.3,2)</f>
        <v/>
      </c>
      <c r="MP11" s="3">
        <f>ROUND(466.0,2)</f>
        <v/>
      </c>
      <c r="MQ11" s="3">
        <f>ROUND(10.0,2)</f>
        <v/>
      </c>
      <c r="MR11" s="3">
        <f>ROUND(0.0,2)</f>
        <v/>
      </c>
      <c r="MS11" s="3">
        <f>ROUND(0.0,2)</f>
        <v/>
      </c>
      <c r="MT11" s="3">
        <f>ROUND(0.0,2)</f>
        <v/>
      </c>
      <c r="MU11" s="3">
        <f>ROUND(0.0,2)</f>
        <v/>
      </c>
      <c r="MV11" s="3">
        <f>ROUND(0.0,2)</f>
        <v/>
      </c>
      <c r="MW11" s="4">
        <f>IFERROR((MQ11/MP11),0)</f>
        <v/>
      </c>
      <c r="MX11" s="4">
        <f>IFERROR(((0+MO11)/T2),0)</f>
        <v/>
      </c>
      <c r="MY11" s="5">
        <f>IFERROR(ROUND(MO11/MQ11,2),0)</f>
        <v/>
      </c>
      <c r="MZ11" s="5">
        <f>IFERROR(ROUND(MO11/MR11,2),0)</f>
        <v/>
      </c>
      <c r="NA11" s="2" t="inlineStr">
        <is>
          <t>2023-09-20</t>
        </is>
      </c>
      <c r="NB11" s="5">
        <f>ROUND(0.37,2)</f>
        <v/>
      </c>
      <c r="NC11" s="3">
        <f>ROUND(1556.0,2)</f>
        <v/>
      </c>
      <c r="ND11" s="3">
        <f>ROUND(18.0,2)</f>
        <v/>
      </c>
      <c r="NE11" s="3">
        <f>ROUND(0.0,2)</f>
        <v/>
      </c>
      <c r="NF11" s="3">
        <f>ROUND(0.0,2)</f>
        <v/>
      </c>
      <c r="NG11" s="3">
        <f>ROUND(0.0,2)</f>
        <v/>
      </c>
      <c r="NH11" s="3">
        <f>ROUND(0.0,2)</f>
        <v/>
      </c>
      <c r="NI11" s="3">
        <f>ROUND(0.0,2)</f>
        <v/>
      </c>
      <c r="NJ11" s="4">
        <f>IFERROR((ND11/NC11),0)</f>
        <v/>
      </c>
      <c r="NK11" s="4">
        <f>IFERROR(((0+NB11)/T2),0)</f>
        <v/>
      </c>
      <c r="NL11" s="5">
        <f>IFERROR(ROUND(NB11/ND11,2),0)</f>
        <v/>
      </c>
      <c r="NM11" s="5">
        <f>IFERROR(ROUND(NB11/NE11,2),0)</f>
        <v/>
      </c>
      <c r="NN11" s="2" t="inlineStr">
        <is>
          <t>2023-09-20</t>
        </is>
      </c>
      <c r="NO11" s="5">
        <f>ROUND(0.24000000000000002,2)</f>
        <v/>
      </c>
      <c r="NP11" s="3">
        <f>ROUND(384.0,2)</f>
        <v/>
      </c>
      <c r="NQ11" s="3">
        <f>ROUND(9.0,2)</f>
        <v/>
      </c>
      <c r="NR11" s="3">
        <f>ROUND(0.0,2)</f>
        <v/>
      </c>
      <c r="NS11" s="3">
        <f>ROUND(0.0,2)</f>
        <v/>
      </c>
      <c r="NT11" s="3">
        <f>ROUND(0.0,2)</f>
        <v/>
      </c>
      <c r="NU11" s="3">
        <f>ROUND(0.0,2)</f>
        <v/>
      </c>
      <c r="NV11" s="3">
        <f>ROUND(0.0,2)</f>
        <v/>
      </c>
      <c r="NW11" s="4">
        <f>IFERROR((NQ11/NP11),0)</f>
        <v/>
      </c>
      <c r="NX11" s="4">
        <f>IFERROR(((0+NO11)/T2),0)</f>
        <v/>
      </c>
      <c r="NY11" s="5">
        <f>IFERROR(ROUND(NO11/NQ11,2),0)</f>
        <v/>
      </c>
      <c r="NZ11" s="5">
        <f>IFERROR(ROUND(NO11/NR11,2),0)</f>
        <v/>
      </c>
      <c r="OA11" s="2" t="inlineStr">
        <is>
          <t>2023-09-20</t>
        </is>
      </c>
      <c r="OB11" s="5">
        <f>ROUND(0.01,2)</f>
        <v/>
      </c>
      <c r="OC11" s="3">
        <f>ROUND(423.0,2)</f>
        <v/>
      </c>
      <c r="OD11" s="3">
        <f>ROUND(1.0,2)</f>
        <v/>
      </c>
      <c r="OE11" s="3">
        <f>ROUND(0.0,2)</f>
        <v/>
      </c>
      <c r="OF11" s="3">
        <f>ROUND(0.0,2)</f>
        <v/>
      </c>
      <c r="OG11" s="3">
        <f>ROUND(0.0,2)</f>
        <v/>
      </c>
      <c r="OH11" s="3">
        <f>ROUND(0.0,2)</f>
        <v/>
      </c>
      <c r="OI11" s="3">
        <f>ROUND(0.0,2)</f>
        <v/>
      </c>
      <c r="OJ11" s="4">
        <f>IFERROR((OD11/OC11),0)</f>
        <v/>
      </c>
      <c r="OK11" s="4">
        <f>IFERROR(((0+OB11)/T2),0)</f>
        <v/>
      </c>
      <c r="OL11" s="5">
        <f>IFERROR(ROUND(OB11/OD11,2),0)</f>
        <v/>
      </c>
      <c r="OM11" s="5">
        <f>IFERROR(ROUND(OB11/OE11,2),0)</f>
        <v/>
      </c>
      <c r="ON11" s="2" t="inlineStr">
        <is>
          <t>2023-09-20</t>
        </is>
      </c>
      <c r="OO11" s="5">
        <f>ROUND(0.13,2)</f>
        <v/>
      </c>
      <c r="OP11" s="3">
        <f>ROUND(365.0,2)</f>
        <v/>
      </c>
      <c r="OQ11" s="3">
        <f>ROUND(8.0,2)</f>
        <v/>
      </c>
      <c r="OR11" s="3">
        <f>ROUND(0.0,2)</f>
        <v/>
      </c>
      <c r="OS11" s="3">
        <f>ROUND(0.0,2)</f>
        <v/>
      </c>
      <c r="OT11" s="3">
        <f>ROUND(0.0,2)</f>
        <v/>
      </c>
      <c r="OU11" s="3">
        <f>ROUND(0.0,2)</f>
        <v/>
      </c>
      <c r="OV11" s="3">
        <f>ROUND(0.0,2)</f>
        <v/>
      </c>
      <c r="OW11" s="4">
        <f>IFERROR((OQ11/OP11),0)</f>
        <v/>
      </c>
      <c r="OX11" s="4">
        <f>IFERROR(((0+OO11)/T2),0)</f>
        <v/>
      </c>
      <c r="OY11" s="5">
        <f>IFERROR(ROUND(OO11/OQ11,2),0)</f>
        <v/>
      </c>
      <c r="OZ11" s="5">
        <f>IFERROR(ROUND(OO11/OR11,2),0)</f>
        <v/>
      </c>
      <c r="PA11" s="2" t="inlineStr">
        <is>
          <t>2023-09-20</t>
        </is>
      </c>
      <c r="PB11" s="5">
        <f>ROUND(0.19,2)</f>
        <v/>
      </c>
      <c r="PC11" s="3">
        <f>ROUND(411.0,2)</f>
        <v/>
      </c>
      <c r="PD11" s="3">
        <f>ROUND(11.0,2)</f>
        <v/>
      </c>
      <c r="PE11" s="3">
        <f>ROUND(0.0,2)</f>
        <v/>
      </c>
      <c r="PF11" s="3">
        <f>ROUND(0.0,2)</f>
        <v/>
      </c>
      <c r="PG11" s="3">
        <f>ROUND(0.0,2)</f>
        <v/>
      </c>
      <c r="PH11" s="3">
        <f>ROUND(0.0,2)</f>
        <v/>
      </c>
      <c r="PI11" s="3">
        <f>ROUND(0.0,2)</f>
        <v/>
      </c>
      <c r="PJ11" s="4">
        <f>IFERROR((PD11/PC11),0)</f>
        <v/>
      </c>
      <c r="PK11" s="4">
        <f>IFERROR(((0+PB11)/T2),0)</f>
        <v/>
      </c>
      <c r="PL11" s="5">
        <f>IFERROR(ROUND(PB11/PD11,2),0)</f>
        <v/>
      </c>
      <c r="PM11" s="5">
        <f>IFERROR(ROUND(PB11/PE11,2),0)</f>
        <v/>
      </c>
      <c r="PN11" s="2" t="inlineStr">
        <is>
          <t>2023-09-20</t>
        </is>
      </c>
      <c r="PO11" s="5">
        <f>ROUND(0.13,2)</f>
        <v/>
      </c>
      <c r="PP11" s="3">
        <f>ROUND(358.0,2)</f>
        <v/>
      </c>
      <c r="PQ11" s="3">
        <f>ROUND(8.0,2)</f>
        <v/>
      </c>
      <c r="PR11" s="3">
        <f>ROUND(0.0,2)</f>
        <v/>
      </c>
      <c r="PS11" s="3">
        <f>ROUND(0.0,2)</f>
        <v/>
      </c>
      <c r="PT11" s="3">
        <f>ROUND(0.0,2)</f>
        <v/>
      </c>
      <c r="PU11" s="3">
        <f>ROUND(0.0,2)</f>
        <v/>
      </c>
      <c r="PV11" s="3">
        <f>ROUND(0.0,2)</f>
        <v/>
      </c>
      <c r="PW11" s="4">
        <f>IFERROR((PQ11/PP11),0)</f>
        <v/>
      </c>
      <c r="PX11" s="4">
        <f>IFERROR(((0+PO11)/T2),0)</f>
        <v/>
      </c>
      <c r="PY11" s="5">
        <f>IFERROR(ROUND(PO11/PQ11,2),0)</f>
        <v/>
      </c>
      <c r="PZ11" s="5">
        <f>IFERROR(ROUND(PO11/PR11,2),0)</f>
        <v/>
      </c>
      <c r="QA11" s="2" t="inlineStr">
        <is>
          <t>2023-09-20</t>
        </is>
      </c>
      <c r="QB11" s="5">
        <f>ROUND(0.22,2)</f>
        <v/>
      </c>
      <c r="QC11" s="3">
        <f>ROUND(404.0,2)</f>
        <v/>
      </c>
      <c r="QD11" s="3">
        <f>ROUND(9.0,2)</f>
        <v/>
      </c>
      <c r="QE11" s="3">
        <f>ROUND(0.0,2)</f>
        <v/>
      </c>
      <c r="QF11" s="3">
        <f>ROUND(0.0,2)</f>
        <v/>
      </c>
      <c r="QG11" s="3">
        <f>ROUND(0.0,2)</f>
        <v/>
      </c>
      <c r="QH11" s="3">
        <f>ROUND(0.0,2)</f>
        <v/>
      </c>
      <c r="QI11" s="3">
        <f>ROUND(0.0,2)</f>
        <v/>
      </c>
      <c r="QJ11" s="4">
        <f>IFERROR((QD11/QC11),0)</f>
        <v/>
      </c>
      <c r="QK11" s="4">
        <f>IFERROR(((0+QB11)/T2),0)</f>
        <v/>
      </c>
      <c r="QL11" s="5">
        <f>IFERROR(ROUND(QB11/QD11,2),0)</f>
        <v/>
      </c>
      <c r="QM11" s="5">
        <f>IFERROR(ROUND(QB11/QE11,2),0)</f>
        <v/>
      </c>
      <c r="QN11" s="2" t="inlineStr">
        <is>
          <t>2023-09-20</t>
        </is>
      </c>
      <c r="QO11" s="5">
        <f>ROUND(0.64,2)</f>
        <v/>
      </c>
      <c r="QP11" s="3">
        <f>ROUND(1610.0,2)</f>
        <v/>
      </c>
      <c r="QQ11" s="3">
        <f>ROUND(36.0,2)</f>
        <v/>
      </c>
      <c r="QR11" s="3">
        <f>ROUND(0.0,2)</f>
        <v/>
      </c>
      <c r="QS11" s="3">
        <f>ROUND(0.0,2)</f>
        <v/>
      </c>
      <c r="QT11" s="3">
        <f>ROUND(0.0,2)</f>
        <v/>
      </c>
      <c r="QU11" s="3">
        <f>ROUND(0.0,2)</f>
        <v/>
      </c>
      <c r="QV11" s="3">
        <f>ROUND(0.0,2)</f>
        <v/>
      </c>
      <c r="QW11" s="4">
        <f>IFERROR((QQ11/QP11),0)</f>
        <v/>
      </c>
      <c r="QX11" s="4">
        <f>IFERROR(((0+QO11)/T2),0)</f>
        <v/>
      </c>
      <c r="QY11" s="5">
        <f>IFERROR(ROUND(QO11/QQ11,2),0)</f>
        <v/>
      </c>
      <c r="QZ11" s="5">
        <f>IFERROR(ROUND(QO11/QR11,2),0)</f>
        <v/>
      </c>
      <c r="RA11" s="2" t="inlineStr">
        <is>
          <t>2023-09-20</t>
        </is>
      </c>
      <c r="RB11" s="5">
        <f>ROUND(0.12000000000000001,2)</f>
        <v/>
      </c>
      <c r="RC11" s="3">
        <f>ROUND(423.0,2)</f>
        <v/>
      </c>
      <c r="RD11" s="3">
        <f>ROUND(6.0,2)</f>
        <v/>
      </c>
      <c r="RE11" s="3">
        <f>ROUND(0.0,2)</f>
        <v/>
      </c>
      <c r="RF11" s="3">
        <f>ROUND(0.0,2)</f>
        <v/>
      </c>
      <c r="RG11" s="3">
        <f>ROUND(0.0,2)</f>
        <v/>
      </c>
      <c r="RH11" s="3">
        <f>ROUND(0.0,2)</f>
        <v/>
      </c>
      <c r="RI11" s="3">
        <f>ROUND(0.0,2)</f>
        <v/>
      </c>
      <c r="RJ11" s="4">
        <f>IFERROR((RD11/RC11),0)</f>
        <v/>
      </c>
      <c r="RK11" s="4">
        <f>IFERROR(((0+RB11)/T2),0)</f>
        <v/>
      </c>
      <c r="RL11" s="5">
        <f>IFERROR(ROUND(RB11/RD11,2),0)</f>
        <v/>
      </c>
      <c r="RM11" s="5">
        <f>IFERROR(ROUND(RB11/RE11,2),0)</f>
        <v/>
      </c>
      <c r="RN11" s="2" t="inlineStr">
        <is>
          <t>2023-09-20</t>
        </is>
      </c>
      <c r="RO11" s="5">
        <f>ROUND(0.22999999999999998,2)</f>
        <v/>
      </c>
      <c r="RP11" s="3">
        <f>ROUND(317.0,2)</f>
        <v/>
      </c>
      <c r="RQ11" s="3">
        <f>ROUND(10.0,2)</f>
        <v/>
      </c>
      <c r="RR11" s="3">
        <f>ROUND(0.0,2)</f>
        <v/>
      </c>
      <c r="RS11" s="3">
        <f>ROUND(0.0,2)</f>
        <v/>
      </c>
      <c r="RT11" s="3">
        <f>ROUND(0.0,2)</f>
        <v/>
      </c>
      <c r="RU11" s="3">
        <f>ROUND(0.0,2)</f>
        <v/>
      </c>
      <c r="RV11" s="3">
        <f>ROUND(0.0,2)</f>
        <v/>
      </c>
      <c r="RW11" s="4">
        <f>IFERROR((RQ11/RP11),0)</f>
        <v/>
      </c>
      <c r="RX11" s="4">
        <f>IFERROR(((0+RO11)/T2),0)</f>
        <v/>
      </c>
      <c r="RY11" s="5">
        <f>IFERROR(ROUND(RO11/RQ11,2),0)</f>
        <v/>
      </c>
      <c r="RZ11" s="5">
        <f>IFERROR(ROUND(RO11/RR11,2),0)</f>
        <v/>
      </c>
      <c r="SA11" s="2" t="inlineStr">
        <is>
          <t>2023-09-20</t>
        </is>
      </c>
      <c r="SB11" s="5">
        <f>ROUND(0.19,2)</f>
        <v/>
      </c>
      <c r="SC11" s="3">
        <f>ROUND(378.0,2)</f>
        <v/>
      </c>
      <c r="SD11" s="3">
        <f>ROUND(9.0,2)</f>
        <v/>
      </c>
      <c r="SE11" s="3">
        <f>ROUND(0.0,2)</f>
        <v/>
      </c>
      <c r="SF11" s="3">
        <f>ROUND(0.0,2)</f>
        <v/>
      </c>
      <c r="SG11" s="3">
        <f>ROUND(0.0,2)</f>
        <v/>
      </c>
      <c r="SH11" s="3">
        <f>ROUND(0.0,2)</f>
        <v/>
      </c>
      <c r="SI11" s="3">
        <f>ROUND(0.0,2)</f>
        <v/>
      </c>
      <c r="SJ11" s="4">
        <f>IFERROR((SD11/SC11),0)</f>
        <v/>
      </c>
      <c r="SK11" s="4">
        <f>IFERROR(((0+SB11)/T2),0)</f>
        <v/>
      </c>
      <c r="SL11" s="5">
        <f>IFERROR(ROUND(SB11/SD11,2),0)</f>
        <v/>
      </c>
      <c r="SM11" s="5">
        <f>IFERROR(ROUND(SB11/SE11,2),0)</f>
        <v/>
      </c>
      <c r="SN11" s="2" t="inlineStr">
        <is>
          <t>2023-09-20</t>
        </is>
      </c>
      <c r="SO11" s="5">
        <f>ROUND(0.4,2)</f>
        <v/>
      </c>
      <c r="SP11" s="3">
        <f>ROUND(450.0,2)</f>
        <v/>
      </c>
      <c r="SQ11" s="3">
        <f>ROUND(16.0,2)</f>
        <v/>
      </c>
      <c r="SR11" s="3">
        <f>ROUND(0.0,2)</f>
        <v/>
      </c>
      <c r="SS11" s="3">
        <f>ROUND(0.0,2)</f>
        <v/>
      </c>
      <c r="ST11" s="3">
        <f>ROUND(0.0,2)</f>
        <v/>
      </c>
      <c r="SU11" s="3">
        <f>ROUND(0.0,2)</f>
        <v/>
      </c>
      <c r="SV11" s="3">
        <f>ROUND(0.0,2)</f>
        <v/>
      </c>
      <c r="SW11" s="4">
        <f>IFERROR((SQ11/SP11),0)</f>
        <v/>
      </c>
      <c r="SX11" s="4">
        <f>IFERROR(((0+SO11)/T2),0)</f>
        <v/>
      </c>
      <c r="SY11" s="5">
        <f>IFERROR(ROUND(SO11/SQ11,2),0)</f>
        <v/>
      </c>
      <c r="SZ11" s="5">
        <f>IFERROR(ROUND(SO11/SR11,2),0)</f>
        <v/>
      </c>
    </row>
    <row r="12">
      <c r="A12" s="2" t="inlineStr">
        <is>
          <t>2023-09-21</t>
        </is>
      </c>
      <c r="B12" s="5">
        <f>ROUND(46.11,2)</f>
        <v/>
      </c>
      <c r="C12" s="3">
        <f>ROUND(169999.0,2)</f>
        <v/>
      </c>
      <c r="D12" s="3">
        <f>ROUND(2418.0,2)</f>
        <v/>
      </c>
      <c r="E12" s="3">
        <f>ROUND(0.0,2)</f>
        <v/>
      </c>
      <c r="F12" s="3">
        <f>ROUND(0.0,2)</f>
        <v/>
      </c>
      <c r="G12" s="3">
        <f>ROUND(0.0,2)</f>
        <v/>
      </c>
      <c r="H12" s="3">
        <f>ROUND(0.0,2)</f>
        <v/>
      </c>
      <c r="I12" s="3">
        <f>ROUND(0.0,2)</f>
        <v/>
      </c>
      <c r="J12" s="4">
        <f>IFERROR((D12/C12),0)</f>
        <v/>
      </c>
      <c r="K12" s="4">
        <f>IFERROR(((0+B11+B12)/T2),0)</f>
        <v/>
      </c>
      <c r="L12" s="5">
        <f>IFERROR(ROUND(B12/D12,2),0)</f>
        <v/>
      </c>
      <c r="M12" s="5">
        <f>IFERROR(ROUND(B12/E12,2),0)</f>
        <v/>
      </c>
      <c r="N12" s="2" t="inlineStr">
        <is>
          <t>2023-09-21</t>
        </is>
      </c>
      <c r="O12" s="5">
        <f>ROUND(0.99,2)</f>
        <v/>
      </c>
      <c r="P12" s="3">
        <f>ROUND(2350.0,2)</f>
        <v/>
      </c>
      <c r="Q12" s="3">
        <f>ROUND(53.0,2)</f>
        <v/>
      </c>
      <c r="R12" s="3">
        <f>ROUND(0.0,2)</f>
        <v/>
      </c>
      <c r="S12" s="3">
        <f>ROUND(0.0,2)</f>
        <v/>
      </c>
      <c r="T12" s="3">
        <f>ROUND(0.0,2)</f>
        <v/>
      </c>
      <c r="U12" s="3">
        <f>ROUND(0.0,2)</f>
        <v/>
      </c>
      <c r="V12" s="3">
        <f>ROUND(0.0,2)</f>
        <v/>
      </c>
      <c r="W12" s="4">
        <f>IFERROR((Q12/P12),0)</f>
        <v/>
      </c>
      <c r="X12" s="4">
        <f>IFERROR(((0+O11+O12)/T2),0)</f>
        <v/>
      </c>
      <c r="Y12" s="5">
        <f>IFERROR(ROUND(O12/Q12,2),0)</f>
        <v/>
      </c>
      <c r="Z12" s="5">
        <f>IFERROR(ROUND(O12/R12,2),0)</f>
        <v/>
      </c>
      <c r="AA12" s="2" t="inlineStr">
        <is>
          <t>2023-09-21</t>
        </is>
      </c>
      <c r="AB12" s="5">
        <f>ROUND(0.61,2)</f>
        <v/>
      </c>
      <c r="AC12" s="3">
        <f>ROUND(2021.0,2)</f>
        <v/>
      </c>
      <c r="AD12" s="3">
        <f>ROUND(36.0,2)</f>
        <v/>
      </c>
      <c r="AE12" s="3">
        <f>ROUND(0.0,2)</f>
        <v/>
      </c>
      <c r="AF12" s="3">
        <f>ROUND(0.0,2)</f>
        <v/>
      </c>
      <c r="AG12" s="3">
        <f>ROUND(0.0,2)</f>
        <v/>
      </c>
      <c r="AH12" s="3">
        <f>ROUND(0.0,2)</f>
        <v/>
      </c>
      <c r="AI12" s="3">
        <f>ROUND(0.0,2)</f>
        <v/>
      </c>
      <c r="AJ12" s="4">
        <f>IFERROR((AD12/AC12),0)</f>
        <v/>
      </c>
      <c r="AK12" s="4">
        <f>IFERROR(((0+AB11+AB12)/T2),0)</f>
        <v/>
      </c>
      <c r="AL12" s="5">
        <f>IFERROR(ROUND(AB12/AD12,2),0)</f>
        <v/>
      </c>
      <c r="AM12" s="5">
        <f>IFERROR(ROUND(AB12/AE12,2),0)</f>
        <v/>
      </c>
      <c r="AN12" s="2" t="inlineStr">
        <is>
          <t>2023-09-21</t>
        </is>
      </c>
      <c r="AO12" s="5">
        <f>ROUND(1.54,2)</f>
        <v/>
      </c>
      <c r="AP12" s="3">
        <f>ROUND(7590.0,2)</f>
        <v/>
      </c>
      <c r="AQ12" s="3">
        <f>ROUND(107.0,2)</f>
        <v/>
      </c>
      <c r="AR12" s="3">
        <f>ROUND(0.0,2)</f>
        <v/>
      </c>
      <c r="AS12" s="3">
        <f>ROUND(0.0,2)</f>
        <v/>
      </c>
      <c r="AT12" s="3">
        <f>ROUND(0.0,2)</f>
        <v/>
      </c>
      <c r="AU12" s="3">
        <f>ROUND(0.0,2)</f>
        <v/>
      </c>
      <c r="AV12" s="3">
        <f>ROUND(0.0,2)</f>
        <v/>
      </c>
      <c r="AW12" s="4">
        <f>IFERROR((AQ12/AP12),0)</f>
        <v/>
      </c>
      <c r="AX12" s="4">
        <f>IFERROR(((0+AO11+AO12)/T2),0)</f>
        <v/>
      </c>
      <c r="AY12" s="5">
        <f>IFERROR(ROUND(AO12/AQ12,2),0)</f>
        <v/>
      </c>
      <c r="AZ12" s="5">
        <f>IFERROR(ROUND(AO12/AR12,2),0)</f>
        <v/>
      </c>
      <c r="BA12" s="2" t="inlineStr">
        <is>
          <t>2023-09-21</t>
        </is>
      </c>
      <c r="BB12" s="5">
        <f>ROUND(1.58,2)</f>
        <v/>
      </c>
      <c r="BC12" s="3">
        <f>ROUND(2857.0,2)</f>
        <v/>
      </c>
      <c r="BD12" s="3">
        <f>ROUND(82.0,2)</f>
        <v/>
      </c>
      <c r="BE12" s="3">
        <f>ROUND(0.0,2)</f>
        <v/>
      </c>
      <c r="BF12" s="3">
        <f>ROUND(0.0,2)</f>
        <v/>
      </c>
      <c r="BG12" s="3">
        <f>ROUND(0.0,2)</f>
        <v/>
      </c>
      <c r="BH12" s="3">
        <f>ROUND(0.0,2)</f>
        <v/>
      </c>
      <c r="BI12" s="3">
        <f>ROUND(0.0,2)</f>
        <v/>
      </c>
      <c r="BJ12" s="4">
        <f>IFERROR((BD12/BC12),0)</f>
        <v/>
      </c>
      <c r="BK12" s="4">
        <f>IFERROR(((0+BB11+BB12)/T2),0)</f>
        <v/>
      </c>
      <c r="BL12" s="5">
        <f>IFERROR(ROUND(BB12/BD12,2),0)</f>
        <v/>
      </c>
      <c r="BM12" s="5">
        <f>IFERROR(ROUND(BB12/BE12,2),0)</f>
        <v/>
      </c>
      <c r="BN12" s="2" t="inlineStr">
        <is>
          <t>2023-09-21</t>
        </is>
      </c>
      <c r="BO12" s="5">
        <f>ROUND(0.45,2)</f>
        <v/>
      </c>
      <c r="BP12" s="3">
        <f>ROUND(1185.0,2)</f>
        <v/>
      </c>
      <c r="BQ12" s="3">
        <f>ROUND(22.0,2)</f>
        <v/>
      </c>
      <c r="BR12" s="3">
        <f>ROUND(0.0,2)</f>
        <v/>
      </c>
      <c r="BS12" s="3">
        <f>ROUND(0.0,2)</f>
        <v/>
      </c>
      <c r="BT12" s="3">
        <f>ROUND(0.0,2)</f>
        <v/>
      </c>
      <c r="BU12" s="3">
        <f>ROUND(0.0,2)</f>
        <v/>
      </c>
      <c r="BV12" s="3">
        <f>ROUND(0.0,2)</f>
        <v/>
      </c>
      <c r="BW12" s="4">
        <f>IFERROR((BQ12/BP12),0)</f>
        <v/>
      </c>
      <c r="BX12" s="4">
        <f>IFERROR(((0+BO11+BO12)/T2),0)</f>
        <v/>
      </c>
      <c r="BY12" s="5">
        <f>IFERROR(ROUND(BO12/BQ12,2),0)</f>
        <v/>
      </c>
      <c r="BZ12" s="5">
        <f>IFERROR(ROUND(BO12/BR12,2),0)</f>
        <v/>
      </c>
      <c r="CA12" s="2" t="inlineStr">
        <is>
          <t>2023-09-21</t>
        </is>
      </c>
      <c r="CB12" s="5">
        <f>ROUND(0.8700000000000001,2)</f>
        <v/>
      </c>
      <c r="CC12" s="3">
        <f>ROUND(1756.0,2)</f>
        <v/>
      </c>
      <c r="CD12" s="3">
        <f>ROUND(53.0,2)</f>
        <v/>
      </c>
      <c r="CE12" s="3">
        <f>ROUND(0.0,2)</f>
        <v/>
      </c>
      <c r="CF12" s="3">
        <f>ROUND(0.0,2)</f>
        <v/>
      </c>
      <c r="CG12" s="3">
        <f>ROUND(0.0,2)</f>
        <v/>
      </c>
      <c r="CH12" s="3">
        <f>ROUND(0.0,2)</f>
        <v/>
      </c>
      <c r="CI12" s="3">
        <f>ROUND(0.0,2)</f>
        <v/>
      </c>
      <c r="CJ12" s="4">
        <f>IFERROR((CD12/CC12),0)</f>
        <v/>
      </c>
      <c r="CK12" s="4">
        <f>IFERROR(((0+CB11+CB12)/T2),0)</f>
        <v/>
      </c>
      <c r="CL12" s="5">
        <f>IFERROR(ROUND(CB12/CD12,2),0)</f>
        <v/>
      </c>
      <c r="CM12" s="5">
        <f>IFERROR(ROUND(CB12/CE12,2),0)</f>
        <v/>
      </c>
      <c r="CN12" s="2" t="inlineStr">
        <is>
          <t>2023-09-21</t>
        </is>
      </c>
      <c r="CO12" s="5">
        <f>ROUND(3.89,2)</f>
        <v/>
      </c>
      <c r="CP12" s="3">
        <f>ROUND(16117.0,2)</f>
        <v/>
      </c>
      <c r="CQ12" s="3">
        <f>ROUND(226.0,2)</f>
        <v/>
      </c>
      <c r="CR12" s="3">
        <f>ROUND(0.0,2)</f>
        <v/>
      </c>
      <c r="CS12" s="3">
        <f>ROUND(0.0,2)</f>
        <v/>
      </c>
      <c r="CT12" s="3">
        <f>ROUND(0.0,2)</f>
        <v/>
      </c>
      <c r="CU12" s="3">
        <f>ROUND(0.0,2)</f>
        <v/>
      </c>
      <c r="CV12" s="3">
        <f>ROUND(0.0,2)</f>
        <v/>
      </c>
      <c r="CW12" s="4">
        <f>IFERROR((CQ12/CP12),0)</f>
        <v/>
      </c>
      <c r="CX12" s="4">
        <f>IFERROR(((0+CO11+CO12)/T2),0)</f>
        <v/>
      </c>
      <c r="CY12" s="5">
        <f>IFERROR(ROUND(CO12/CQ12,2),0)</f>
        <v/>
      </c>
      <c r="CZ12" s="5">
        <f>IFERROR(ROUND(CO12/CR12,2),0)</f>
        <v/>
      </c>
      <c r="DA12" s="2" t="inlineStr">
        <is>
          <t>2023-09-21</t>
        </is>
      </c>
      <c r="DB12" s="5">
        <f>ROUND(0.49,2)</f>
        <v/>
      </c>
      <c r="DC12" s="3">
        <f>ROUND(1927.0,2)</f>
        <v/>
      </c>
      <c r="DD12" s="3">
        <f>ROUND(27.0,2)</f>
        <v/>
      </c>
      <c r="DE12" s="3">
        <f>ROUND(0.0,2)</f>
        <v/>
      </c>
      <c r="DF12" s="3">
        <f>ROUND(0.0,2)</f>
        <v/>
      </c>
      <c r="DG12" s="3">
        <f>ROUND(0.0,2)</f>
        <v/>
      </c>
      <c r="DH12" s="3">
        <f>ROUND(0.0,2)</f>
        <v/>
      </c>
      <c r="DI12" s="3">
        <f>ROUND(0.0,2)</f>
        <v/>
      </c>
      <c r="DJ12" s="4">
        <f>IFERROR((DD12/DC12),0)</f>
        <v/>
      </c>
      <c r="DK12" s="4">
        <f>IFERROR(((0+DB11+DB12)/T2),0)</f>
        <v/>
      </c>
      <c r="DL12" s="5">
        <f>IFERROR(ROUND(DB12/DD12,2),0)</f>
        <v/>
      </c>
      <c r="DM12" s="5">
        <f>IFERROR(ROUND(DB12/DE12,2),0)</f>
        <v/>
      </c>
      <c r="DN12" s="2" t="inlineStr">
        <is>
          <t>2023-09-21</t>
        </is>
      </c>
      <c r="DO12" s="5">
        <f>ROUND(0.43,2)</f>
        <v/>
      </c>
      <c r="DP12" s="3">
        <f>ROUND(1709.0,2)</f>
        <v/>
      </c>
      <c r="DQ12" s="3">
        <f>ROUND(29.0,2)</f>
        <v/>
      </c>
      <c r="DR12" s="3">
        <f>ROUND(0.0,2)</f>
        <v/>
      </c>
      <c r="DS12" s="3">
        <f>ROUND(0.0,2)</f>
        <v/>
      </c>
      <c r="DT12" s="3">
        <f>ROUND(0.0,2)</f>
        <v/>
      </c>
      <c r="DU12" s="3">
        <f>ROUND(0.0,2)</f>
        <v/>
      </c>
      <c r="DV12" s="3">
        <f>ROUND(0.0,2)</f>
        <v/>
      </c>
      <c r="DW12" s="4">
        <f>IFERROR((DQ12/DP12),0)</f>
        <v/>
      </c>
      <c r="DX12" s="4">
        <f>IFERROR(((0+DO11+DO12)/T2),0)</f>
        <v/>
      </c>
      <c r="DY12" s="5">
        <f>IFERROR(ROUND(DO12/DQ12,2),0)</f>
        <v/>
      </c>
      <c r="DZ12" s="5">
        <f>IFERROR(ROUND(DO12/DR12,2),0)</f>
        <v/>
      </c>
      <c r="EA12" s="2" t="inlineStr">
        <is>
          <t>2023-09-21</t>
        </is>
      </c>
      <c r="EB12" s="5">
        <f>ROUND(4.13,2)</f>
        <v/>
      </c>
      <c r="EC12" s="3">
        <f>ROUND(20624.0,2)</f>
        <v/>
      </c>
      <c r="ED12" s="3">
        <f>ROUND(254.0,2)</f>
        <v/>
      </c>
      <c r="EE12" s="3">
        <f>ROUND(0.0,2)</f>
        <v/>
      </c>
      <c r="EF12" s="3">
        <f>ROUND(0.0,2)</f>
        <v/>
      </c>
      <c r="EG12" s="3">
        <f>ROUND(0.0,2)</f>
        <v/>
      </c>
      <c r="EH12" s="3">
        <f>ROUND(0.0,2)</f>
        <v/>
      </c>
      <c r="EI12" s="3">
        <f>ROUND(0.0,2)</f>
        <v/>
      </c>
      <c r="EJ12" s="4">
        <f>IFERROR((ED12/EC12),0)</f>
        <v/>
      </c>
      <c r="EK12" s="4">
        <f>IFERROR(((0+EB11+EB12)/T2),0)</f>
        <v/>
      </c>
      <c r="EL12" s="5">
        <f>IFERROR(ROUND(EB12/ED12,2),0)</f>
        <v/>
      </c>
      <c r="EM12" s="5">
        <f>IFERROR(ROUND(EB12/EE12,2),0)</f>
        <v/>
      </c>
      <c r="EN12" s="2" t="inlineStr">
        <is>
          <t>2023-09-21</t>
        </is>
      </c>
      <c r="EO12" s="5">
        <f>ROUND(0.97,2)</f>
        <v/>
      </c>
      <c r="EP12" s="3">
        <f>ROUND(2033.0,2)</f>
        <v/>
      </c>
      <c r="EQ12" s="3">
        <f>ROUND(51.0,2)</f>
        <v/>
      </c>
      <c r="ER12" s="3">
        <f>ROUND(0.0,2)</f>
        <v/>
      </c>
      <c r="ES12" s="3">
        <f>ROUND(0.0,2)</f>
        <v/>
      </c>
      <c r="ET12" s="3">
        <f>ROUND(0.0,2)</f>
        <v/>
      </c>
      <c r="EU12" s="3">
        <f>ROUND(0.0,2)</f>
        <v/>
      </c>
      <c r="EV12" s="3">
        <f>ROUND(0.0,2)</f>
        <v/>
      </c>
      <c r="EW12" s="4">
        <f>IFERROR((EQ12/EP12),0)</f>
        <v/>
      </c>
      <c r="EX12" s="4">
        <f>IFERROR(((0+EO11+EO12)/T2),0)</f>
        <v/>
      </c>
      <c r="EY12" s="5">
        <f>IFERROR(ROUND(EO12/EQ12,2),0)</f>
        <v/>
      </c>
      <c r="EZ12" s="5">
        <f>IFERROR(ROUND(EO12/ER12,2),0)</f>
        <v/>
      </c>
      <c r="FA12" s="2" t="inlineStr">
        <is>
          <t>2023-09-21</t>
        </is>
      </c>
      <c r="FB12" s="5">
        <f>ROUND(3.8499999999999996,2)</f>
        <v/>
      </c>
      <c r="FC12" s="3">
        <f>ROUND(16143.0,2)</f>
        <v/>
      </c>
      <c r="FD12" s="3">
        <f>ROUND(213.0,2)</f>
        <v/>
      </c>
      <c r="FE12" s="3">
        <f>ROUND(0.0,2)</f>
        <v/>
      </c>
      <c r="FF12" s="3">
        <f>ROUND(0.0,2)</f>
        <v/>
      </c>
      <c r="FG12" s="3">
        <f>ROUND(0.0,2)</f>
        <v/>
      </c>
      <c r="FH12" s="3">
        <f>ROUND(0.0,2)</f>
        <v/>
      </c>
      <c r="FI12" s="3">
        <f>ROUND(0.0,2)</f>
        <v/>
      </c>
      <c r="FJ12" s="4">
        <f>IFERROR((FD12/FC12),0)</f>
        <v/>
      </c>
      <c r="FK12" s="4">
        <f>IFERROR(((0+FB11+FB12)/T2),0)</f>
        <v/>
      </c>
      <c r="FL12" s="5">
        <f>IFERROR(ROUND(FB12/FD12,2),0)</f>
        <v/>
      </c>
      <c r="FM12" s="5">
        <f>IFERROR(ROUND(FB12/FE12,2),0)</f>
        <v/>
      </c>
      <c r="FN12" s="2" t="inlineStr">
        <is>
          <t>2023-09-21</t>
        </is>
      </c>
      <c r="FO12" s="5">
        <f>ROUND(3.49,2)</f>
        <v/>
      </c>
      <c r="FP12" s="3">
        <f>ROUND(19051.0,2)</f>
        <v/>
      </c>
      <c r="FQ12" s="3">
        <f>ROUND(213.0,2)</f>
        <v/>
      </c>
      <c r="FR12" s="3">
        <f>ROUND(0.0,2)</f>
        <v/>
      </c>
      <c r="FS12" s="3">
        <f>ROUND(0.0,2)</f>
        <v/>
      </c>
      <c r="FT12" s="3">
        <f>ROUND(0.0,2)</f>
        <v/>
      </c>
      <c r="FU12" s="3">
        <f>ROUND(0.0,2)</f>
        <v/>
      </c>
      <c r="FV12" s="3">
        <f>ROUND(0.0,2)</f>
        <v/>
      </c>
      <c r="FW12" s="4">
        <f>IFERROR((FQ12/FP12),0)</f>
        <v/>
      </c>
      <c r="FX12" s="4">
        <f>IFERROR(((0+FO11+FO12)/T2),0)</f>
        <v/>
      </c>
      <c r="FY12" s="5">
        <f>IFERROR(ROUND(FO12/FQ12,2),0)</f>
        <v/>
      </c>
      <c r="FZ12" s="5">
        <f>IFERROR(ROUND(FO12/FR12,2),0)</f>
        <v/>
      </c>
      <c r="GA12" s="2" t="inlineStr">
        <is>
          <t>2023-09-21</t>
        </is>
      </c>
      <c r="GB12" s="5">
        <f>ROUND(0.38999999999999996,2)</f>
        <v/>
      </c>
      <c r="GC12" s="3">
        <f>ROUND(1253.0,2)</f>
        <v/>
      </c>
      <c r="GD12" s="3">
        <f>ROUND(24.0,2)</f>
        <v/>
      </c>
      <c r="GE12" s="3">
        <f>ROUND(0.0,2)</f>
        <v/>
      </c>
      <c r="GF12" s="3">
        <f>ROUND(0.0,2)</f>
        <v/>
      </c>
      <c r="GG12" s="3">
        <f>ROUND(0.0,2)</f>
        <v/>
      </c>
      <c r="GH12" s="3">
        <f>ROUND(0.0,2)</f>
        <v/>
      </c>
      <c r="GI12" s="3">
        <f>ROUND(0.0,2)</f>
        <v/>
      </c>
      <c r="GJ12" s="4">
        <f>IFERROR((GD12/GC12),0)</f>
        <v/>
      </c>
      <c r="GK12" s="4">
        <f>IFERROR(((0+GB11+GB12)/T2),0)</f>
        <v/>
      </c>
      <c r="GL12" s="5">
        <f>IFERROR(ROUND(GB12/GD12,2),0)</f>
        <v/>
      </c>
      <c r="GM12" s="5">
        <f>IFERROR(ROUND(GB12/GE12,2),0)</f>
        <v/>
      </c>
      <c r="GN12" s="2" t="inlineStr">
        <is>
          <t>2023-09-21</t>
        </is>
      </c>
      <c r="GO12" s="5">
        <f>ROUND(2.9899999999999998,2)</f>
        <v/>
      </c>
      <c r="GP12" s="3">
        <f>ROUND(16351.0,2)</f>
        <v/>
      </c>
      <c r="GQ12" s="3">
        <f>ROUND(188.0,2)</f>
        <v/>
      </c>
      <c r="GR12" s="3">
        <f>ROUND(0.0,2)</f>
        <v/>
      </c>
      <c r="GS12" s="3">
        <f>ROUND(0.0,2)</f>
        <v/>
      </c>
      <c r="GT12" s="3">
        <f>ROUND(0.0,2)</f>
        <v/>
      </c>
      <c r="GU12" s="3">
        <f>ROUND(0.0,2)</f>
        <v/>
      </c>
      <c r="GV12" s="3">
        <f>ROUND(0.0,2)</f>
        <v/>
      </c>
      <c r="GW12" s="4">
        <f>IFERROR((GQ12/GP12),0)</f>
        <v/>
      </c>
      <c r="GX12" s="4">
        <f>IFERROR(((0+GO11+GO12)/T2),0)</f>
        <v/>
      </c>
      <c r="GY12" s="5">
        <f>IFERROR(ROUND(GO12/GQ12,2),0)</f>
        <v/>
      </c>
      <c r="GZ12" s="5">
        <f>IFERROR(ROUND(GO12/GR12,2),0)</f>
        <v/>
      </c>
      <c r="HA12" s="2" t="inlineStr">
        <is>
          <t>2023-09-21</t>
        </is>
      </c>
      <c r="HB12" s="5">
        <f>ROUND(1.3599999999999999,2)</f>
        <v/>
      </c>
      <c r="HC12" s="3">
        <f>ROUND(1729.0,2)</f>
        <v/>
      </c>
      <c r="HD12" s="3">
        <f>ROUND(62.0,2)</f>
        <v/>
      </c>
      <c r="HE12" s="3">
        <f>ROUND(0.0,2)</f>
        <v/>
      </c>
      <c r="HF12" s="3">
        <f>ROUND(0.0,2)</f>
        <v/>
      </c>
      <c r="HG12" s="3">
        <f>ROUND(0.0,2)</f>
        <v/>
      </c>
      <c r="HH12" s="3">
        <f>ROUND(0.0,2)</f>
        <v/>
      </c>
      <c r="HI12" s="3">
        <f>ROUND(0.0,2)</f>
        <v/>
      </c>
      <c r="HJ12" s="4">
        <f>IFERROR((HD12/HC12),0)</f>
        <v/>
      </c>
      <c r="HK12" s="4">
        <f>IFERROR(((0+HB11+HB12)/T2),0)</f>
        <v/>
      </c>
      <c r="HL12" s="5">
        <f>IFERROR(ROUND(HB12/HD12,2),0)</f>
        <v/>
      </c>
      <c r="HM12" s="5">
        <f>IFERROR(ROUND(HB12/HE12,2),0)</f>
        <v/>
      </c>
      <c r="HN12" s="2" t="inlineStr">
        <is>
          <t>2023-09-21</t>
        </is>
      </c>
      <c r="HO12" s="5">
        <f>ROUND(0.56,2)</f>
        <v/>
      </c>
      <c r="HP12" s="3">
        <f>ROUND(1941.0,2)</f>
        <v/>
      </c>
      <c r="HQ12" s="3">
        <f>ROUND(35.0,2)</f>
        <v/>
      </c>
      <c r="HR12" s="3">
        <f>ROUND(0.0,2)</f>
        <v/>
      </c>
      <c r="HS12" s="3">
        <f>ROUND(0.0,2)</f>
        <v/>
      </c>
      <c r="HT12" s="3">
        <f>ROUND(0.0,2)</f>
        <v/>
      </c>
      <c r="HU12" s="3">
        <f>ROUND(0.0,2)</f>
        <v/>
      </c>
      <c r="HV12" s="3">
        <f>ROUND(0.0,2)</f>
        <v/>
      </c>
      <c r="HW12" s="4">
        <f>IFERROR((HQ12/HP12),0)</f>
        <v/>
      </c>
      <c r="HX12" s="4">
        <f>IFERROR(((0+HO11+HO12)/T2),0)</f>
        <v/>
      </c>
      <c r="HY12" s="5">
        <f>IFERROR(ROUND(HO12/HQ12,2),0)</f>
        <v/>
      </c>
      <c r="HZ12" s="5">
        <f>IFERROR(ROUND(HO12/HR12,2),0)</f>
        <v/>
      </c>
      <c r="IA12" s="2" t="inlineStr">
        <is>
          <t>2023-09-21</t>
        </is>
      </c>
      <c r="IB12" s="5">
        <f>ROUND(0.6,2)</f>
        <v/>
      </c>
      <c r="IC12" s="3">
        <f>ROUND(2108.0,2)</f>
        <v/>
      </c>
      <c r="ID12" s="3">
        <f>ROUND(39.0,2)</f>
        <v/>
      </c>
      <c r="IE12" s="3">
        <f>ROUND(0.0,2)</f>
        <v/>
      </c>
      <c r="IF12" s="3">
        <f>ROUND(0.0,2)</f>
        <v/>
      </c>
      <c r="IG12" s="3">
        <f>ROUND(0.0,2)</f>
        <v/>
      </c>
      <c r="IH12" s="3">
        <f>ROUND(0.0,2)</f>
        <v/>
      </c>
      <c r="II12" s="3">
        <f>ROUND(0.0,2)</f>
        <v/>
      </c>
      <c r="IJ12" s="4">
        <f>IFERROR((ID12/IC12),0)</f>
        <v/>
      </c>
      <c r="IK12" s="4">
        <f>IFERROR(((0+IB11+IB12)/T2),0)</f>
        <v/>
      </c>
      <c r="IL12" s="5">
        <f>IFERROR(ROUND(IB12/ID12,2),0)</f>
        <v/>
      </c>
      <c r="IM12" s="5">
        <f>IFERROR(ROUND(IB12/IE12,2),0)</f>
        <v/>
      </c>
      <c r="IN12" s="2" t="inlineStr">
        <is>
          <t>2023-09-21</t>
        </is>
      </c>
      <c r="IO12" s="5">
        <f>ROUND(0.28,2)</f>
        <v/>
      </c>
      <c r="IP12" s="3">
        <f>ROUND(1674.0,2)</f>
        <v/>
      </c>
      <c r="IQ12" s="3">
        <f>ROUND(17.0,2)</f>
        <v/>
      </c>
      <c r="IR12" s="3">
        <f>ROUND(0.0,2)</f>
        <v/>
      </c>
      <c r="IS12" s="3">
        <f>ROUND(0.0,2)</f>
        <v/>
      </c>
      <c r="IT12" s="3">
        <f>ROUND(0.0,2)</f>
        <v/>
      </c>
      <c r="IU12" s="3">
        <f>ROUND(0.0,2)</f>
        <v/>
      </c>
      <c r="IV12" s="3">
        <f>ROUND(0.0,2)</f>
        <v/>
      </c>
      <c r="IW12" s="4">
        <f>IFERROR((IQ12/IP12),0)</f>
        <v/>
      </c>
      <c r="IX12" s="4">
        <f>IFERROR(((0+IO11+IO12)/T2),0)</f>
        <v/>
      </c>
      <c r="IY12" s="5">
        <f>IFERROR(ROUND(IO12/IQ12,2),0)</f>
        <v/>
      </c>
      <c r="IZ12" s="5">
        <f>IFERROR(ROUND(IO12/IR12,2),0)</f>
        <v/>
      </c>
      <c r="JA12" s="2" t="inlineStr">
        <is>
          <t>2023-09-21</t>
        </is>
      </c>
      <c r="JB12" s="5">
        <f>ROUND(1.37,2)</f>
        <v/>
      </c>
      <c r="JC12" s="3">
        <f>ROUND(2559.0,2)</f>
        <v/>
      </c>
      <c r="JD12" s="3">
        <f>ROUND(69.0,2)</f>
        <v/>
      </c>
      <c r="JE12" s="3">
        <f>ROUND(0.0,2)</f>
        <v/>
      </c>
      <c r="JF12" s="3">
        <f>ROUND(0.0,2)</f>
        <v/>
      </c>
      <c r="JG12" s="3">
        <f>ROUND(0.0,2)</f>
        <v/>
      </c>
      <c r="JH12" s="3">
        <f>ROUND(0.0,2)</f>
        <v/>
      </c>
      <c r="JI12" s="3">
        <f>ROUND(0.0,2)</f>
        <v/>
      </c>
      <c r="JJ12" s="4">
        <f>IFERROR((JD12/JC12),0)</f>
        <v/>
      </c>
      <c r="JK12" s="4">
        <f>IFERROR(((0+JB11+JB12)/T2),0)</f>
        <v/>
      </c>
      <c r="JL12" s="5">
        <f>IFERROR(ROUND(JB12/JD12,2),0)</f>
        <v/>
      </c>
      <c r="JM12" s="5">
        <f>IFERROR(ROUND(JB12/JE12,2),0)</f>
        <v/>
      </c>
      <c r="JN12" s="2" t="inlineStr">
        <is>
          <t>2023-09-21</t>
        </is>
      </c>
      <c r="JO12" s="5">
        <f>ROUND(0.82,2)</f>
        <v/>
      </c>
      <c r="JP12" s="3">
        <f>ROUND(1182.0,2)</f>
        <v/>
      </c>
      <c r="JQ12" s="3">
        <f>ROUND(24.0,2)</f>
        <v/>
      </c>
      <c r="JR12" s="3">
        <f>ROUND(0.0,2)</f>
        <v/>
      </c>
      <c r="JS12" s="3">
        <f>ROUND(0.0,2)</f>
        <v/>
      </c>
      <c r="JT12" s="3">
        <f>ROUND(0.0,2)</f>
        <v/>
      </c>
      <c r="JU12" s="3">
        <f>ROUND(0.0,2)</f>
        <v/>
      </c>
      <c r="JV12" s="3">
        <f>ROUND(0.0,2)</f>
        <v/>
      </c>
      <c r="JW12" s="4">
        <f>IFERROR((JQ12/JP12),0)</f>
        <v/>
      </c>
      <c r="JX12" s="4">
        <f>IFERROR(((0+JO11+JO12)/T2),0)</f>
        <v/>
      </c>
      <c r="JY12" s="5">
        <f>IFERROR(ROUND(JO12/JQ12,2),0)</f>
        <v/>
      </c>
      <c r="JZ12" s="5">
        <f>IFERROR(ROUND(JO12/JR12,2),0)</f>
        <v/>
      </c>
      <c r="KA12" s="2" t="inlineStr">
        <is>
          <t>2023-09-21</t>
        </is>
      </c>
      <c r="KB12" s="5">
        <f>ROUND(0.51,2)</f>
        <v/>
      </c>
      <c r="KC12" s="3">
        <f>ROUND(1251.0,2)</f>
        <v/>
      </c>
      <c r="KD12" s="3">
        <f>ROUND(19.0,2)</f>
        <v/>
      </c>
      <c r="KE12" s="3">
        <f>ROUND(0.0,2)</f>
        <v/>
      </c>
      <c r="KF12" s="3">
        <f>ROUND(0.0,2)</f>
        <v/>
      </c>
      <c r="KG12" s="3">
        <f>ROUND(0.0,2)</f>
        <v/>
      </c>
      <c r="KH12" s="3">
        <f>ROUND(0.0,2)</f>
        <v/>
      </c>
      <c r="KI12" s="3">
        <f>ROUND(0.0,2)</f>
        <v/>
      </c>
      <c r="KJ12" s="4">
        <f>IFERROR((KD12/KC12),0)</f>
        <v/>
      </c>
      <c r="KK12" s="4">
        <f>IFERROR(((0+KB11+KB12)/T2),0)</f>
        <v/>
      </c>
      <c r="KL12" s="5">
        <f>IFERROR(ROUND(KB12/KD12,2),0)</f>
        <v/>
      </c>
      <c r="KM12" s="5">
        <f>IFERROR(ROUND(KB12/KE12,2),0)</f>
        <v/>
      </c>
      <c r="KN12" s="2" t="inlineStr">
        <is>
          <t>2023-09-21</t>
        </is>
      </c>
      <c r="KO12" s="5">
        <f>ROUND(0.8400000000000001,2)</f>
        <v/>
      </c>
      <c r="KP12" s="3">
        <f>ROUND(5483.0,2)</f>
        <v/>
      </c>
      <c r="KQ12" s="3">
        <f>ROUND(42.0,2)</f>
        <v/>
      </c>
      <c r="KR12" s="3">
        <f>ROUND(0.0,2)</f>
        <v/>
      </c>
      <c r="KS12" s="3">
        <f>ROUND(0.0,2)</f>
        <v/>
      </c>
      <c r="KT12" s="3">
        <f>ROUND(0.0,2)</f>
        <v/>
      </c>
      <c r="KU12" s="3">
        <f>ROUND(0.0,2)</f>
        <v/>
      </c>
      <c r="KV12" s="3">
        <f>ROUND(0.0,2)</f>
        <v/>
      </c>
      <c r="KW12" s="4">
        <f>IFERROR((KQ12/KP12),0)</f>
        <v/>
      </c>
      <c r="KX12" s="4">
        <f>IFERROR(((0+KO11+KO12)/T2),0)</f>
        <v/>
      </c>
      <c r="KY12" s="5">
        <f>IFERROR(ROUND(KO12/KQ12,2),0)</f>
        <v/>
      </c>
      <c r="KZ12" s="5">
        <f>IFERROR(ROUND(KO12/KR12,2),0)</f>
        <v/>
      </c>
      <c r="LA12" s="2" t="inlineStr">
        <is>
          <t>2023-09-21</t>
        </is>
      </c>
      <c r="LB12" s="5">
        <f>ROUND(1.6500000000000001,2)</f>
        <v/>
      </c>
      <c r="LC12" s="3">
        <f>ROUND(5886.0,2)</f>
        <v/>
      </c>
      <c r="LD12" s="3">
        <f>ROUND(68.0,2)</f>
        <v/>
      </c>
      <c r="LE12" s="3">
        <f>ROUND(0.0,2)</f>
        <v/>
      </c>
      <c r="LF12" s="3">
        <f>ROUND(0.0,2)</f>
        <v/>
      </c>
      <c r="LG12" s="3">
        <f>ROUND(0.0,2)</f>
        <v/>
      </c>
      <c r="LH12" s="3">
        <f>ROUND(0.0,2)</f>
        <v/>
      </c>
      <c r="LI12" s="3">
        <f>ROUND(0.0,2)</f>
        <v/>
      </c>
      <c r="LJ12" s="4">
        <f>IFERROR((LD12/LC12),0)</f>
        <v/>
      </c>
      <c r="LK12" s="4">
        <f>IFERROR(((0+LB11+LB12)/T2),0)</f>
        <v/>
      </c>
      <c r="LL12" s="5">
        <f>IFERROR(ROUND(LB12/LD12,2),0)</f>
        <v/>
      </c>
      <c r="LM12" s="5">
        <f>IFERROR(ROUND(LB12/LE12,2),0)</f>
        <v/>
      </c>
      <c r="LN12" s="2" t="inlineStr">
        <is>
          <t>2023-09-21</t>
        </is>
      </c>
      <c r="LO12" s="5">
        <f>ROUND(0.99,2)</f>
        <v/>
      </c>
      <c r="LP12" s="3">
        <f>ROUND(4614.0,2)</f>
        <v/>
      </c>
      <c r="LQ12" s="3">
        <f>ROUND(50.0,2)</f>
        <v/>
      </c>
      <c r="LR12" s="3">
        <f>ROUND(0.0,2)</f>
        <v/>
      </c>
      <c r="LS12" s="3">
        <f>ROUND(0.0,2)</f>
        <v/>
      </c>
      <c r="LT12" s="3">
        <f>ROUND(0.0,2)</f>
        <v/>
      </c>
      <c r="LU12" s="3">
        <f>ROUND(0.0,2)</f>
        <v/>
      </c>
      <c r="LV12" s="3">
        <f>ROUND(0.0,2)</f>
        <v/>
      </c>
      <c r="LW12" s="4">
        <f>IFERROR((LQ12/LP12),0)</f>
        <v/>
      </c>
      <c r="LX12" s="4">
        <f>IFERROR(((0+LO11+LO12)/T2),0)</f>
        <v/>
      </c>
      <c r="LY12" s="5">
        <f>IFERROR(ROUND(LO12/LQ12,2),0)</f>
        <v/>
      </c>
      <c r="LZ12" s="5">
        <f>IFERROR(ROUND(LO12/LR12,2),0)</f>
        <v/>
      </c>
      <c r="MA12" s="2" t="inlineStr">
        <is>
          <t>2023-09-21</t>
        </is>
      </c>
      <c r="MB12" s="5">
        <f>ROUND(1.1400000000000001,2)</f>
        <v/>
      </c>
      <c r="MC12" s="3">
        <f>ROUND(5512.0,2)</f>
        <v/>
      </c>
      <c r="MD12" s="3">
        <f>ROUND(55.0,2)</f>
        <v/>
      </c>
      <c r="ME12" s="3">
        <f>ROUND(0.0,2)</f>
        <v/>
      </c>
      <c r="MF12" s="3">
        <f>ROUND(0.0,2)</f>
        <v/>
      </c>
      <c r="MG12" s="3">
        <f>ROUND(0.0,2)</f>
        <v/>
      </c>
      <c r="MH12" s="3">
        <f>ROUND(0.0,2)</f>
        <v/>
      </c>
      <c r="MI12" s="3">
        <f>ROUND(0.0,2)</f>
        <v/>
      </c>
      <c r="MJ12" s="4">
        <f>IFERROR((MD12/MC12),0)</f>
        <v/>
      </c>
      <c r="MK12" s="4">
        <f>IFERROR(((0+MB11+MB12)/T2),0)</f>
        <v/>
      </c>
      <c r="ML12" s="5">
        <f>IFERROR(ROUND(MB12/MD12,2),0)</f>
        <v/>
      </c>
      <c r="MM12" s="5">
        <f>IFERROR(ROUND(MB12/ME12,2),0)</f>
        <v/>
      </c>
      <c r="MN12" s="2" t="inlineStr">
        <is>
          <t>2023-09-21</t>
        </is>
      </c>
      <c r="MO12" s="5">
        <f>ROUND(0.66,2)</f>
        <v/>
      </c>
      <c r="MP12" s="3">
        <f>ROUND(1301.0,2)</f>
        <v/>
      </c>
      <c r="MQ12" s="3">
        <f>ROUND(30.0,2)</f>
        <v/>
      </c>
      <c r="MR12" s="3">
        <f>ROUND(0.0,2)</f>
        <v/>
      </c>
      <c r="MS12" s="3">
        <f>ROUND(0.0,2)</f>
        <v/>
      </c>
      <c r="MT12" s="3">
        <f>ROUND(0.0,2)</f>
        <v/>
      </c>
      <c r="MU12" s="3">
        <f>ROUND(0.0,2)</f>
        <v/>
      </c>
      <c r="MV12" s="3">
        <f>ROUND(0.0,2)</f>
        <v/>
      </c>
      <c r="MW12" s="4">
        <f>IFERROR((MQ12/MP12),0)</f>
        <v/>
      </c>
      <c r="MX12" s="4">
        <f>IFERROR(((0+MO11+MO12)/T2),0)</f>
        <v/>
      </c>
      <c r="MY12" s="5">
        <f>IFERROR(ROUND(MO12/MQ12,2),0)</f>
        <v/>
      </c>
      <c r="MZ12" s="5">
        <f>IFERROR(ROUND(MO12/MR12,2),0)</f>
        <v/>
      </c>
      <c r="NA12" s="2" t="inlineStr">
        <is>
          <t>2023-09-21</t>
        </is>
      </c>
      <c r="NB12" s="5">
        <f>ROUND(1.44,2)</f>
        <v/>
      </c>
      <c r="NC12" s="3">
        <f>ROUND(4818.0,2)</f>
        <v/>
      </c>
      <c r="ND12" s="3">
        <f>ROUND(53.0,2)</f>
        <v/>
      </c>
      <c r="NE12" s="3">
        <f>ROUND(0.0,2)</f>
        <v/>
      </c>
      <c r="NF12" s="3">
        <f>ROUND(0.0,2)</f>
        <v/>
      </c>
      <c r="NG12" s="3">
        <f>ROUND(0.0,2)</f>
        <v/>
      </c>
      <c r="NH12" s="3">
        <f>ROUND(0.0,2)</f>
        <v/>
      </c>
      <c r="NI12" s="3">
        <f>ROUND(0.0,2)</f>
        <v/>
      </c>
      <c r="NJ12" s="4">
        <f>IFERROR((ND12/NC12),0)</f>
        <v/>
      </c>
      <c r="NK12" s="4">
        <f>IFERROR(((0+NB11+NB12)/T2),0)</f>
        <v/>
      </c>
      <c r="NL12" s="5">
        <f>IFERROR(ROUND(NB12/ND12,2),0)</f>
        <v/>
      </c>
      <c r="NM12" s="5">
        <f>IFERROR(ROUND(NB12/NE12,2),0)</f>
        <v/>
      </c>
      <c r="NN12" s="2" t="inlineStr">
        <is>
          <t>2023-09-21</t>
        </is>
      </c>
      <c r="NO12" s="5">
        <f>ROUND(0.49,2)</f>
        <v/>
      </c>
      <c r="NP12" s="3">
        <f>ROUND(1138.0,2)</f>
        <v/>
      </c>
      <c r="NQ12" s="3">
        <f>ROUND(20.0,2)</f>
        <v/>
      </c>
      <c r="NR12" s="3">
        <f>ROUND(0.0,2)</f>
        <v/>
      </c>
      <c r="NS12" s="3">
        <f>ROUND(0.0,2)</f>
        <v/>
      </c>
      <c r="NT12" s="3">
        <f>ROUND(0.0,2)</f>
        <v/>
      </c>
      <c r="NU12" s="3">
        <f>ROUND(0.0,2)</f>
        <v/>
      </c>
      <c r="NV12" s="3">
        <f>ROUND(0.0,2)</f>
        <v/>
      </c>
      <c r="NW12" s="4">
        <f>IFERROR((NQ12/NP12),0)</f>
        <v/>
      </c>
      <c r="NX12" s="4">
        <f>IFERROR(((0+NO11+NO12)/T2),0)</f>
        <v/>
      </c>
      <c r="NY12" s="5">
        <f>IFERROR(ROUND(NO12/NQ12,2),0)</f>
        <v/>
      </c>
      <c r="NZ12" s="5">
        <f>IFERROR(ROUND(NO12/NR12,2),0)</f>
        <v/>
      </c>
      <c r="OA12" s="2" t="inlineStr">
        <is>
          <t>2023-09-21</t>
        </is>
      </c>
      <c r="OB12" s="5">
        <f>ROUND(0.55,2)</f>
        <v/>
      </c>
      <c r="OC12" s="3">
        <f>ROUND(1091.0,2)</f>
        <v/>
      </c>
      <c r="OD12" s="3">
        <f>ROUND(19.0,2)</f>
        <v/>
      </c>
      <c r="OE12" s="3">
        <f>ROUND(0.0,2)</f>
        <v/>
      </c>
      <c r="OF12" s="3">
        <f>ROUND(0.0,2)</f>
        <v/>
      </c>
      <c r="OG12" s="3">
        <f>ROUND(0.0,2)</f>
        <v/>
      </c>
      <c r="OH12" s="3">
        <f>ROUND(0.0,2)</f>
        <v/>
      </c>
      <c r="OI12" s="3">
        <f>ROUND(0.0,2)</f>
        <v/>
      </c>
      <c r="OJ12" s="4">
        <f>IFERROR((OD12/OC12),0)</f>
        <v/>
      </c>
      <c r="OK12" s="4">
        <f>IFERROR(((0+OB11+OB12)/T2),0)</f>
        <v/>
      </c>
      <c r="OL12" s="5">
        <f>IFERROR(ROUND(OB12/OD12,2),0)</f>
        <v/>
      </c>
      <c r="OM12" s="5">
        <f>IFERROR(ROUND(OB12/OE12,2),0)</f>
        <v/>
      </c>
      <c r="ON12" s="2" t="inlineStr">
        <is>
          <t>2023-09-21</t>
        </is>
      </c>
      <c r="OO12" s="5">
        <f>ROUND(0.59,2)</f>
        <v/>
      </c>
      <c r="OP12" s="3">
        <f>ROUND(1328.0,2)</f>
        <v/>
      </c>
      <c r="OQ12" s="3">
        <f>ROUND(30.0,2)</f>
        <v/>
      </c>
      <c r="OR12" s="3">
        <f>ROUND(0.0,2)</f>
        <v/>
      </c>
      <c r="OS12" s="3">
        <f>ROUND(0.0,2)</f>
        <v/>
      </c>
      <c r="OT12" s="3">
        <f>ROUND(0.0,2)</f>
        <v/>
      </c>
      <c r="OU12" s="3">
        <f>ROUND(0.0,2)</f>
        <v/>
      </c>
      <c r="OV12" s="3">
        <f>ROUND(0.0,2)</f>
        <v/>
      </c>
      <c r="OW12" s="4">
        <f>IFERROR((OQ12/OP12),0)</f>
        <v/>
      </c>
      <c r="OX12" s="4">
        <f>IFERROR(((0+OO11+OO12)/T2),0)</f>
        <v/>
      </c>
      <c r="OY12" s="5">
        <f>IFERROR(ROUND(OO12/OQ12,2),0)</f>
        <v/>
      </c>
      <c r="OZ12" s="5">
        <f>IFERROR(ROUND(OO12/OR12,2),0)</f>
        <v/>
      </c>
      <c r="PA12" s="2" t="inlineStr">
        <is>
          <t>2023-09-21</t>
        </is>
      </c>
      <c r="PB12" s="5">
        <f>ROUND(0.45999999999999996,2)</f>
        <v/>
      </c>
      <c r="PC12" s="3">
        <f>ROUND(1195.0,2)</f>
        <v/>
      </c>
      <c r="PD12" s="3">
        <f>ROUND(22.0,2)</f>
        <v/>
      </c>
      <c r="PE12" s="3">
        <f>ROUND(0.0,2)</f>
        <v/>
      </c>
      <c r="PF12" s="3">
        <f>ROUND(0.0,2)</f>
        <v/>
      </c>
      <c r="PG12" s="3">
        <f>ROUND(0.0,2)</f>
        <v/>
      </c>
      <c r="PH12" s="3">
        <f>ROUND(0.0,2)</f>
        <v/>
      </c>
      <c r="PI12" s="3">
        <f>ROUND(0.0,2)</f>
        <v/>
      </c>
      <c r="PJ12" s="4">
        <f>IFERROR((PD12/PC12),0)</f>
        <v/>
      </c>
      <c r="PK12" s="4">
        <f>IFERROR(((0+PB11+PB12)/T2),0)</f>
        <v/>
      </c>
      <c r="PL12" s="5">
        <f>IFERROR(ROUND(PB12/PD12,2),0)</f>
        <v/>
      </c>
      <c r="PM12" s="5">
        <f>IFERROR(ROUND(PB12/PE12,2),0)</f>
        <v/>
      </c>
      <c r="PN12" s="2" t="inlineStr">
        <is>
          <t>2023-09-21</t>
        </is>
      </c>
      <c r="PO12" s="5">
        <f>ROUND(0.47,2)</f>
        <v/>
      </c>
      <c r="PP12" s="3">
        <f>ROUND(1374.0,2)</f>
        <v/>
      </c>
      <c r="PQ12" s="3">
        <f>ROUND(18.0,2)</f>
        <v/>
      </c>
      <c r="PR12" s="3">
        <f>ROUND(0.0,2)</f>
        <v/>
      </c>
      <c r="PS12" s="3">
        <f>ROUND(0.0,2)</f>
        <v/>
      </c>
      <c r="PT12" s="3">
        <f>ROUND(0.0,2)</f>
        <v/>
      </c>
      <c r="PU12" s="3">
        <f>ROUND(0.0,2)</f>
        <v/>
      </c>
      <c r="PV12" s="3">
        <f>ROUND(0.0,2)</f>
        <v/>
      </c>
      <c r="PW12" s="4">
        <f>IFERROR((PQ12/PP12),0)</f>
        <v/>
      </c>
      <c r="PX12" s="4">
        <f>IFERROR(((0+PO11+PO12)/T2),0)</f>
        <v/>
      </c>
      <c r="PY12" s="5">
        <f>IFERROR(ROUND(PO12/PQ12,2),0)</f>
        <v/>
      </c>
      <c r="PZ12" s="5">
        <f>IFERROR(ROUND(PO12/PR12,2),0)</f>
        <v/>
      </c>
      <c r="QA12" s="2" t="inlineStr">
        <is>
          <t>2023-09-21</t>
        </is>
      </c>
      <c r="QB12" s="5">
        <f>ROUND(0.55,2)</f>
        <v/>
      </c>
      <c r="QC12" s="3">
        <f>ROUND(1206.0,2)</f>
        <v/>
      </c>
      <c r="QD12" s="3">
        <f>ROUND(18.0,2)</f>
        <v/>
      </c>
      <c r="QE12" s="3">
        <f>ROUND(0.0,2)</f>
        <v/>
      </c>
      <c r="QF12" s="3">
        <f>ROUND(0.0,2)</f>
        <v/>
      </c>
      <c r="QG12" s="3">
        <f>ROUND(0.0,2)</f>
        <v/>
      </c>
      <c r="QH12" s="3">
        <f>ROUND(0.0,2)</f>
        <v/>
      </c>
      <c r="QI12" s="3">
        <f>ROUND(0.0,2)</f>
        <v/>
      </c>
      <c r="QJ12" s="4">
        <f>IFERROR((QD12/QC12),0)</f>
        <v/>
      </c>
      <c r="QK12" s="4">
        <f>IFERROR(((0+QB11+QB12)/T2),0)</f>
        <v/>
      </c>
      <c r="QL12" s="5">
        <f>IFERROR(ROUND(QB12/QD12,2),0)</f>
        <v/>
      </c>
      <c r="QM12" s="5">
        <f>IFERROR(ROUND(QB12/QE12,2),0)</f>
        <v/>
      </c>
      <c r="QN12" s="2" t="inlineStr">
        <is>
          <t>2023-09-21</t>
        </is>
      </c>
      <c r="QO12" s="5">
        <f>ROUND(1.29,2)</f>
        <v/>
      </c>
      <c r="QP12" s="3">
        <f>ROUND(4818.0,2)</f>
        <v/>
      </c>
      <c r="QQ12" s="3">
        <f>ROUND(49.0,2)</f>
        <v/>
      </c>
      <c r="QR12" s="3">
        <f>ROUND(0.0,2)</f>
        <v/>
      </c>
      <c r="QS12" s="3">
        <f>ROUND(0.0,2)</f>
        <v/>
      </c>
      <c r="QT12" s="3">
        <f>ROUND(0.0,2)</f>
        <v/>
      </c>
      <c r="QU12" s="3">
        <f>ROUND(0.0,2)</f>
        <v/>
      </c>
      <c r="QV12" s="3">
        <f>ROUND(0.0,2)</f>
        <v/>
      </c>
      <c r="QW12" s="4">
        <f>IFERROR((QQ12/QP12),0)</f>
        <v/>
      </c>
      <c r="QX12" s="4">
        <f>IFERROR(((0+QO11+QO12)/T2),0)</f>
        <v/>
      </c>
      <c r="QY12" s="5">
        <f>IFERROR(ROUND(QO12/QQ12,2),0)</f>
        <v/>
      </c>
      <c r="QZ12" s="5">
        <f>IFERROR(ROUND(QO12/QR12,2),0)</f>
        <v/>
      </c>
      <c r="RA12" s="2" t="inlineStr">
        <is>
          <t>2023-09-21</t>
        </is>
      </c>
      <c r="RB12" s="5">
        <f>ROUND(0.58,2)</f>
        <v/>
      </c>
      <c r="RC12" s="3">
        <f>ROUND(1259.0,2)</f>
        <v/>
      </c>
      <c r="RD12" s="3">
        <f>ROUND(21.0,2)</f>
        <v/>
      </c>
      <c r="RE12" s="3">
        <f>ROUND(0.0,2)</f>
        <v/>
      </c>
      <c r="RF12" s="3">
        <f>ROUND(0.0,2)</f>
        <v/>
      </c>
      <c r="RG12" s="3">
        <f>ROUND(0.0,2)</f>
        <v/>
      </c>
      <c r="RH12" s="3">
        <f>ROUND(0.0,2)</f>
        <v/>
      </c>
      <c r="RI12" s="3">
        <f>ROUND(0.0,2)</f>
        <v/>
      </c>
      <c r="RJ12" s="4">
        <f>IFERROR((RD12/RC12),0)</f>
        <v/>
      </c>
      <c r="RK12" s="4">
        <f>IFERROR(((0+RB11+RB12)/T2),0)</f>
        <v/>
      </c>
      <c r="RL12" s="5">
        <f>IFERROR(ROUND(RB12/RD12,2),0)</f>
        <v/>
      </c>
      <c r="RM12" s="5">
        <f>IFERROR(ROUND(RB12/RE12,2),0)</f>
        <v/>
      </c>
      <c r="RN12" s="2" t="inlineStr">
        <is>
          <t>2023-09-21</t>
        </is>
      </c>
      <c r="RO12" s="5">
        <f>ROUND(0.46,2)</f>
        <v/>
      </c>
      <c r="RP12" s="3">
        <f>ROUND(1005.0,2)</f>
        <v/>
      </c>
      <c r="RQ12" s="3">
        <f>ROUND(19.0,2)</f>
        <v/>
      </c>
      <c r="RR12" s="3">
        <f>ROUND(0.0,2)</f>
        <v/>
      </c>
      <c r="RS12" s="3">
        <f>ROUND(0.0,2)</f>
        <v/>
      </c>
      <c r="RT12" s="3">
        <f>ROUND(0.0,2)</f>
        <v/>
      </c>
      <c r="RU12" s="3">
        <f>ROUND(0.0,2)</f>
        <v/>
      </c>
      <c r="RV12" s="3">
        <f>ROUND(0.0,2)</f>
        <v/>
      </c>
      <c r="RW12" s="4">
        <f>IFERROR((RQ12/RP12),0)</f>
        <v/>
      </c>
      <c r="RX12" s="4">
        <f>IFERROR(((0+RO11+RO12)/T2),0)</f>
        <v/>
      </c>
      <c r="RY12" s="5">
        <f>IFERROR(ROUND(RO12/RQ12,2),0)</f>
        <v/>
      </c>
      <c r="RZ12" s="5">
        <f>IFERROR(ROUND(RO12/RR12,2),0)</f>
        <v/>
      </c>
      <c r="SA12" s="2" t="inlineStr">
        <is>
          <t>2023-09-21</t>
        </is>
      </c>
      <c r="SB12" s="5">
        <f>ROUND(1.19,2)</f>
        <v/>
      </c>
      <c r="SC12" s="3">
        <f>ROUND(1283.0,2)</f>
        <v/>
      </c>
      <c r="SD12" s="3">
        <f>ROUND(40.0,2)</f>
        <v/>
      </c>
      <c r="SE12" s="3">
        <f>ROUND(0.0,2)</f>
        <v/>
      </c>
      <c r="SF12" s="3">
        <f>ROUND(0.0,2)</f>
        <v/>
      </c>
      <c r="SG12" s="3">
        <f>ROUND(0.0,2)</f>
        <v/>
      </c>
      <c r="SH12" s="3">
        <f>ROUND(0.0,2)</f>
        <v/>
      </c>
      <c r="SI12" s="3">
        <f>ROUND(0.0,2)</f>
        <v/>
      </c>
      <c r="SJ12" s="4">
        <f>IFERROR((SD12/SC12),0)</f>
        <v/>
      </c>
      <c r="SK12" s="4">
        <f>IFERROR(((0+SB11+SB12)/T2),0)</f>
        <v/>
      </c>
      <c r="SL12" s="5">
        <f>IFERROR(ROUND(SB12/SD12,2),0)</f>
        <v/>
      </c>
      <c r="SM12" s="5">
        <f>IFERROR(ROUND(SB12/SE12,2),0)</f>
        <v/>
      </c>
      <c r="SN12" s="2" t="inlineStr">
        <is>
          <t>2023-09-21</t>
        </is>
      </c>
      <c r="SO12" s="5">
        <f>ROUND(0.5900000000000001,2)</f>
        <v/>
      </c>
      <c r="SP12" s="3">
        <f>ROUND(1277.0,2)</f>
        <v/>
      </c>
      <c r="SQ12" s="3">
        <f>ROUND(21.0,2)</f>
        <v/>
      </c>
      <c r="SR12" s="3">
        <f>ROUND(0.0,2)</f>
        <v/>
      </c>
      <c r="SS12" s="3">
        <f>ROUND(0.0,2)</f>
        <v/>
      </c>
      <c r="ST12" s="3">
        <f>ROUND(0.0,2)</f>
        <v/>
      </c>
      <c r="SU12" s="3">
        <f>ROUND(0.0,2)</f>
        <v/>
      </c>
      <c r="SV12" s="3">
        <f>ROUND(0.0,2)</f>
        <v/>
      </c>
      <c r="SW12" s="4">
        <f>IFERROR((SQ12/SP12),0)</f>
        <v/>
      </c>
      <c r="SX12" s="4">
        <f>IFERROR(((0+SO11+SO12)/T2),0)</f>
        <v/>
      </c>
      <c r="SY12" s="5">
        <f>IFERROR(ROUND(SO12/SQ12,2),0)</f>
        <v/>
      </c>
      <c r="SZ12" s="5">
        <f>IFERROR(ROUND(SO12/SR12,2),0)</f>
        <v/>
      </c>
    </row>
    <row r="13">
      <c r="A13" s="2" t="inlineStr">
        <is>
          <t>2023-09-22</t>
        </is>
      </c>
      <c r="B13" s="5">
        <f>ROUND(40.21,2)</f>
        <v/>
      </c>
      <c r="C13" s="3">
        <f>ROUND(100052.0,2)</f>
        <v/>
      </c>
      <c r="D13" s="3">
        <f>ROUND(2340.0,2)</f>
        <v/>
      </c>
      <c r="E13" s="3">
        <f>ROUND(0.0,2)</f>
        <v/>
      </c>
      <c r="F13" s="3">
        <f>ROUND(0.0,2)</f>
        <v/>
      </c>
      <c r="G13" s="3">
        <f>ROUND(0.0,2)</f>
        <v/>
      </c>
      <c r="H13" s="3">
        <f>ROUND(0.0,2)</f>
        <v/>
      </c>
      <c r="I13" s="3">
        <f>ROUND(0.0,2)</f>
        <v/>
      </c>
      <c r="J13" s="4">
        <f>IFERROR((D13/C13),0)</f>
        <v/>
      </c>
      <c r="K13" s="4">
        <f>IFERROR(((0+B11+B12+B13)/T2),0)</f>
        <v/>
      </c>
      <c r="L13" s="5">
        <f>IFERROR(ROUND(B13/D13,2),0)</f>
        <v/>
      </c>
      <c r="M13" s="5">
        <f>IFERROR(ROUND(B13/E13,2),0)</f>
        <v/>
      </c>
      <c r="N13" s="2" t="inlineStr">
        <is>
          <t>2023-09-22</t>
        </is>
      </c>
      <c r="O13" s="5">
        <f>ROUND(6.539999999999999,2)</f>
        <v/>
      </c>
      <c r="P13" s="3">
        <f>ROUND(6644.0,2)</f>
        <v/>
      </c>
      <c r="Q13" s="3">
        <f>ROUND(332.0,2)</f>
        <v/>
      </c>
      <c r="R13" s="3">
        <f>ROUND(0.0,2)</f>
        <v/>
      </c>
      <c r="S13" s="3">
        <f>ROUND(0.0,2)</f>
        <v/>
      </c>
      <c r="T13" s="3">
        <f>ROUND(0.0,2)</f>
        <v/>
      </c>
      <c r="U13" s="3">
        <f>ROUND(0.0,2)</f>
        <v/>
      </c>
      <c r="V13" s="3">
        <f>ROUND(0.0,2)</f>
        <v/>
      </c>
      <c r="W13" s="4">
        <f>IFERROR((Q13/P13),0)</f>
        <v/>
      </c>
      <c r="X13" s="4">
        <f>IFERROR(((0+O11+O12+O13)/T2),0)</f>
        <v/>
      </c>
      <c r="Y13" s="5">
        <f>IFERROR(ROUND(O13/Q13,2),0)</f>
        <v/>
      </c>
      <c r="Z13" s="5">
        <f>IFERROR(ROUND(O13/R13,2),0)</f>
        <v/>
      </c>
      <c r="AA13" s="2" t="inlineStr">
        <is>
          <t>2023-09-22</t>
        </is>
      </c>
      <c r="AB13" s="5">
        <f>ROUND(0.18,2)</f>
        <v/>
      </c>
      <c r="AC13" s="3">
        <f>ROUND(666.0,2)</f>
        <v/>
      </c>
      <c r="AD13" s="3">
        <f>ROUND(14.0,2)</f>
        <v/>
      </c>
      <c r="AE13" s="3">
        <f>ROUND(0.0,2)</f>
        <v/>
      </c>
      <c r="AF13" s="3">
        <f>ROUND(0.0,2)</f>
        <v/>
      </c>
      <c r="AG13" s="3">
        <f>ROUND(0.0,2)</f>
        <v/>
      </c>
      <c r="AH13" s="3">
        <f>ROUND(0.0,2)</f>
        <v/>
      </c>
      <c r="AI13" s="3">
        <f>ROUND(0.0,2)</f>
        <v/>
      </c>
      <c r="AJ13" s="4">
        <f>IFERROR((AD13/AC13),0)</f>
        <v/>
      </c>
      <c r="AK13" s="4">
        <f>IFERROR(((0+AB11+AB12+AB13)/T2),0)</f>
        <v/>
      </c>
      <c r="AL13" s="5">
        <f>IFERROR(ROUND(AB13/AD13,2),0)</f>
        <v/>
      </c>
      <c r="AM13" s="5">
        <f>IFERROR(ROUND(AB13/AE13,2),0)</f>
        <v/>
      </c>
      <c r="AN13" s="2" t="inlineStr">
        <is>
          <t>2023-09-22</t>
        </is>
      </c>
      <c r="AO13" s="5">
        <f>ROUND(1.1400000000000001,2)</f>
        <v/>
      </c>
      <c r="AP13" s="3">
        <f>ROUND(4666.0,2)</f>
        <v/>
      </c>
      <c r="AQ13" s="3">
        <f>ROUND(87.0,2)</f>
        <v/>
      </c>
      <c r="AR13" s="3">
        <f>ROUND(0.0,2)</f>
        <v/>
      </c>
      <c r="AS13" s="3">
        <f>ROUND(0.0,2)</f>
        <v/>
      </c>
      <c r="AT13" s="3">
        <f>ROUND(0.0,2)</f>
        <v/>
      </c>
      <c r="AU13" s="3">
        <f>ROUND(0.0,2)</f>
        <v/>
      </c>
      <c r="AV13" s="3">
        <f>ROUND(0.0,2)</f>
        <v/>
      </c>
      <c r="AW13" s="4">
        <f>IFERROR((AQ13/AP13),0)</f>
        <v/>
      </c>
      <c r="AX13" s="4">
        <f>IFERROR(((0+AO11+AO12+AO13)/T2),0)</f>
        <v/>
      </c>
      <c r="AY13" s="5">
        <f>IFERROR(ROUND(AO13/AQ13,2),0)</f>
        <v/>
      </c>
      <c r="AZ13" s="5">
        <f>IFERROR(ROUND(AO13/AR13,2),0)</f>
        <v/>
      </c>
      <c r="BA13" s="2" t="inlineStr">
        <is>
          <t>2023-09-22</t>
        </is>
      </c>
      <c r="BB13" s="5">
        <f>ROUND(0.63,2)</f>
        <v/>
      </c>
      <c r="BC13" s="3">
        <f>ROUND(1566.0,2)</f>
        <v/>
      </c>
      <c r="BD13" s="3">
        <f>ROUND(44.0,2)</f>
        <v/>
      </c>
      <c r="BE13" s="3">
        <f>ROUND(0.0,2)</f>
        <v/>
      </c>
      <c r="BF13" s="3">
        <f>ROUND(0.0,2)</f>
        <v/>
      </c>
      <c r="BG13" s="3">
        <f>ROUND(0.0,2)</f>
        <v/>
      </c>
      <c r="BH13" s="3">
        <f>ROUND(0.0,2)</f>
        <v/>
      </c>
      <c r="BI13" s="3">
        <f>ROUND(0.0,2)</f>
        <v/>
      </c>
      <c r="BJ13" s="4">
        <f>IFERROR((BD13/BC13),0)</f>
        <v/>
      </c>
      <c r="BK13" s="4">
        <f>IFERROR(((0+BB11+BB12+BB13)/T2),0)</f>
        <v/>
      </c>
      <c r="BL13" s="5">
        <f>IFERROR(ROUND(BB13/BD13,2),0)</f>
        <v/>
      </c>
      <c r="BM13" s="5">
        <f>IFERROR(ROUND(BB13/BE13,2),0)</f>
        <v/>
      </c>
      <c r="BN13" s="2" t="inlineStr">
        <is>
          <t>2023-09-22</t>
        </is>
      </c>
      <c r="BO13" s="5">
        <f>ROUND(0.33999999999999997,2)</f>
        <v/>
      </c>
      <c r="BP13" s="3">
        <f>ROUND(1353.0,2)</f>
        <v/>
      </c>
      <c r="BQ13" s="3">
        <f>ROUND(22.0,2)</f>
        <v/>
      </c>
      <c r="BR13" s="3">
        <f>ROUND(0.0,2)</f>
        <v/>
      </c>
      <c r="BS13" s="3">
        <f>ROUND(0.0,2)</f>
        <v/>
      </c>
      <c r="BT13" s="3">
        <f>ROUND(0.0,2)</f>
        <v/>
      </c>
      <c r="BU13" s="3">
        <f>ROUND(0.0,2)</f>
        <v/>
      </c>
      <c r="BV13" s="3">
        <f>ROUND(0.0,2)</f>
        <v/>
      </c>
      <c r="BW13" s="4">
        <f>IFERROR((BQ13/BP13),0)</f>
        <v/>
      </c>
      <c r="BX13" s="4">
        <f>IFERROR(((0+BO11+BO12+BO13)/T2),0)</f>
        <v/>
      </c>
      <c r="BY13" s="5">
        <f>IFERROR(ROUND(BO13/BQ13,2),0)</f>
        <v/>
      </c>
      <c r="BZ13" s="5">
        <f>IFERROR(ROUND(BO13/BR13,2),0)</f>
        <v/>
      </c>
      <c r="CA13" s="2" t="inlineStr">
        <is>
          <t>2023-09-22</t>
        </is>
      </c>
      <c r="CB13" s="5">
        <f>ROUND(1.77,2)</f>
        <v/>
      </c>
      <c r="CC13" s="3">
        <f>ROUND(2341.0,2)</f>
        <v/>
      </c>
      <c r="CD13" s="3">
        <f>ROUND(93.0,2)</f>
        <v/>
      </c>
      <c r="CE13" s="3">
        <f>ROUND(0.0,2)</f>
        <v/>
      </c>
      <c r="CF13" s="3">
        <f>ROUND(0.0,2)</f>
        <v/>
      </c>
      <c r="CG13" s="3">
        <f>ROUND(0.0,2)</f>
        <v/>
      </c>
      <c r="CH13" s="3">
        <f>ROUND(0.0,2)</f>
        <v/>
      </c>
      <c r="CI13" s="3">
        <f>ROUND(0.0,2)</f>
        <v/>
      </c>
      <c r="CJ13" s="4">
        <f>IFERROR((CD13/CC13),0)</f>
        <v/>
      </c>
      <c r="CK13" s="4">
        <f>IFERROR(((0+CB11+CB12+CB13)/T2),0)</f>
        <v/>
      </c>
      <c r="CL13" s="5">
        <f>IFERROR(ROUND(CB13/CD13,2),0)</f>
        <v/>
      </c>
      <c r="CM13" s="5">
        <f>IFERROR(ROUND(CB13/CE13,2),0)</f>
        <v/>
      </c>
      <c r="CN13" s="2" t="inlineStr">
        <is>
          <t>2023-09-22</t>
        </is>
      </c>
      <c r="CO13" s="5">
        <f>ROUND(2.14,2)</f>
        <v/>
      </c>
      <c r="CP13" s="3">
        <f>ROUND(8150.0,2)</f>
        <v/>
      </c>
      <c r="CQ13" s="3">
        <f>ROUND(132.0,2)</f>
        <v/>
      </c>
      <c r="CR13" s="3">
        <f>ROUND(0.0,2)</f>
        <v/>
      </c>
      <c r="CS13" s="3">
        <f>ROUND(0.0,2)</f>
        <v/>
      </c>
      <c r="CT13" s="3">
        <f>ROUND(0.0,2)</f>
        <v/>
      </c>
      <c r="CU13" s="3">
        <f>ROUND(0.0,2)</f>
        <v/>
      </c>
      <c r="CV13" s="3">
        <f>ROUND(0.0,2)</f>
        <v/>
      </c>
      <c r="CW13" s="4">
        <f>IFERROR((CQ13/CP13),0)</f>
        <v/>
      </c>
      <c r="CX13" s="4">
        <f>IFERROR(((0+CO11+CO12+CO13)/T2),0)</f>
        <v/>
      </c>
      <c r="CY13" s="5">
        <f>IFERROR(ROUND(CO13/CQ13,2),0)</f>
        <v/>
      </c>
      <c r="CZ13" s="5">
        <f>IFERROR(ROUND(CO13/CR13,2),0)</f>
        <v/>
      </c>
      <c r="DA13" s="2" t="inlineStr">
        <is>
          <t>2023-09-22</t>
        </is>
      </c>
      <c r="DB13" s="5">
        <f>ROUND(0.22,2)</f>
        <v/>
      </c>
      <c r="DC13" s="3">
        <f>ROUND(1142.0,2)</f>
        <v/>
      </c>
      <c r="DD13" s="3">
        <f>ROUND(16.0,2)</f>
        <v/>
      </c>
      <c r="DE13" s="3">
        <f>ROUND(0.0,2)</f>
        <v/>
      </c>
      <c r="DF13" s="3">
        <f>ROUND(0.0,2)</f>
        <v/>
      </c>
      <c r="DG13" s="3">
        <f>ROUND(0.0,2)</f>
        <v/>
      </c>
      <c r="DH13" s="3">
        <f>ROUND(0.0,2)</f>
        <v/>
      </c>
      <c r="DI13" s="3">
        <f>ROUND(0.0,2)</f>
        <v/>
      </c>
      <c r="DJ13" s="4">
        <f>IFERROR((DD13/DC13),0)</f>
        <v/>
      </c>
      <c r="DK13" s="4">
        <f>IFERROR(((0+DB11+DB12+DB13)/T2),0)</f>
        <v/>
      </c>
      <c r="DL13" s="5">
        <f>IFERROR(ROUND(DB13/DD13,2),0)</f>
        <v/>
      </c>
      <c r="DM13" s="5">
        <f>IFERROR(ROUND(DB13/DE13,2),0)</f>
        <v/>
      </c>
      <c r="DN13" s="2" t="inlineStr">
        <is>
          <t>2023-09-22</t>
        </is>
      </c>
      <c r="DO13" s="5">
        <f>ROUND(0.05,2)</f>
        <v/>
      </c>
      <c r="DP13" s="3">
        <f>ROUND(542.0,2)</f>
        <v/>
      </c>
      <c r="DQ13" s="3">
        <f>ROUND(4.0,2)</f>
        <v/>
      </c>
      <c r="DR13" s="3">
        <f>ROUND(0.0,2)</f>
        <v/>
      </c>
      <c r="DS13" s="3">
        <f>ROUND(0.0,2)</f>
        <v/>
      </c>
      <c r="DT13" s="3">
        <f>ROUND(0.0,2)</f>
        <v/>
      </c>
      <c r="DU13" s="3">
        <f>ROUND(0.0,2)</f>
        <v/>
      </c>
      <c r="DV13" s="3">
        <f>ROUND(0.0,2)</f>
        <v/>
      </c>
      <c r="DW13" s="4">
        <f>IFERROR((DQ13/DP13),0)</f>
        <v/>
      </c>
      <c r="DX13" s="4">
        <f>IFERROR(((0+DO11+DO12+DO13)/T2),0)</f>
        <v/>
      </c>
      <c r="DY13" s="5">
        <f>IFERROR(ROUND(DO13/DQ13,2),0)</f>
        <v/>
      </c>
      <c r="DZ13" s="5">
        <f>IFERROR(ROUND(DO13/DR13,2),0)</f>
        <v/>
      </c>
      <c r="EA13" s="2" t="inlineStr">
        <is>
          <t>2023-09-22</t>
        </is>
      </c>
      <c r="EB13" s="5">
        <f>ROUND(2.63,2)</f>
        <v/>
      </c>
      <c r="EC13" s="3">
        <f>ROUND(13974.0,2)</f>
        <v/>
      </c>
      <c r="ED13" s="3">
        <f>ROUND(189.0,2)</f>
        <v/>
      </c>
      <c r="EE13" s="3">
        <f>ROUND(0.0,2)</f>
        <v/>
      </c>
      <c r="EF13" s="3">
        <f>ROUND(0.0,2)</f>
        <v/>
      </c>
      <c r="EG13" s="3">
        <f>ROUND(0.0,2)</f>
        <v/>
      </c>
      <c r="EH13" s="3">
        <f>ROUND(0.0,2)</f>
        <v/>
      </c>
      <c r="EI13" s="3">
        <f>ROUND(0.0,2)</f>
        <v/>
      </c>
      <c r="EJ13" s="4">
        <f>IFERROR((ED13/EC13),0)</f>
        <v/>
      </c>
      <c r="EK13" s="4">
        <f>IFERROR(((0+EB11+EB12+EB13)/T2),0)</f>
        <v/>
      </c>
      <c r="EL13" s="5">
        <f>IFERROR(ROUND(EB13/ED13,2),0)</f>
        <v/>
      </c>
      <c r="EM13" s="5">
        <f>IFERROR(ROUND(EB13/EE13,2),0)</f>
        <v/>
      </c>
      <c r="EN13" s="2" t="inlineStr">
        <is>
          <t>2023-09-22</t>
        </is>
      </c>
      <c r="EO13" s="5">
        <f>ROUND(0.44,2)</f>
        <v/>
      </c>
      <c r="EP13" s="3">
        <f>ROUND(753.0,2)</f>
        <v/>
      </c>
      <c r="EQ13" s="3">
        <f>ROUND(30.0,2)</f>
        <v/>
      </c>
      <c r="ER13" s="3">
        <f>ROUND(0.0,2)</f>
        <v/>
      </c>
      <c r="ES13" s="3">
        <f>ROUND(0.0,2)</f>
        <v/>
      </c>
      <c r="ET13" s="3">
        <f>ROUND(0.0,2)</f>
        <v/>
      </c>
      <c r="EU13" s="3">
        <f>ROUND(0.0,2)</f>
        <v/>
      </c>
      <c r="EV13" s="3">
        <f>ROUND(0.0,2)</f>
        <v/>
      </c>
      <c r="EW13" s="4">
        <f>IFERROR((EQ13/EP13),0)</f>
        <v/>
      </c>
      <c r="EX13" s="4">
        <f>IFERROR(((0+EO11+EO12+EO13)/T2),0)</f>
        <v/>
      </c>
      <c r="EY13" s="5">
        <f>IFERROR(ROUND(EO13/EQ13,2),0)</f>
        <v/>
      </c>
      <c r="EZ13" s="5">
        <f>IFERROR(ROUND(EO13/ER13,2),0)</f>
        <v/>
      </c>
      <c r="FA13" s="2" t="inlineStr">
        <is>
          <t>2023-09-22</t>
        </is>
      </c>
      <c r="FB13" s="5">
        <f>ROUND(2.21,2)</f>
        <v/>
      </c>
      <c r="FC13" s="3">
        <f>ROUND(5012.0,2)</f>
        <v/>
      </c>
      <c r="FD13" s="3">
        <f>ROUND(117.0,2)</f>
        <v/>
      </c>
      <c r="FE13" s="3">
        <f>ROUND(0.0,2)</f>
        <v/>
      </c>
      <c r="FF13" s="3">
        <f>ROUND(0.0,2)</f>
        <v/>
      </c>
      <c r="FG13" s="3">
        <f>ROUND(0.0,2)</f>
        <v/>
      </c>
      <c r="FH13" s="3">
        <f>ROUND(0.0,2)</f>
        <v/>
      </c>
      <c r="FI13" s="3">
        <f>ROUND(0.0,2)</f>
        <v/>
      </c>
      <c r="FJ13" s="4">
        <f>IFERROR((FD13/FC13),0)</f>
        <v/>
      </c>
      <c r="FK13" s="4">
        <f>IFERROR(((0+FB11+FB12+FB13)/T2),0)</f>
        <v/>
      </c>
      <c r="FL13" s="5">
        <f>IFERROR(ROUND(FB13/FD13,2),0)</f>
        <v/>
      </c>
      <c r="FM13" s="5">
        <f>IFERROR(ROUND(FB13/FE13,2),0)</f>
        <v/>
      </c>
      <c r="FN13" s="2" t="inlineStr">
        <is>
          <t>2023-09-22</t>
        </is>
      </c>
      <c r="FO13" s="5">
        <f>ROUND(3.17,2)</f>
        <v/>
      </c>
      <c r="FP13" s="3">
        <f>ROUND(8357.0,2)</f>
        <v/>
      </c>
      <c r="FQ13" s="3">
        <f>ROUND(218.0,2)</f>
        <v/>
      </c>
      <c r="FR13" s="3">
        <f>ROUND(0.0,2)</f>
        <v/>
      </c>
      <c r="FS13" s="3">
        <f>ROUND(0.0,2)</f>
        <v/>
      </c>
      <c r="FT13" s="3">
        <f>ROUND(0.0,2)</f>
        <v/>
      </c>
      <c r="FU13" s="3">
        <f>ROUND(0.0,2)</f>
        <v/>
      </c>
      <c r="FV13" s="3">
        <f>ROUND(0.0,2)</f>
        <v/>
      </c>
      <c r="FW13" s="4">
        <f>IFERROR((FQ13/FP13),0)</f>
        <v/>
      </c>
      <c r="FX13" s="4">
        <f>IFERROR(((0+FO11+FO12+FO13)/T2),0)</f>
        <v/>
      </c>
      <c r="FY13" s="5">
        <f>IFERROR(ROUND(FO13/FQ13,2),0)</f>
        <v/>
      </c>
      <c r="FZ13" s="5">
        <f>IFERROR(ROUND(FO13/FR13,2),0)</f>
        <v/>
      </c>
      <c r="GA13" s="2" t="inlineStr">
        <is>
          <t>2023-09-22</t>
        </is>
      </c>
      <c r="GB13" s="5">
        <f>ROUND(0.39,2)</f>
        <v/>
      </c>
      <c r="GC13" s="3">
        <f>ROUND(859.0,2)</f>
        <v/>
      </c>
      <c r="GD13" s="3">
        <f>ROUND(33.0,2)</f>
        <v/>
      </c>
      <c r="GE13" s="3">
        <f>ROUND(0.0,2)</f>
        <v/>
      </c>
      <c r="GF13" s="3">
        <f>ROUND(0.0,2)</f>
        <v/>
      </c>
      <c r="GG13" s="3">
        <f>ROUND(0.0,2)</f>
        <v/>
      </c>
      <c r="GH13" s="3">
        <f>ROUND(0.0,2)</f>
        <v/>
      </c>
      <c r="GI13" s="3">
        <f>ROUND(0.0,2)</f>
        <v/>
      </c>
      <c r="GJ13" s="4">
        <f>IFERROR((GD13/GC13),0)</f>
        <v/>
      </c>
      <c r="GK13" s="4">
        <f>IFERROR(((0+GB11+GB12+GB13)/T2),0)</f>
        <v/>
      </c>
      <c r="GL13" s="5">
        <f>IFERROR(ROUND(GB13/GD13,2),0)</f>
        <v/>
      </c>
      <c r="GM13" s="5">
        <f>IFERROR(ROUND(GB13/GE13,2),0)</f>
        <v/>
      </c>
      <c r="GN13" s="2" t="inlineStr">
        <is>
          <t>2023-09-22</t>
        </is>
      </c>
      <c r="GO13" s="5">
        <f>ROUND(2.31,2)</f>
        <v/>
      </c>
      <c r="GP13" s="3">
        <f>ROUND(10819.0,2)</f>
        <v/>
      </c>
      <c r="GQ13" s="3">
        <f>ROUND(163.0,2)</f>
        <v/>
      </c>
      <c r="GR13" s="3">
        <f>ROUND(0.0,2)</f>
        <v/>
      </c>
      <c r="GS13" s="3">
        <f>ROUND(0.0,2)</f>
        <v/>
      </c>
      <c r="GT13" s="3">
        <f>ROUND(0.0,2)</f>
        <v/>
      </c>
      <c r="GU13" s="3">
        <f>ROUND(0.0,2)</f>
        <v/>
      </c>
      <c r="GV13" s="3">
        <f>ROUND(0.0,2)</f>
        <v/>
      </c>
      <c r="GW13" s="4">
        <f>IFERROR((GQ13/GP13),0)</f>
        <v/>
      </c>
      <c r="GX13" s="4">
        <f>IFERROR(((0+GO11+GO12+GO13)/T2),0)</f>
        <v/>
      </c>
      <c r="GY13" s="5">
        <f>IFERROR(ROUND(GO13/GQ13,2),0)</f>
        <v/>
      </c>
      <c r="GZ13" s="5">
        <f>IFERROR(ROUND(GO13/GR13,2),0)</f>
        <v/>
      </c>
      <c r="HA13" s="2" t="inlineStr">
        <is>
          <t>2023-09-22</t>
        </is>
      </c>
      <c r="HB13" s="5">
        <f>ROUND(2.1199999999999997,2)</f>
        <v/>
      </c>
      <c r="HC13" s="3">
        <f>ROUND(2986.0,2)</f>
        <v/>
      </c>
      <c r="HD13" s="3">
        <f>ROUND(149.0,2)</f>
        <v/>
      </c>
      <c r="HE13" s="3">
        <f>ROUND(0.0,2)</f>
        <v/>
      </c>
      <c r="HF13" s="3">
        <f>ROUND(0.0,2)</f>
        <v/>
      </c>
      <c r="HG13" s="3">
        <f>ROUND(0.0,2)</f>
        <v/>
      </c>
      <c r="HH13" s="3">
        <f>ROUND(0.0,2)</f>
        <v/>
      </c>
      <c r="HI13" s="3">
        <f>ROUND(0.0,2)</f>
        <v/>
      </c>
      <c r="HJ13" s="4">
        <f>IFERROR((HD13/HC13),0)</f>
        <v/>
      </c>
      <c r="HK13" s="4">
        <f>IFERROR(((0+HB11+HB12+HB13)/T2),0)</f>
        <v/>
      </c>
      <c r="HL13" s="5">
        <f>IFERROR(ROUND(HB13/HD13,2),0)</f>
        <v/>
      </c>
      <c r="HM13" s="5">
        <f>IFERROR(ROUND(HB13/HE13,2),0)</f>
        <v/>
      </c>
      <c r="HN13" s="2" t="inlineStr">
        <is>
          <t>2023-09-22</t>
        </is>
      </c>
      <c r="HO13" s="5">
        <f>ROUND(0.21,2)</f>
        <v/>
      </c>
      <c r="HP13" s="3">
        <f>ROUND(550.0,2)</f>
        <v/>
      </c>
      <c r="HQ13" s="3">
        <f>ROUND(13.0,2)</f>
        <v/>
      </c>
      <c r="HR13" s="3">
        <f>ROUND(0.0,2)</f>
        <v/>
      </c>
      <c r="HS13" s="3">
        <f>ROUND(0.0,2)</f>
        <v/>
      </c>
      <c r="HT13" s="3">
        <f>ROUND(0.0,2)</f>
        <v/>
      </c>
      <c r="HU13" s="3">
        <f>ROUND(0.0,2)</f>
        <v/>
      </c>
      <c r="HV13" s="3">
        <f>ROUND(0.0,2)</f>
        <v/>
      </c>
      <c r="HW13" s="4">
        <f>IFERROR((HQ13/HP13),0)</f>
        <v/>
      </c>
      <c r="HX13" s="4">
        <f>IFERROR(((0+HO11+HO12+HO13)/T2),0)</f>
        <v/>
      </c>
      <c r="HY13" s="5">
        <f>IFERROR(ROUND(HO13/HQ13,2),0)</f>
        <v/>
      </c>
      <c r="HZ13" s="5">
        <f>IFERROR(ROUND(HO13/HR13,2),0)</f>
        <v/>
      </c>
      <c r="IA13" s="2" t="inlineStr">
        <is>
          <t>2023-09-22</t>
        </is>
      </c>
      <c r="IB13" s="5">
        <f>ROUND(2.95,2)</f>
        <v/>
      </c>
      <c r="IC13" s="3">
        <f>ROUND(3982.0,2)</f>
        <v/>
      </c>
      <c r="ID13" s="3">
        <f>ROUND(154.0,2)</f>
        <v/>
      </c>
      <c r="IE13" s="3">
        <f>ROUND(0.0,2)</f>
        <v/>
      </c>
      <c r="IF13" s="3">
        <f>ROUND(0.0,2)</f>
        <v/>
      </c>
      <c r="IG13" s="3">
        <f>ROUND(0.0,2)</f>
        <v/>
      </c>
      <c r="IH13" s="3">
        <f>ROUND(0.0,2)</f>
        <v/>
      </c>
      <c r="II13" s="3">
        <f>ROUND(0.0,2)</f>
        <v/>
      </c>
      <c r="IJ13" s="4">
        <f>IFERROR((ID13/IC13),0)</f>
        <v/>
      </c>
      <c r="IK13" s="4">
        <f>IFERROR(((0+IB11+IB12+IB13)/T2),0)</f>
        <v/>
      </c>
      <c r="IL13" s="5">
        <f>IFERROR(ROUND(IB13/ID13,2),0)</f>
        <v/>
      </c>
      <c r="IM13" s="5">
        <f>IFERROR(ROUND(IB13/IE13,2),0)</f>
        <v/>
      </c>
      <c r="IN13" s="2" t="inlineStr">
        <is>
          <t>2023-09-22</t>
        </is>
      </c>
      <c r="IO13" s="5">
        <f>ROUND(0.14,2)</f>
        <v/>
      </c>
      <c r="IP13" s="3">
        <f>ROUND(776.0,2)</f>
        <v/>
      </c>
      <c r="IQ13" s="3">
        <f>ROUND(12.0,2)</f>
        <v/>
      </c>
      <c r="IR13" s="3">
        <f>ROUND(0.0,2)</f>
        <v/>
      </c>
      <c r="IS13" s="3">
        <f>ROUND(0.0,2)</f>
        <v/>
      </c>
      <c r="IT13" s="3">
        <f>ROUND(0.0,2)</f>
        <v/>
      </c>
      <c r="IU13" s="3">
        <f>ROUND(0.0,2)</f>
        <v/>
      </c>
      <c r="IV13" s="3">
        <f>ROUND(0.0,2)</f>
        <v/>
      </c>
      <c r="IW13" s="4">
        <f>IFERROR((IQ13/IP13),0)</f>
        <v/>
      </c>
      <c r="IX13" s="4">
        <f>IFERROR(((0+IO11+IO12+IO13)/T2),0)</f>
        <v/>
      </c>
      <c r="IY13" s="5">
        <f>IFERROR(ROUND(IO13/IQ13,2),0)</f>
        <v/>
      </c>
      <c r="IZ13" s="5">
        <f>IFERROR(ROUND(IO13/IR13,2),0)</f>
        <v/>
      </c>
      <c r="JA13" s="2" t="inlineStr">
        <is>
          <t>2023-09-22</t>
        </is>
      </c>
      <c r="JB13" s="5">
        <f>ROUND(0.45,2)</f>
        <v/>
      </c>
      <c r="JC13" s="3">
        <f>ROUND(1099.0,2)</f>
        <v/>
      </c>
      <c r="JD13" s="3">
        <f>ROUND(20.0,2)</f>
        <v/>
      </c>
      <c r="JE13" s="3">
        <f>ROUND(0.0,2)</f>
        <v/>
      </c>
      <c r="JF13" s="3">
        <f>ROUND(0.0,2)</f>
        <v/>
      </c>
      <c r="JG13" s="3">
        <f>ROUND(0.0,2)</f>
        <v/>
      </c>
      <c r="JH13" s="3">
        <f>ROUND(0.0,2)</f>
        <v/>
      </c>
      <c r="JI13" s="3">
        <f>ROUND(0.0,2)</f>
        <v/>
      </c>
      <c r="JJ13" s="4">
        <f>IFERROR((JD13/JC13),0)</f>
        <v/>
      </c>
      <c r="JK13" s="4">
        <f>IFERROR(((0+JB11+JB12+JB13)/T2),0)</f>
        <v/>
      </c>
      <c r="JL13" s="5">
        <f>IFERROR(ROUND(JB13/JD13,2),0)</f>
        <v/>
      </c>
      <c r="JM13" s="5">
        <f>IFERROR(ROUND(JB13/JE13,2),0)</f>
        <v/>
      </c>
      <c r="JN13" s="2" t="inlineStr">
        <is>
          <t>2023-09-22</t>
        </is>
      </c>
      <c r="JO13" s="5">
        <f>ROUND(0.18,2)</f>
        <v/>
      </c>
      <c r="JP13" s="3">
        <f>ROUND(654.0,2)</f>
        <v/>
      </c>
      <c r="JQ13" s="3">
        <f>ROUND(12.0,2)</f>
        <v/>
      </c>
      <c r="JR13" s="3">
        <f>ROUND(0.0,2)</f>
        <v/>
      </c>
      <c r="JS13" s="3">
        <f>ROUND(0.0,2)</f>
        <v/>
      </c>
      <c r="JT13" s="3">
        <f>ROUND(0.0,2)</f>
        <v/>
      </c>
      <c r="JU13" s="3">
        <f>ROUND(0.0,2)</f>
        <v/>
      </c>
      <c r="JV13" s="3">
        <f>ROUND(0.0,2)</f>
        <v/>
      </c>
      <c r="JW13" s="4">
        <f>IFERROR((JQ13/JP13),0)</f>
        <v/>
      </c>
      <c r="JX13" s="4">
        <f>IFERROR(((0+JO11+JO12+JO13)/T2),0)</f>
        <v/>
      </c>
      <c r="JY13" s="5">
        <f>IFERROR(ROUND(JO13/JQ13,2),0)</f>
        <v/>
      </c>
      <c r="JZ13" s="5">
        <f>IFERROR(ROUND(JO13/JR13,2),0)</f>
        <v/>
      </c>
      <c r="KA13" s="2" t="inlineStr">
        <is>
          <t>2023-09-22</t>
        </is>
      </c>
      <c r="KB13" s="5">
        <f>ROUND(0.25,2)</f>
        <v/>
      </c>
      <c r="KC13" s="3">
        <f>ROUND(251.0,2)</f>
        <v/>
      </c>
      <c r="KD13" s="3">
        <f>ROUND(6.0,2)</f>
        <v/>
      </c>
      <c r="KE13" s="3">
        <f>ROUND(0.0,2)</f>
        <v/>
      </c>
      <c r="KF13" s="3">
        <f>ROUND(0.0,2)</f>
        <v/>
      </c>
      <c r="KG13" s="3">
        <f>ROUND(0.0,2)</f>
        <v/>
      </c>
      <c r="KH13" s="3">
        <f>ROUND(0.0,2)</f>
        <v/>
      </c>
      <c r="KI13" s="3">
        <f>ROUND(0.0,2)</f>
        <v/>
      </c>
      <c r="KJ13" s="4">
        <f>IFERROR((KD13/KC13),0)</f>
        <v/>
      </c>
      <c r="KK13" s="4">
        <f>IFERROR(((0+KB11+KB12+KB13)/T2),0)</f>
        <v/>
      </c>
      <c r="KL13" s="5">
        <f>IFERROR(ROUND(KB13/KD13,2),0)</f>
        <v/>
      </c>
      <c r="KM13" s="5">
        <f>IFERROR(ROUND(KB13/KE13,2),0)</f>
        <v/>
      </c>
      <c r="KN13" s="2" t="inlineStr">
        <is>
          <t>2023-09-22</t>
        </is>
      </c>
      <c r="KO13" s="5">
        <f>ROUND(0.76,2)</f>
        <v/>
      </c>
      <c r="KP13" s="3">
        <f>ROUND(3685.0,2)</f>
        <v/>
      </c>
      <c r="KQ13" s="3">
        <f>ROUND(44.0,2)</f>
        <v/>
      </c>
      <c r="KR13" s="3">
        <f>ROUND(0.0,2)</f>
        <v/>
      </c>
      <c r="KS13" s="3">
        <f>ROUND(0.0,2)</f>
        <v/>
      </c>
      <c r="KT13" s="3">
        <f>ROUND(0.0,2)</f>
        <v/>
      </c>
      <c r="KU13" s="3">
        <f>ROUND(0.0,2)</f>
        <v/>
      </c>
      <c r="KV13" s="3">
        <f>ROUND(0.0,2)</f>
        <v/>
      </c>
      <c r="KW13" s="4">
        <f>IFERROR((KQ13/KP13),0)</f>
        <v/>
      </c>
      <c r="KX13" s="4">
        <f>IFERROR(((0+KO11+KO12+KO13)/T2),0)</f>
        <v/>
      </c>
      <c r="KY13" s="5">
        <f>IFERROR(ROUND(KO13/KQ13,2),0)</f>
        <v/>
      </c>
      <c r="KZ13" s="5">
        <f>IFERROR(ROUND(KO13/KR13,2),0)</f>
        <v/>
      </c>
      <c r="LA13" s="2" t="inlineStr">
        <is>
          <t>2023-09-22</t>
        </is>
      </c>
      <c r="LB13" s="5">
        <f>ROUND(0.82,2)</f>
        <v/>
      </c>
      <c r="LC13" s="3">
        <f>ROUND(3425.0,2)</f>
        <v/>
      </c>
      <c r="LD13" s="3">
        <f>ROUND(37.0,2)</f>
        <v/>
      </c>
      <c r="LE13" s="3">
        <f>ROUND(0.0,2)</f>
        <v/>
      </c>
      <c r="LF13" s="3">
        <f>ROUND(0.0,2)</f>
        <v/>
      </c>
      <c r="LG13" s="3">
        <f>ROUND(0.0,2)</f>
        <v/>
      </c>
      <c r="LH13" s="3">
        <f>ROUND(0.0,2)</f>
        <v/>
      </c>
      <c r="LI13" s="3">
        <f>ROUND(0.0,2)</f>
        <v/>
      </c>
      <c r="LJ13" s="4">
        <f>IFERROR((LD13/LC13),0)</f>
        <v/>
      </c>
      <c r="LK13" s="4">
        <f>IFERROR(((0+LB11+LB12+LB13)/T2),0)</f>
        <v/>
      </c>
      <c r="LL13" s="5">
        <f>IFERROR(ROUND(LB13/LD13,2),0)</f>
        <v/>
      </c>
      <c r="LM13" s="5">
        <f>IFERROR(ROUND(LB13/LE13,2),0)</f>
        <v/>
      </c>
      <c r="LN13" s="2" t="inlineStr">
        <is>
          <t>2023-09-22</t>
        </is>
      </c>
      <c r="LO13" s="5">
        <f>ROUND(0.33999999999999997,2)</f>
        <v/>
      </c>
      <c r="LP13" s="3">
        <f>ROUND(2264.0,2)</f>
        <v/>
      </c>
      <c r="LQ13" s="3">
        <f>ROUND(13.0,2)</f>
        <v/>
      </c>
      <c r="LR13" s="3">
        <f>ROUND(0.0,2)</f>
        <v/>
      </c>
      <c r="LS13" s="3">
        <f>ROUND(0.0,2)</f>
        <v/>
      </c>
      <c r="LT13" s="3">
        <f>ROUND(0.0,2)</f>
        <v/>
      </c>
      <c r="LU13" s="3">
        <f>ROUND(0.0,2)</f>
        <v/>
      </c>
      <c r="LV13" s="3">
        <f>ROUND(0.0,2)</f>
        <v/>
      </c>
      <c r="LW13" s="4">
        <f>IFERROR((LQ13/LP13),0)</f>
        <v/>
      </c>
      <c r="LX13" s="4">
        <f>IFERROR(((0+LO11+LO12+LO13)/T2),0)</f>
        <v/>
      </c>
      <c r="LY13" s="5">
        <f>IFERROR(ROUND(LO13/LQ13,2),0)</f>
        <v/>
      </c>
      <c r="LZ13" s="5">
        <f>IFERROR(ROUND(LO13/LR13,2),0)</f>
        <v/>
      </c>
      <c r="MA13" s="2" t="inlineStr">
        <is>
          <t>2023-09-22</t>
        </is>
      </c>
      <c r="MB13" s="5">
        <f>ROUND(0.26,2)</f>
        <v/>
      </c>
      <c r="MC13" s="3">
        <f>ROUND(873.0,2)</f>
        <v/>
      </c>
      <c r="MD13" s="3">
        <f>ROUND(18.0,2)</f>
        <v/>
      </c>
      <c r="ME13" s="3">
        <f>ROUND(0.0,2)</f>
        <v/>
      </c>
      <c r="MF13" s="3">
        <f>ROUND(0.0,2)</f>
        <v/>
      </c>
      <c r="MG13" s="3">
        <f>ROUND(0.0,2)</f>
        <v/>
      </c>
      <c r="MH13" s="3">
        <f>ROUND(0.0,2)</f>
        <v/>
      </c>
      <c r="MI13" s="3">
        <f>ROUND(0.0,2)</f>
        <v/>
      </c>
      <c r="MJ13" s="4">
        <f>IFERROR((MD13/MC13),0)</f>
        <v/>
      </c>
      <c r="MK13" s="4">
        <f>IFERROR(((0+MB11+MB12+MB13)/T2),0)</f>
        <v/>
      </c>
      <c r="ML13" s="5">
        <f>IFERROR(ROUND(MB13/MD13,2),0)</f>
        <v/>
      </c>
      <c r="MM13" s="5">
        <f>IFERROR(ROUND(MB13/ME13,2),0)</f>
        <v/>
      </c>
      <c r="MN13" s="2" t="inlineStr">
        <is>
          <t>2023-09-22</t>
        </is>
      </c>
      <c r="MO13" s="5">
        <f>ROUND(2.63,2)</f>
        <v/>
      </c>
      <c r="MP13" s="3">
        <f>ROUND(2342.0,2)</f>
        <v/>
      </c>
      <c r="MQ13" s="3">
        <f>ROUND(116.0,2)</f>
        <v/>
      </c>
      <c r="MR13" s="3">
        <f>ROUND(0.0,2)</f>
        <v/>
      </c>
      <c r="MS13" s="3">
        <f>ROUND(0.0,2)</f>
        <v/>
      </c>
      <c r="MT13" s="3">
        <f>ROUND(0.0,2)</f>
        <v/>
      </c>
      <c r="MU13" s="3">
        <f>ROUND(0.0,2)</f>
        <v/>
      </c>
      <c r="MV13" s="3">
        <f>ROUND(0.0,2)</f>
        <v/>
      </c>
      <c r="MW13" s="4">
        <f>IFERROR((MQ13/MP13),0)</f>
        <v/>
      </c>
      <c r="MX13" s="4">
        <f>IFERROR(((0+MO11+MO12+MO13)/T2),0)</f>
        <v/>
      </c>
      <c r="MY13" s="5">
        <f>IFERROR(ROUND(MO13/MQ13,2),0)</f>
        <v/>
      </c>
      <c r="MZ13" s="5">
        <f>IFERROR(ROUND(MO13/MR13,2),0)</f>
        <v/>
      </c>
      <c r="NA13" s="2" t="inlineStr">
        <is>
          <t>2023-09-22</t>
        </is>
      </c>
      <c r="NB13" s="5">
        <f>ROUND(0.86,2)</f>
        <v/>
      </c>
      <c r="NC13" s="3">
        <f>ROUND(1847.0,2)</f>
        <v/>
      </c>
      <c r="ND13" s="3">
        <f>ROUND(32.0,2)</f>
        <v/>
      </c>
      <c r="NE13" s="3">
        <f>ROUND(0.0,2)</f>
        <v/>
      </c>
      <c r="NF13" s="3">
        <f>ROUND(0.0,2)</f>
        <v/>
      </c>
      <c r="NG13" s="3">
        <f>ROUND(0.0,2)</f>
        <v/>
      </c>
      <c r="NH13" s="3">
        <f>ROUND(0.0,2)</f>
        <v/>
      </c>
      <c r="NI13" s="3">
        <f>ROUND(0.0,2)</f>
        <v/>
      </c>
      <c r="NJ13" s="4">
        <f>IFERROR((ND13/NC13),0)</f>
        <v/>
      </c>
      <c r="NK13" s="4">
        <f>IFERROR(((0+NB11+NB12+NB13)/T2),0)</f>
        <v/>
      </c>
      <c r="NL13" s="5">
        <f>IFERROR(ROUND(NB13/ND13,2),0)</f>
        <v/>
      </c>
      <c r="NM13" s="5">
        <f>IFERROR(ROUND(NB13/NE13,2),0)</f>
        <v/>
      </c>
      <c r="NN13" s="2" t="inlineStr">
        <is>
          <t>2023-09-22</t>
        </is>
      </c>
      <c r="NO13" s="5">
        <f>ROUND(0.51,2)</f>
        <v/>
      </c>
      <c r="NP13" s="3">
        <f>ROUND(678.0,2)</f>
        <v/>
      </c>
      <c r="NQ13" s="3">
        <f>ROUND(25.0,2)</f>
        <v/>
      </c>
      <c r="NR13" s="3">
        <f>ROUND(0.0,2)</f>
        <v/>
      </c>
      <c r="NS13" s="3">
        <f>ROUND(0.0,2)</f>
        <v/>
      </c>
      <c r="NT13" s="3">
        <f>ROUND(0.0,2)</f>
        <v/>
      </c>
      <c r="NU13" s="3">
        <f>ROUND(0.0,2)</f>
        <v/>
      </c>
      <c r="NV13" s="3">
        <f>ROUND(0.0,2)</f>
        <v/>
      </c>
      <c r="NW13" s="4">
        <f>IFERROR((NQ13/NP13),0)</f>
        <v/>
      </c>
      <c r="NX13" s="4">
        <f>IFERROR(((0+NO11+NO12+NO13)/T2),0)</f>
        <v/>
      </c>
      <c r="NY13" s="5">
        <f>IFERROR(ROUND(NO13/NQ13,2),0)</f>
        <v/>
      </c>
      <c r="NZ13" s="5">
        <f>IFERROR(ROUND(NO13/NR13,2),0)</f>
        <v/>
      </c>
      <c r="OA13" s="2" t="inlineStr">
        <is>
          <t>2023-09-22</t>
        </is>
      </c>
      <c r="OB13" s="5">
        <f>ROUND(0.16999999999999998,2)</f>
        <v/>
      </c>
      <c r="OC13" s="3">
        <f>ROUND(457.0,2)</f>
        <v/>
      </c>
      <c r="OD13" s="3">
        <f>ROUND(13.0,2)</f>
        <v/>
      </c>
      <c r="OE13" s="3">
        <f>ROUND(0.0,2)</f>
        <v/>
      </c>
      <c r="OF13" s="3">
        <f>ROUND(0.0,2)</f>
        <v/>
      </c>
      <c r="OG13" s="3">
        <f>ROUND(0.0,2)</f>
        <v/>
      </c>
      <c r="OH13" s="3">
        <f>ROUND(0.0,2)</f>
        <v/>
      </c>
      <c r="OI13" s="3">
        <f>ROUND(0.0,2)</f>
        <v/>
      </c>
      <c r="OJ13" s="4">
        <f>IFERROR((OD13/OC13),0)</f>
        <v/>
      </c>
      <c r="OK13" s="4">
        <f>IFERROR(((0+OB11+OB12+OB13)/T2),0)</f>
        <v/>
      </c>
      <c r="OL13" s="5">
        <f>IFERROR(ROUND(OB13/OD13,2),0)</f>
        <v/>
      </c>
      <c r="OM13" s="5">
        <f>IFERROR(ROUND(OB13/OE13,2),0)</f>
        <v/>
      </c>
      <c r="ON13" s="2" t="inlineStr">
        <is>
          <t>2023-09-22</t>
        </is>
      </c>
      <c r="OO13" s="5">
        <f>ROUND(0.69,2)</f>
        <v/>
      </c>
      <c r="OP13" s="3">
        <f>ROUND(1078.0,2)</f>
        <v/>
      </c>
      <c r="OQ13" s="3">
        <f>ROUND(36.0,2)</f>
        <v/>
      </c>
      <c r="OR13" s="3">
        <f>ROUND(0.0,2)</f>
        <v/>
      </c>
      <c r="OS13" s="3">
        <f>ROUND(0.0,2)</f>
        <v/>
      </c>
      <c r="OT13" s="3">
        <f>ROUND(0.0,2)</f>
        <v/>
      </c>
      <c r="OU13" s="3">
        <f>ROUND(0.0,2)</f>
        <v/>
      </c>
      <c r="OV13" s="3">
        <f>ROUND(0.0,2)</f>
        <v/>
      </c>
      <c r="OW13" s="4">
        <f>IFERROR((OQ13/OP13),0)</f>
        <v/>
      </c>
      <c r="OX13" s="4">
        <f>IFERROR(((0+OO11+OO12+OO13)/T2),0)</f>
        <v/>
      </c>
      <c r="OY13" s="5">
        <f>IFERROR(ROUND(OO13/OQ13,2),0)</f>
        <v/>
      </c>
      <c r="OZ13" s="5">
        <f>IFERROR(ROUND(OO13/OR13,2),0)</f>
        <v/>
      </c>
      <c r="PA13" s="2" t="inlineStr">
        <is>
          <t>2023-09-22</t>
        </is>
      </c>
      <c r="PB13" s="5">
        <f>ROUND(0.31999999999999995,2)</f>
        <v/>
      </c>
      <c r="PC13" s="3">
        <f>ROUND(668.0,2)</f>
        <v/>
      </c>
      <c r="PD13" s="3">
        <f>ROUND(19.0,2)</f>
        <v/>
      </c>
      <c r="PE13" s="3">
        <f>ROUND(0.0,2)</f>
        <v/>
      </c>
      <c r="PF13" s="3">
        <f>ROUND(0.0,2)</f>
        <v/>
      </c>
      <c r="PG13" s="3">
        <f>ROUND(0.0,2)</f>
        <v/>
      </c>
      <c r="PH13" s="3">
        <f>ROUND(0.0,2)</f>
        <v/>
      </c>
      <c r="PI13" s="3">
        <f>ROUND(0.0,2)</f>
        <v/>
      </c>
      <c r="PJ13" s="4">
        <f>IFERROR((PD13/PC13),0)</f>
        <v/>
      </c>
      <c r="PK13" s="4">
        <f>IFERROR(((0+PB11+PB12+PB13)/T2),0)</f>
        <v/>
      </c>
      <c r="PL13" s="5">
        <f>IFERROR(ROUND(PB13/PD13,2),0)</f>
        <v/>
      </c>
      <c r="PM13" s="5">
        <f>IFERROR(ROUND(PB13/PE13,2),0)</f>
        <v/>
      </c>
      <c r="PN13" s="2" t="inlineStr">
        <is>
          <t>2023-09-22</t>
        </is>
      </c>
      <c r="PO13" s="5">
        <f>ROUND(0.0,2)</f>
        <v/>
      </c>
      <c r="PP13" s="3">
        <f>ROUND(210.0,2)</f>
        <v/>
      </c>
      <c r="PQ13" s="3">
        <f>ROUND(0.0,2)</f>
        <v/>
      </c>
      <c r="PR13" s="3">
        <f>ROUND(0.0,2)</f>
        <v/>
      </c>
      <c r="PS13" s="3">
        <f>ROUND(0.0,2)</f>
        <v/>
      </c>
      <c r="PT13" s="3">
        <f>ROUND(0.0,2)</f>
        <v/>
      </c>
      <c r="PU13" s="3">
        <f>ROUND(0.0,2)</f>
        <v/>
      </c>
      <c r="PV13" s="3">
        <f>ROUND(0.0,2)</f>
        <v/>
      </c>
      <c r="PW13" s="4">
        <f>IFERROR((PQ13/PP13),0)</f>
        <v/>
      </c>
      <c r="PX13" s="4">
        <f>IFERROR(((0+PO11+PO12+PO13)/T2),0)</f>
        <v/>
      </c>
      <c r="PY13" s="5">
        <f>IFERROR(ROUND(PO13/PQ13,2),0)</f>
        <v/>
      </c>
      <c r="PZ13" s="5">
        <f>IFERROR(ROUND(PO13/PR13,2),0)</f>
        <v/>
      </c>
      <c r="QA13" s="2" t="inlineStr">
        <is>
          <t>2023-09-22</t>
        </is>
      </c>
      <c r="QB13" s="5">
        <f>ROUND(0.2,2)</f>
        <v/>
      </c>
      <c r="QC13" s="3">
        <f>ROUND(359.0,2)</f>
        <v/>
      </c>
      <c r="QD13" s="3">
        <f>ROUND(12.0,2)</f>
        <v/>
      </c>
      <c r="QE13" s="3">
        <f>ROUND(0.0,2)</f>
        <v/>
      </c>
      <c r="QF13" s="3">
        <f>ROUND(0.0,2)</f>
        <v/>
      </c>
      <c r="QG13" s="3">
        <f>ROUND(0.0,2)</f>
        <v/>
      </c>
      <c r="QH13" s="3">
        <f>ROUND(0.0,2)</f>
        <v/>
      </c>
      <c r="QI13" s="3">
        <f>ROUND(0.0,2)</f>
        <v/>
      </c>
      <c r="QJ13" s="4">
        <f>IFERROR((QD13/QC13),0)</f>
        <v/>
      </c>
      <c r="QK13" s="4">
        <f>IFERROR(((0+QB11+QB12+QB13)/T2),0)</f>
        <v/>
      </c>
      <c r="QL13" s="5">
        <f>IFERROR(ROUND(QB13/QD13,2),0)</f>
        <v/>
      </c>
      <c r="QM13" s="5">
        <f>IFERROR(ROUND(QB13/QE13,2),0)</f>
        <v/>
      </c>
      <c r="QN13" s="2" t="inlineStr">
        <is>
          <t>2023-09-22</t>
        </is>
      </c>
      <c r="QO13" s="5">
        <f>ROUND(0.24000000000000002,2)</f>
        <v/>
      </c>
      <c r="QP13" s="3">
        <f>ROUND(1977.0,2)</f>
        <v/>
      </c>
      <c r="QQ13" s="3">
        <f>ROUND(15.0,2)</f>
        <v/>
      </c>
      <c r="QR13" s="3">
        <f>ROUND(0.0,2)</f>
        <v/>
      </c>
      <c r="QS13" s="3">
        <f>ROUND(0.0,2)</f>
        <v/>
      </c>
      <c r="QT13" s="3">
        <f>ROUND(0.0,2)</f>
        <v/>
      </c>
      <c r="QU13" s="3">
        <f>ROUND(0.0,2)</f>
        <v/>
      </c>
      <c r="QV13" s="3">
        <f>ROUND(0.0,2)</f>
        <v/>
      </c>
      <c r="QW13" s="4">
        <f>IFERROR((QQ13/QP13),0)</f>
        <v/>
      </c>
      <c r="QX13" s="4">
        <f>IFERROR(((0+QO11+QO12+QO13)/T2),0)</f>
        <v/>
      </c>
      <c r="QY13" s="5">
        <f>IFERROR(ROUND(QO13/QQ13,2),0)</f>
        <v/>
      </c>
      <c r="QZ13" s="5">
        <f>IFERROR(ROUND(QO13/QR13,2),0)</f>
        <v/>
      </c>
      <c r="RA13" s="2" t="inlineStr">
        <is>
          <t>2023-09-22</t>
        </is>
      </c>
      <c r="RB13" s="5">
        <f>ROUND(0.61,2)</f>
        <v/>
      </c>
      <c r="RC13" s="3">
        <f>ROUND(1139.0,2)</f>
        <v/>
      </c>
      <c r="RD13" s="3">
        <f>ROUND(37.0,2)</f>
        <v/>
      </c>
      <c r="RE13" s="3">
        <f>ROUND(0.0,2)</f>
        <v/>
      </c>
      <c r="RF13" s="3">
        <f>ROUND(0.0,2)</f>
        <v/>
      </c>
      <c r="RG13" s="3">
        <f>ROUND(0.0,2)</f>
        <v/>
      </c>
      <c r="RH13" s="3">
        <f>ROUND(0.0,2)</f>
        <v/>
      </c>
      <c r="RI13" s="3">
        <f>ROUND(0.0,2)</f>
        <v/>
      </c>
      <c r="RJ13" s="4">
        <f>IFERROR((RD13/RC13),0)</f>
        <v/>
      </c>
      <c r="RK13" s="4">
        <f>IFERROR(((0+RB11+RB12+RB13)/T2),0)</f>
        <v/>
      </c>
      <c r="RL13" s="5">
        <f>IFERROR(ROUND(RB13/RD13,2),0)</f>
        <v/>
      </c>
      <c r="RM13" s="5">
        <f>IFERROR(ROUND(RB13/RE13,2),0)</f>
        <v/>
      </c>
      <c r="RN13" s="2" t="inlineStr">
        <is>
          <t>2023-09-22</t>
        </is>
      </c>
      <c r="RO13" s="5">
        <f>ROUND(0.41000000000000003,2)</f>
        <v/>
      </c>
      <c r="RP13" s="3">
        <f>ROUND(494.0,2)</f>
        <v/>
      </c>
      <c r="RQ13" s="3">
        <f>ROUND(13.0,2)</f>
        <v/>
      </c>
      <c r="RR13" s="3">
        <f>ROUND(0.0,2)</f>
        <v/>
      </c>
      <c r="RS13" s="3">
        <f>ROUND(0.0,2)</f>
        <v/>
      </c>
      <c r="RT13" s="3">
        <f>ROUND(0.0,2)</f>
        <v/>
      </c>
      <c r="RU13" s="3">
        <f>ROUND(0.0,2)</f>
        <v/>
      </c>
      <c r="RV13" s="3">
        <f>ROUND(0.0,2)</f>
        <v/>
      </c>
      <c r="RW13" s="4">
        <f>IFERROR((RQ13/RP13),0)</f>
        <v/>
      </c>
      <c r="RX13" s="4">
        <f>IFERROR(((0+RO11+RO12+RO13)/T2),0)</f>
        <v/>
      </c>
      <c r="RY13" s="5">
        <f>IFERROR(ROUND(RO13/RQ13,2),0)</f>
        <v/>
      </c>
      <c r="RZ13" s="5">
        <f>IFERROR(ROUND(RO13/RR13,2),0)</f>
        <v/>
      </c>
      <c r="SA13" s="2" t="inlineStr">
        <is>
          <t>2023-09-22</t>
        </is>
      </c>
      <c r="SB13" s="5">
        <f>ROUND(0.55,2)</f>
        <v/>
      </c>
      <c r="SC13" s="3">
        <f>ROUND(925.0,2)</f>
        <v/>
      </c>
      <c r="SD13" s="3">
        <f>ROUND(39.0,2)</f>
        <v/>
      </c>
      <c r="SE13" s="3">
        <f>ROUND(0.0,2)</f>
        <v/>
      </c>
      <c r="SF13" s="3">
        <f>ROUND(0.0,2)</f>
        <v/>
      </c>
      <c r="SG13" s="3">
        <f>ROUND(0.0,2)</f>
        <v/>
      </c>
      <c r="SH13" s="3">
        <f>ROUND(0.0,2)</f>
        <v/>
      </c>
      <c r="SI13" s="3">
        <f>ROUND(0.0,2)</f>
        <v/>
      </c>
      <c r="SJ13" s="4">
        <f>IFERROR((SD13/SC13),0)</f>
        <v/>
      </c>
      <c r="SK13" s="4">
        <f>IFERROR(((0+SB11+SB12+SB13)/T2),0)</f>
        <v/>
      </c>
      <c r="SL13" s="5">
        <f>IFERROR(ROUND(SB13/SD13,2),0)</f>
        <v/>
      </c>
      <c r="SM13" s="5">
        <f>IFERROR(ROUND(SB13/SE13,2),0)</f>
        <v/>
      </c>
      <c r="SN13" s="2" t="inlineStr">
        <is>
          <t>2023-09-22</t>
        </is>
      </c>
      <c r="SO13" s="5">
        <f>ROUND(0.38,2)</f>
        <v/>
      </c>
      <c r="SP13" s="3">
        <f>ROUND(489.0,2)</f>
        <v/>
      </c>
      <c r="SQ13" s="3">
        <f>ROUND(11.0,2)</f>
        <v/>
      </c>
      <c r="SR13" s="3">
        <f>ROUND(0.0,2)</f>
        <v/>
      </c>
      <c r="SS13" s="3">
        <f>ROUND(0.0,2)</f>
        <v/>
      </c>
      <c r="ST13" s="3">
        <f>ROUND(0.0,2)</f>
        <v/>
      </c>
      <c r="SU13" s="3">
        <f>ROUND(0.0,2)</f>
        <v/>
      </c>
      <c r="SV13" s="3">
        <f>ROUND(0.0,2)</f>
        <v/>
      </c>
      <c r="SW13" s="4">
        <f>IFERROR((SQ13/SP13),0)</f>
        <v/>
      </c>
      <c r="SX13" s="4">
        <f>IFERROR(((0+SO11+SO12+SO13)/T2),0)</f>
        <v/>
      </c>
      <c r="SY13" s="5">
        <f>IFERROR(ROUND(SO13/SQ13,2),0)</f>
        <v/>
      </c>
      <c r="SZ13" s="5">
        <f>IFERROR(ROUND(SO13/SR13,2),0)</f>
        <v/>
      </c>
    </row>
    <row r="14">
      <c r="A14" s="2" t="inlineStr">
        <is>
          <t>2023-09-23</t>
        </is>
      </c>
      <c r="B14" s="5">
        <f>ROUND(39.83,2)</f>
        <v/>
      </c>
      <c r="C14" s="3">
        <f>ROUND(82773.0,2)</f>
        <v/>
      </c>
      <c r="D14" s="3">
        <f>ROUND(1917.0,2)</f>
        <v/>
      </c>
      <c r="E14" s="3">
        <f>ROUND(0.0,2)</f>
        <v/>
      </c>
      <c r="F14" s="3">
        <f>ROUND(0.0,2)</f>
        <v/>
      </c>
      <c r="G14" s="3">
        <f>ROUND(0.0,2)</f>
        <v/>
      </c>
      <c r="H14" s="3">
        <f>ROUND(0.0,2)</f>
        <v/>
      </c>
      <c r="I14" s="3">
        <f>ROUND(0.0,2)</f>
        <v/>
      </c>
      <c r="J14" s="4">
        <f>IFERROR((D14/C14),0)</f>
        <v/>
      </c>
      <c r="K14" s="4">
        <f>IFERROR(((0+B11+B12+B13+B14)/T2),0)</f>
        <v/>
      </c>
      <c r="L14" s="5">
        <f>IFERROR(ROUND(B14/D14,2),0)</f>
        <v/>
      </c>
      <c r="M14" s="5">
        <f>IFERROR(ROUND(B14/E14,2),0)</f>
        <v/>
      </c>
      <c r="N14" s="2" t="inlineStr">
        <is>
          <t>2023-09-23</t>
        </is>
      </c>
      <c r="O14" s="5">
        <f>ROUND(0.68,2)</f>
        <v/>
      </c>
      <c r="P14" s="3">
        <f>ROUND(719.0,2)</f>
        <v/>
      </c>
      <c r="Q14" s="3">
        <f>ROUND(39.0,2)</f>
        <v/>
      </c>
      <c r="R14" s="3">
        <f>ROUND(0.0,2)</f>
        <v/>
      </c>
      <c r="S14" s="3">
        <f>ROUND(0.0,2)</f>
        <v/>
      </c>
      <c r="T14" s="3">
        <f>ROUND(0.0,2)</f>
        <v/>
      </c>
      <c r="U14" s="3">
        <f>ROUND(0.0,2)</f>
        <v/>
      </c>
      <c r="V14" s="3">
        <f>ROUND(0.0,2)</f>
        <v/>
      </c>
      <c r="W14" s="4">
        <f>IFERROR((Q14/P14),0)</f>
        <v/>
      </c>
      <c r="X14" s="4">
        <f>IFERROR(((0+O11+O12+O13+O14)/T2),0)</f>
        <v/>
      </c>
      <c r="Y14" s="5">
        <f>IFERROR(ROUND(O14/Q14,2),0)</f>
        <v/>
      </c>
      <c r="Z14" s="5">
        <f>IFERROR(ROUND(O14/R14,2),0)</f>
        <v/>
      </c>
      <c r="AA14" s="2" t="inlineStr">
        <is>
          <t>2023-09-23</t>
        </is>
      </c>
      <c r="AB14" s="5">
        <f>ROUND(1.1600000000000001,2)</f>
        <v/>
      </c>
      <c r="AC14" s="3">
        <f>ROUND(2007.0,2)</f>
        <v/>
      </c>
      <c r="AD14" s="3">
        <f>ROUND(56.0,2)</f>
        <v/>
      </c>
      <c r="AE14" s="3">
        <f>ROUND(0.0,2)</f>
        <v/>
      </c>
      <c r="AF14" s="3">
        <f>ROUND(0.0,2)</f>
        <v/>
      </c>
      <c r="AG14" s="3">
        <f>ROUND(0.0,2)</f>
        <v/>
      </c>
      <c r="AH14" s="3">
        <f>ROUND(0.0,2)</f>
        <v/>
      </c>
      <c r="AI14" s="3">
        <f>ROUND(0.0,2)</f>
        <v/>
      </c>
      <c r="AJ14" s="4">
        <f>IFERROR((AD14/AC14),0)</f>
        <v/>
      </c>
      <c r="AK14" s="4">
        <f>IFERROR(((0+AB11+AB12+AB13+AB14)/T2),0)</f>
        <v/>
      </c>
      <c r="AL14" s="5">
        <f>IFERROR(ROUND(AB14/AD14,2),0)</f>
        <v/>
      </c>
      <c r="AM14" s="5">
        <f>IFERROR(ROUND(AB14/AE14,2),0)</f>
        <v/>
      </c>
      <c r="AN14" s="2" t="inlineStr">
        <is>
          <t>2023-09-23</t>
        </is>
      </c>
      <c r="AO14" s="5">
        <f>ROUND(0.15000000000000002,2)</f>
        <v/>
      </c>
      <c r="AP14" s="3">
        <f>ROUND(262.0,2)</f>
        <v/>
      </c>
      <c r="AQ14" s="3">
        <f>ROUND(9.0,2)</f>
        <v/>
      </c>
      <c r="AR14" s="3">
        <f>ROUND(0.0,2)</f>
        <v/>
      </c>
      <c r="AS14" s="3">
        <f>ROUND(0.0,2)</f>
        <v/>
      </c>
      <c r="AT14" s="3">
        <f>ROUND(0.0,2)</f>
        <v/>
      </c>
      <c r="AU14" s="3">
        <f>ROUND(0.0,2)</f>
        <v/>
      </c>
      <c r="AV14" s="3">
        <f>ROUND(0.0,2)</f>
        <v/>
      </c>
      <c r="AW14" s="4">
        <f>IFERROR((AQ14/AP14),0)</f>
        <v/>
      </c>
      <c r="AX14" s="4">
        <f>IFERROR(((0+AO11+AO12+AO13+AO14)/T2),0)</f>
        <v/>
      </c>
      <c r="AY14" s="5">
        <f>IFERROR(ROUND(AO14/AQ14,2),0)</f>
        <v/>
      </c>
      <c r="AZ14" s="5">
        <f>IFERROR(ROUND(AO14/AR14,2),0)</f>
        <v/>
      </c>
      <c r="BA14" s="2" t="inlineStr">
        <is>
          <t>2023-09-23</t>
        </is>
      </c>
      <c r="BB14" s="5">
        <f>ROUND(0.04,2)</f>
        <v/>
      </c>
      <c r="BC14" s="3">
        <f>ROUND(86.0,2)</f>
        <v/>
      </c>
      <c r="BD14" s="3">
        <f>ROUND(3.0,2)</f>
        <v/>
      </c>
      <c r="BE14" s="3">
        <f>ROUND(0.0,2)</f>
        <v/>
      </c>
      <c r="BF14" s="3">
        <f>ROUND(0.0,2)</f>
        <v/>
      </c>
      <c r="BG14" s="3">
        <f>ROUND(0.0,2)</f>
        <v/>
      </c>
      <c r="BH14" s="3">
        <f>ROUND(0.0,2)</f>
        <v/>
      </c>
      <c r="BI14" s="3">
        <f>ROUND(0.0,2)</f>
        <v/>
      </c>
      <c r="BJ14" s="4">
        <f>IFERROR((BD14/BC14),0)</f>
        <v/>
      </c>
      <c r="BK14" s="4">
        <f>IFERROR(((0+BB11+BB12+BB13+BB14)/T2),0)</f>
        <v/>
      </c>
      <c r="BL14" s="5">
        <f>IFERROR(ROUND(BB14/BD14,2),0)</f>
        <v/>
      </c>
      <c r="BM14" s="5">
        <f>IFERROR(ROUND(BB14/BE14,2),0)</f>
        <v/>
      </c>
      <c r="BN14" s="2" t="inlineStr">
        <is>
          <t>2023-09-23</t>
        </is>
      </c>
      <c r="BO14" s="5">
        <f>ROUND(0.03,2)</f>
        <v/>
      </c>
      <c r="BP14" s="3">
        <f>ROUND(63.0,2)</f>
        <v/>
      </c>
      <c r="BQ14" s="3">
        <f>ROUND(2.0,2)</f>
        <v/>
      </c>
      <c r="BR14" s="3">
        <f>ROUND(0.0,2)</f>
        <v/>
      </c>
      <c r="BS14" s="3">
        <f>ROUND(0.0,2)</f>
        <v/>
      </c>
      <c r="BT14" s="3">
        <f>ROUND(0.0,2)</f>
        <v/>
      </c>
      <c r="BU14" s="3">
        <f>ROUND(0.0,2)</f>
        <v/>
      </c>
      <c r="BV14" s="3">
        <f>ROUND(0.0,2)</f>
        <v/>
      </c>
      <c r="BW14" s="4">
        <f>IFERROR((BQ14/BP14),0)</f>
        <v/>
      </c>
      <c r="BX14" s="4">
        <f>IFERROR(((0+BO11+BO12+BO13+BO14)/T2),0)</f>
        <v/>
      </c>
      <c r="BY14" s="5">
        <f>IFERROR(ROUND(BO14/BQ14,2),0)</f>
        <v/>
      </c>
      <c r="BZ14" s="5">
        <f>IFERROR(ROUND(BO14/BR14,2),0)</f>
        <v/>
      </c>
      <c r="CA14" s="2" t="inlineStr">
        <is>
          <t>2023-09-23</t>
        </is>
      </c>
      <c r="CB14" s="5">
        <f>ROUND(0.27,2)</f>
        <v/>
      </c>
      <c r="CC14" s="3">
        <f>ROUND(162.0,2)</f>
        <v/>
      </c>
      <c r="CD14" s="3">
        <f>ROUND(14.0,2)</f>
        <v/>
      </c>
      <c r="CE14" s="3">
        <f>ROUND(0.0,2)</f>
        <v/>
      </c>
      <c r="CF14" s="3">
        <f>ROUND(0.0,2)</f>
        <v/>
      </c>
      <c r="CG14" s="3">
        <f>ROUND(0.0,2)</f>
        <v/>
      </c>
      <c r="CH14" s="3">
        <f>ROUND(0.0,2)</f>
        <v/>
      </c>
      <c r="CI14" s="3">
        <f>ROUND(0.0,2)</f>
        <v/>
      </c>
      <c r="CJ14" s="4">
        <f>IFERROR((CD14/CC14),0)</f>
        <v/>
      </c>
      <c r="CK14" s="4">
        <f>IFERROR(((0+CB11+CB12+CB13+CB14)/T2),0)</f>
        <v/>
      </c>
      <c r="CL14" s="5">
        <f>IFERROR(ROUND(CB14/CD14,2),0)</f>
        <v/>
      </c>
      <c r="CM14" s="5">
        <f>IFERROR(ROUND(CB14/CE14,2),0)</f>
        <v/>
      </c>
      <c r="CN14" s="2" t="inlineStr">
        <is>
          <t>2023-09-23</t>
        </is>
      </c>
      <c r="CO14" s="5">
        <f>ROUND(1.9100000000000001,2)</f>
        <v/>
      </c>
      <c r="CP14" s="3">
        <f>ROUND(2655.0,2)</f>
        <v/>
      </c>
      <c r="CQ14" s="3">
        <f>ROUND(105.0,2)</f>
        <v/>
      </c>
      <c r="CR14" s="3">
        <f>ROUND(0.0,2)</f>
        <v/>
      </c>
      <c r="CS14" s="3">
        <f>ROUND(0.0,2)</f>
        <v/>
      </c>
      <c r="CT14" s="3">
        <f>ROUND(0.0,2)</f>
        <v/>
      </c>
      <c r="CU14" s="3">
        <f>ROUND(0.0,2)</f>
        <v/>
      </c>
      <c r="CV14" s="3">
        <f>ROUND(0.0,2)</f>
        <v/>
      </c>
      <c r="CW14" s="4">
        <f>IFERROR((CQ14/CP14),0)</f>
        <v/>
      </c>
      <c r="CX14" s="4">
        <f>IFERROR(((0+CO11+CO12+CO13+CO14)/T2),0)</f>
        <v/>
      </c>
      <c r="CY14" s="5">
        <f>IFERROR(ROUND(CO14/CQ14,2),0)</f>
        <v/>
      </c>
      <c r="CZ14" s="5">
        <f>IFERROR(ROUND(CO14/CR14,2),0)</f>
        <v/>
      </c>
      <c r="DA14" s="2" t="inlineStr">
        <is>
          <t>2023-09-23</t>
        </is>
      </c>
      <c r="DB14" s="5">
        <f>ROUND(0.89,2)</f>
        <v/>
      </c>
      <c r="DC14" s="3">
        <f>ROUND(4213.0,2)</f>
        <v/>
      </c>
      <c r="DD14" s="3">
        <f>ROUND(48.0,2)</f>
        <v/>
      </c>
      <c r="DE14" s="3">
        <f>ROUND(0.0,2)</f>
        <v/>
      </c>
      <c r="DF14" s="3">
        <f>ROUND(0.0,2)</f>
        <v/>
      </c>
      <c r="DG14" s="3">
        <f>ROUND(0.0,2)</f>
        <v/>
      </c>
      <c r="DH14" s="3">
        <f>ROUND(0.0,2)</f>
        <v/>
      </c>
      <c r="DI14" s="3">
        <f>ROUND(0.0,2)</f>
        <v/>
      </c>
      <c r="DJ14" s="4">
        <f>IFERROR((DD14/DC14),0)</f>
        <v/>
      </c>
      <c r="DK14" s="4">
        <f>IFERROR(((0+DB11+DB12+DB13+DB14)/T2),0)</f>
        <v/>
      </c>
      <c r="DL14" s="5">
        <f>IFERROR(ROUND(DB14/DD14,2),0)</f>
        <v/>
      </c>
      <c r="DM14" s="5">
        <f>IFERROR(ROUND(DB14/DE14,2),0)</f>
        <v/>
      </c>
      <c r="DN14" s="2" t="inlineStr">
        <is>
          <t>2023-09-23</t>
        </is>
      </c>
      <c r="DO14" s="5">
        <f>ROUND(0.02,2)</f>
        <v/>
      </c>
      <c r="DP14" s="3">
        <f>ROUND(34.0,2)</f>
        <v/>
      </c>
      <c r="DQ14" s="3">
        <f>ROUND(2.0,2)</f>
        <v/>
      </c>
      <c r="DR14" s="3">
        <f>ROUND(0.0,2)</f>
        <v/>
      </c>
      <c r="DS14" s="3">
        <f>ROUND(0.0,2)</f>
        <v/>
      </c>
      <c r="DT14" s="3">
        <f>ROUND(0.0,2)</f>
        <v/>
      </c>
      <c r="DU14" s="3">
        <f>ROUND(0.0,2)</f>
        <v/>
      </c>
      <c r="DV14" s="3">
        <f>ROUND(0.0,2)</f>
        <v/>
      </c>
      <c r="DW14" s="4">
        <f>IFERROR((DQ14/DP14),0)</f>
        <v/>
      </c>
      <c r="DX14" s="4">
        <f>IFERROR(((0+DO11+DO12+DO13+DO14)/T2),0)</f>
        <v/>
      </c>
      <c r="DY14" s="5">
        <f>IFERROR(ROUND(DO14/DQ14,2),0)</f>
        <v/>
      </c>
      <c r="DZ14" s="5">
        <f>IFERROR(ROUND(DO14/DR14,2),0)</f>
        <v/>
      </c>
      <c r="EA14" s="2" t="inlineStr">
        <is>
          <t>2023-09-23</t>
        </is>
      </c>
      <c r="EB14" s="5">
        <f>ROUND(5.19,2)</f>
        <v/>
      </c>
      <c r="EC14" s="3">
        <f>ROUND(21374.0,2)</f>
        <v/>
      </c>
      <c r="ED14" s="3">
        <f>ROUND(283.0,2)</f>
        <v/>
      </c>
      <c r="EE14" s="3">
        <f>ROUND(0.0,2)</f>
        <v/>
      </c>
      <c r="EF14" s="3">
        <f>ROUND(0.0,2)</f>
        <v/>
      </c>
      <c r="EG14" s="3">
        <f>ROUND(0.0,2)</f>
        <v/>
      </c>
      <c r="EH14" s="3">
        <f>ROUND(0.0,2)</f>
        <v/>
      </c>
      <c r="EI14" s="3">
        <f>ROUND(0.0,2)</f>
        <v/>
      </c>
      <c r="EJ14" s="4">
        <f>IFERROR((ED14/EC14),0)</f>
        <v/>
      </c>
      <c r="EK14" s="4">
        <f>IFERROR(((0+EB11+EB12+EB13+EB14)/T2),0)</f>
        <v/>
      </c>
      <c r="EL14" s="5">
        <f>IFERROR(ROUND(EB14/ED14,2),0)</f>
        <v/>
      </c>
      <c r="EM14" s="5">
        <f>IFERROR(ROUND(EB14/EE14,2),0)</f>
        <v/>
      </c>
      <c r="EN14" s="2" t="inlineStr">
        <is>
          <t>2023-09-23</t>
        </is>
      </c>
      <c r="EO14" s="5">
        <f>ROUND(0.03,2)</f>
        <v/>
      </c>
      <c r="EP14" s="3">
        <f>ROUND(61.0,2)</f>
        <v/>
      </c>
      <c r="EQ14" s="3">
        <f>ROUND(2.0,2)</f>
        <v/>
      </c>
      <c r="ER14" s="3">
        <f>ROUND(0.0,2)</f>
        <v/>
      </c>
      <c r="ES14" s="3">
        <f>ROUND(0.0,2)</f>
        <v/>
      </c>
      <c r="ET14" s="3">
        <f>ROUND(0.0,2)</f>
        <v/>
      </c>
      <c r="EU14" s="3">
        <f>ROUND(0.0,2)</f>
        <v/>
      </c>
      <c r="EV14" s="3">
        <f>ROUND(0.0,2)</f>
        <v/>
      </c>
      <c r="EW14" s="4">
        <f>IFERROR((EQ14/EP14),0)</f>
        <v/>
      </c>
      <c r="EX14" s="4">
        <f>IFERROR(((0+EO11+EO12+EO13+EO14)/T2),0)</f>
        <v/>
      </c>
      <c r="EY14" s="5">
        <f>IFERROR(ROUND(EO14/EQ14,2),0)</f>
        <v/>
      </c>
      <c r="EZ14" s="5">
        <f>IFERROR(ROUND(EO14/ER14,2),0)</f>
        <v/>
      </c>
      <c r="FA14" s="2" t="inlineStr">
        <is>
          <t>2023-09-23</t>
        </is>
      </c>
      <c r="FB14" s="5">
        <f>ROUND(1.8099999999999998,2)</f>
        <v/>
      </c>
      <c r="FC14" s="3">
        <f>ROUND(2099.0,2)</f>
        <v/>
      </c>
      <c r="FD14" s="3">
        <f>ROUND(78.0,2)</f>
        <v/>
      </c>
      <c r="FE14" s="3">
        <f>ROUND(0.0,2)</f>
        <v/>
      </c>
      <c r="FF14" s="3">
        <f>ROUND(0.0,2)</f>
        <v/>
      </c>
      <c r="FG14" s="3">
        <f>ROUND(0.0,2)</f>
        <v/>
      </c>
      <c r="FH14" s="3">
        <f>ROUND(0.0,2)</f>
        <v/>
      </c>
      <c r="FI14" s="3">
        <f>ROUND(0.0,2)</f>
        <v/>
      </c>
      <c r="FJ14" s="4">
        <f>IFERROR((FD14/FC14),0)</f>
        <v/>
      </c>
      <c r="FK14" s="4">
        <f>IFERROR(((0+FB11+FB12+FB13+FB14)/T2),0)</f>
        <v/>
      </c>
      <c r="FL14" s="5">
        <f>IFERROR(ROUND(FB14/FD14,2),0)</f>
        <v/>
      </c>
      <c r="FM14" s="5">
        <f>IFERROR(ROUND(FB14/FE14,2),0)</f>
        <v/>
      </c>
      <c r="FN14" s="2" t="inlineStr">
        <is>
          <t>2023-09-23</t>
        </is>
      </c>
      <c r="FO14" s="5">
        <f>ROUND(13.309999999999999,2)</f>
        <v/>
      </c>
      <c r="FP14" s="3">
        <f>ROUND(18918.0,2)</f>
        <v/>
      </c>
      <c r="FQ14" s="3">
        <f>ROUND(637.0,2)</f>
        <v/>
      </c>
      <c r="FR14" s="3">
        <f>ROUND(0.0,2)</f>
        <v/>
      </c>
      <c r="FS14" s="3">
        <f>ROUND(0.0,2)</f>
        <v/>
      </c>
      <c r="FT14" s="3">
        <f>ROUND(0.0,2)</f>
        <v/>
      </c>
      <c r="FU14" s="3">
        <f>ROUND(0.0,2)</f>
        <v/>
      </c>
      <c r="FV14" s="3">
        <f>ROUND(0.0,2)</f>
        <v/>
      </c>
      <c r="FW14" s="4">
        <f>IFERROR((FQ14/FP14),0)</f>
        <v/>
      </c>
      <c r="FX14" s="4">
        <f>IFERROR(((0+FO11+FO12+FO13+FO14)/T2),0)</f>
        <v/>
      </c>
      <c r="FY14" s="5">
        <f>IFERROR(ROUND(FO14/FQ14,2),0)</f>
        <v/>
      </c>
      <c r="FZ14" s="5">
        <f>IFERROR(ROUND(FO14/FR14,2),0)</f>
        <v/>
      </c>
      <c r="GA14" s="2" t="inlineStr">
        <is>
          <t>2023-09-23</t>
        </is>
      </c>
      <c r="GB14" s="5">
        <f>ROUND(0.0,2)</f>
        <v/>
      </c>
      <c r="GC14" s="3">
        <f>ROUND(39.0,2)</f>
        <v/>
      </c>
      <c r="GD14" s="3">
        <f>ROUND(0.0,2)</f>
        <v/>
      </c>
      <c r="GE14" s="3">
        <f>ROUND(0.0,2)</f>
        <v/>
      </c>
      <c r="GF14" s="3">
        <f>ROUND(0.0,2)</f>
        <v/>
      </c>
      <c r="GG14" s="3">
        <f>ROUND(0.0,2)</f>
        <v/>
      </c>
      <c r="GH14" s="3">
        <f>ROUND(0.0,2)</f>
        <v/>
      </c>
      <c r="GI14" s="3">
        <f>ROUND(0.0,2)</f>
        <v/>
      </c>
      <c r="GJ14" s="4">
        <f>IFERROR((GD14/GC14),0)</f>
        <v/>
      </c>
      <c r="GK14" s="4">
        <f>IFERROR(((0+GB11+GB12+GB13+GB14)/T2),0)</f>
        <v/>
      </c>
      <c r="GL14" s="5">
        <f>IFERROR(ROUND(GB14/GD14,2),0)</f>
        <v/>
      </c>
      <c r="GM14" s="5">
        <f>IFERROR(ROUND(GB14/GE14,2),0)</f>
        <v/>
      </c>
      <c r="GN14" s="2" t="inlineStr">
        <is>
          <t>2023-09-23</t>
        </is>
      </c>
      <c r="GO14" s="5">
        <f>ROUND(0.33,2)</f>
        <v/>
      </c>
      <c r="GP14" s="3">
        <f>ROUND(356.0,2)</f>
        <v/>
      </c>
      <c r="GQ14" s="3">
        <f>ROUND(12.0,2)</f>
        <v/>
      </c>
      <c r="GR14" s="3">
        <f>ROUND(0.0,2)</f>
        <v/>
      </c>
      <c r="GS14" s="3">
        <f>ROUND(0.0,2)</f>
        <v/>
      </c>
      <c r="GT14" s="3">
        <f>ROUND(0.0,2)</f>
        <v/>
      </c>
      <c r="GU14" s="3">
        <f>ROUND(0.0,2)</f>
        <v/>
      </c>
      <c r="GV14" s="3">
        <f>ROUND(0.0,2)</f>
        <v/>
      </c>
      <c r="GW14" s="4">
        <f>IFERROR((GQ14/GP14),0)</f>
        <v/>
      </c>
      <c r="GX14" s="4">
        <f>IFERROR(((0+GO11+GO12+GO13+GO14)/T2),0)</f>
        <v/>
      </c>
      <c r="GY14" s="5">
        <f>IFERROR(ROUND(GO14/GQ14,2),0)</f>
        <v/>
      </c>
      <c r="GZ14" s="5">
        <f>IFERROR(ROUND(GO14/GR14,2),0)</f>
        <v/>
      </c>
      <c r="HA14" s="2" t="inlineStr">
        <is>
          <t>2023-09-23</t>
        </is>
      </c>
      <c r="HB14" s="5">
        <f>ROUND(0.2,2)</f>
        <v/>
      </c>
      <c r="HC14" s="3">
        <f>ROUND(307.0,2)</f>
        <v/>
      </c>
      <c r="HD14" s="3">
        <f>ROUND(9.0,2)</f>
        <v/>
      </c>
      <c r="HE14" s="3">
        <f>ROUND(0.0,2)</f>
        <v/>
      </c>
      <c r="HF14" s="3">
        <f>ROUND(0.0,2)</f>
        <v/>
      </c>
      <c r="HG14" s="3">
        <f>ROUND(0.0,2)</f>
        <v/>
      </c>
      <c r="HH14" s="3">
        <f>ROUND(0.0,2)</f>
        <v/>
      </c>
      <c r="HI14" s="3">
        <f>ROUND(0.0,2)</f>
        <v/>
      </c>
      <c r="HJ14" s="4">
        <f>IFERROR((HD14/HC14),0)</f>
        <v/>
      </c>
      <c r="HK14" s="4">
        <f>IFERROR(((0+HB11+HB12+HB13+HB14)/T2),0)</f>
        <v/>
      </c>
      <c r="HL14" s="5">
        <f>IFERROR(ROUND(HB14/HD14,2),0)</f>
        <v/>
      </c>
      <c r="HM14" s="5">
        <f>IFERROR(ROUND(HB14/HE14,2),0)</f>
        <v/>
      </c>
      <c r="HN14" s="2" t="inlineStr">
        <is>
          <t>2023-09-23</t>
        </is>
      </c>
      <c r="HO14" s="5">
        <f>ROUND(0.17,2)</f>
        <v/>
      </c>
      <c r="HP14" s="3">
        <f>ROUND(199.0,2)</f>
        <v/>
      </c>
      <c r="HQ14" s="3">
        <f>ROUND(16.0,2)</f>
        <v/>
      </c>
      <c r="HR14" s="3">
        <f>ROUND(0.0,2)</f>
        <v/>
      </c>
      <c r="HS14" s="3">
        <f>ROUND(0.0,2)</f>
        <v/>
      </c>
      <c r="HT14" s="3">
        <f>ROUND(0.0,2)</f>
        <v/>
      </c>
      <c r="HU14" s="3">
        <f>ROUND(0.0,2)</f>
        <v/>
      </c>
      <c r="HV14" s="3">
        <f>ROUND(0.0,2)</f>
        <v/>
      </c>
      <c r="HW14" s="4">
        <f>IFERROR((HQ14/HP14),0)</f>
        <v/>
      </c>
      <c r="HX14" s="4">
        <f>IFERROR(((0+HO11+HO12+HO13+HO14)/T2),0)</f>
        <v/>
      </c>
      <c r="HY14" s="5">
        <f>IFERROR(ROUND(HO14/HQ14,2),0)</f>
        <v/>
      </c>
      <c r="HZ14" s="5">
        <f>IFERROR(ROUND(HO14/HR14,2),0)</f>
        <v/>
      </c>
      <c r="IA14" s="2" t="inlineStr">
        <is>
          <t>2023-09-23</t>
        </is>
      </c>
      <c r="IB14" s="5">
        <f>ROUND(2.2199999999999998,2)</f>
        <v/>
      </c>
      <c r="IC14" s="3">
        <f>ROUND(2904.0,2)</f>
        <v/>
      </c>
      <c r="ID14" s="3">
        <f>ROUND(91.0,2)</f>
        <v/>
      </c>
      <c r="IE14" s="3">
        <f>ROUND(0.0,2)</f>
        <v/>
      </c>
      <c r="IF14" s="3">
        <f>ROUND(0.0,2)</f>
        <v/>
      </c>
      <c r="IG14" s="3">
        <f>ROUND(0.0,2)</f>
        <v/>
      </c>
      <c r="IH14" s="3">
        <f>ROUND(0.0,2)</f>
        <v/>
      </c>
      <c r="II14" s="3">
        <f>ROUND(0.0,2)</f>
        <v/>
      </c>
      <c r="IJ14" s="4">
        <f>IFERROR((ID14/IC14),0)</f>
        <v/>
      </c>
      <c r="IK14" s="4">
        <f>IFERROR(((0+IB11+IB12+IB13+IB14)/T2),0)</f>
        <v/>
      </c>
      <c r="IL14" s="5">
        <f>IFERROR(ROUND(IB14/ID14,2),0)</f>
        <v/>
      </c>
      <c r="IM14" s="5">
        <f>IFERROR(ROUND(IB14/IE14,2),0)</f>
        <v/>
      </c>
      <c r="IN14" s="2" t="inlineStr">
        <is>
          <t>2023-09-23</t>
        </is>
      </c>
      <c r="IO14" s="5">
        <f>ROUND(1.02,2)</f>
        <v/>
      </c>
      <c r="IP14" s="3">
        <f>ROUND(3751.0,2)</f>
        <v/>
      </c>
      <c r="IQ14" s="3">
        <f>ROUND(48.0,2)</f>
        <v/>
      </c>
      <c r="IR14" s="3">
        <f>ROUND(0.0,2)</f>
        <v/>
      </c>
      <c r="IS14" s="3">
        <f>ROUND(0.0,2)</f>
        <v/>
      </c>
      <c r="IT14" s="3">
        <f>ROUND(0.0,2)</f>
        <v/>
      </c>
      <c r="IU14" s="3">
        <f>ROUND(0.0,2)</f>
        <v/>
      </c>
      <c r="IV14" s="3">
        <f>ROUND(0.0,2)</f>
        <v/>
      </c>
      <c r="IW14" s="4">
        <f>IFERROR((IQ14/IP14),0)</f>
        <v/>
      </c>
      <c r="IX14" s="4">
        <f>IFERROR(((0+IO11+IO12+IO13+IO14)/T2),0)</f>
        <v/>
      </c>
      <c r="IY14" s="5">
        <f>IFERROR(ROUND(IO14/IQ14,2),0)</f>
        <v/>
      </c>
      <c r="IZ14" s="5">
        <f>IFERROR(ROUND(IO14/IR14,2),0)</f>
        <v/>
      </c>
      <c r="JA14" s="2" t="inlineStr">
        <is>
          <t>2023-09-23</t>
        </is>
      </c>
      <c r="JB14" s="5">
        <f>ROUND(0.16,2)</f>
        <v/>
      </c>
      <c r="JC14" s="3">
        <f>ROUND(470.0,2)</f>
        <v/>
      </c>
      <c r="JD14" s="3">
        <f>ROUND(9.0,2)</f>
        <v/>
      </c>
      <c r="JE14" s="3">
        <f>ROUND(0.0,2)</f>
        <v/>
      </c>
      <c r="JF14" s="3">
        <f>ROUND(0.0,2)</f>
        <v/>
      </c>
      <c r="JG14" s="3">
        <f>ROUND(0.0,2)</f>
        <v/>
      </c>
      <c r="JH14" s="3">
        <f>ROUND(0.0,2)</f>
        <v/>
      </c>
      <c r="JI14" s="3">
        <f>ROUND(0.0,2)</f>
        <v/>
      </c>
      <c r="JJ14" s="4">
        <f>IFERROR((JD14/JC14),0)</f>
        <v/>
      </c>
      <c r="JK14" s="4">
        <f>IFERROR(((0+JB11+JB12+JB13+JB14)/T2),0)</f>
        <v/>
      </c>
      <c r="JL14" s="5">
        <f>IFERROR(ROUND(JB14/JD14,2),0)</f>
        <v/>
      </c>
      <c r="JM14" s="5">
        <f>IFERROR(ROUND(JB14/JE14,2),0)</f>
        <v/>
      </c>
      <c r="JN14" s="2" t="inlineStr">
        <is>
          <t>2023-09-23</t>
        </is>
      </c>
      <c r="JO14" s="5">
        <f>ROUND(0.14,2)</f>
        <v/>
      </c>
      <c r="JP14" s="3">
        <f>ROUND(128.0,2)</f>
        <v/>
      </c>
      <c r="JQ14" s="3">
        <f>ROUND(3.0,2)</f>
        <v/>
      </c>
      <c r="JR14" s="3">
        <f>ROUND(0.0,2)</f>
        <v/>
      </c>
      <c r="JS14" s="3">
        <f>ROUND(0.0,2)</f>
        <v/>
      </c>
      <c r="JT14" s="3">
        <f>ROUND(0.0,2)</f>
        <v/>
      </c>
      <c r="JU14" s="3">
        <f>ROUND(0.0,2)</f>
        <v/>
      </c>
      <c r="JV14" s="3">
        <f>ROUND(0.0,2)</f>
        <v/>
      </c>
      <c r="JW14" s="4">
        <f>IFERROR((JQ14/JP14),0)</f>
        <v/>
      </c>
      <c r="JX14" s="4">
        <f>IFERROR(((0+JO11+JO12+JO13+JO14)/T2),0)</f>
        <v/>
      </c>
      <c r="JY14" s="5">
        <f>IFERROR(ROUND(JO14/JQ14,2),0)</f>
        <v/>
      </c>
      <c r="JZ14" s="5">
        <f>IFERROR(ROUND(JO14/JR14,2),0)</f>
        <v/>
      </c>
      <c r="KA14" s="2" t="inlineStr">
        <is>
          <t>2023-09-23</t>
        </is>
      </c>
      <c r="KB14" s="5">
        <f>ROUND(0.0,2)</f>
        <v/>
      </c>
      <c r="KC14" s="3">
        <f>ROUND(7.0,2)</f>
        <v/>
      </c>
      <c r="KD14" s="3">
        <f>ROUND(0.0,2)</f>
        <v/>
      </c>
      <c r="KE14" s="3">
        <f>ROUND(0.0,2)</f>
        <v/>
      </c>
      <c r="KF14" s="3">
        <f>ROUND(0.0,2)</f>
        <v/>
      </c>
      <c r="KG14" s="3">
        <f>ROUND(0.0,2)</f>
        <v/>
      </c>
      <c r="KH14" s="3">
        <f>ROUND(0.0,2)</f>
        <v/>
      </c>
      <c r="KI14" s="3">
        <f>ROUND(0.0,2)</f>
        <v/>
      </c>
      <c r="KJ14" s="4">
        <f>IFERROR((KD14/KC14),0)</f>
        <v/>
      </c>
      <c r="KK14" s="4">
        <f>IFERROR(((0+KB11+KB12+KB13+KB14)/T2),0)</f>
        <v/>
      </c>
      <c r="KL14" s="5">
        <f>IFERROR(ROUND(KB14/KD14,2),0)</f>
        <v/>
      </c>
      <c r="KM14" s="5">
        <f>IFERROR(ROUND(KB14/KE14,2),0)</f>
        <v/>
      </c>
      <c r="KN14" s="2" t="inlineStr">
        <is>
          <t>2023-09-23</t>
        </is>
      </c>
      <c r="KO14" s="5">
        <f>ROUND(0.1,2)</f>
        <v/>
      </c>
      <c r="KP14" s="3">
        <f>ROUND(651.0,2)</f>
        <v/>
      </c>
      <c r="KQ14" s="3">
        <f>ROUND(5.0,2)</f>
        <v/>
      </c>
      <c r="KR14" s="3">
        <f>ROUND(0.0,2)</f>
        <v/>
      </c>
      <c r="KS14" s="3">
        <f>ROUND(0.0,2)</f>
        <v/>
      </c>
      <c r="KT14" s="3">
        <f>ROUND(0.0,2)</f>
        <v/>
      </c>
      <c r="KU14" s="3">
        <f>ROUND(0.0,2)</f>
        <v/>
      </c>
      <c r="KV14" s="3">
        <f>ROUND(0.0,2)</f>
        <v/>
      </c>
      <c r="KW14" s="4">
        <f>IFERROR((KQ14/KP14),0)</f>
        <v/>
      </c>
      <c r="KX14" s="4">
        <f>IFERROR(((0+KO11+KO12+KO13+KO14)/T2),0)</f>
        <v/>
      </c>
      <c r="KY14" s="5">
        <f>IFERROR(ROUND(KO14/KQ14,2),0)</f>
        <v/>
      </c>
      <c r="KZ14" s="5">
        <f>IFERROR(ROUND(KO14/KR14,2),0)</f>
        <v/>
      </c>
      <c r="LA14" s="2" t="inlineStr">
        <is>
          <t>2023-09-23</t>
        </is>
      </c>
      <c r="LB14" s="5">
        <f>ROUND(1.55,2)</f>
        <v/>
      </c>
      <c r="LC14" s="3">
        <f>ROUND(7675.0,2)</f>
        <v/>
      </c>
      <c r="LD14" s="3">
        <f>ROUND(77.0,2)</f>
        <v/>
      </c>
      <c r="LE14" s="3">
        <f>ROUND(0.0,2)</f>
        <v/>
      </c>
      <c r="LF14" s="3">
        <f>ROUND(0.0,2)</f>
        <v/>
      </c>
      <c r="LG14" s="3">
        <f>ROUND(0.0,2)</f>
        <v/>
      </c>
      <c r="LH14" s="3">
        <f>ROUND(0.0,2)</f>
        <v/>
      </c>
      <c r="LI14" s="3">
        <f>ROUND(0.0,2)</f>
        <v/>
      </c>
      <c r="LJ14" s="4">
        <f>IFERROR((LD14/LC14),0)</f>
        <v/>
      </c>
      <c r="LK14" s="4">
        <f>IFERROR(((0+LB11+LB12+LB13+LB14)/T2),0)</f>
        <v/>
      </c>
      <c r="LL14" s="5">
        <f>IFERROR(ROUND(LB14/LD14,2),0)</f>
        <v/>
      </c>
      <c r="LM14" s="5">
        <f>IFERROR(ROUND(LB14/LE14,2),0)</f>
        <v/>
      </c>
      <c r="LN14" s="2" t="inlineStr">
        <is>
          <t>2023-09-23</t>
        </is>
      </c>
      <c r="LO14" s="5">
        <f>ROUND(0.31,2)</f>
        <v/>
      </c>
      <c r="LP14" s="3">
        <f>ROUND(407.0,2)</f>
        <v/>
      </c>
      <c r="LQ14" s="3">
        <f>ROUND(23.0,2)</f>
        <v/>
      </c>
      <c r="LR14" s="3">
        <f>ROUND(0.0,2)</f>
        <v/>
      </c>
      <c r="LS14" s="3">
        <f>ROUND(0.0,2)</f>
        <v/>
      </c>
      <c r="LT14" s="3">
        <f>ROUND(0.0,2)</f>
        <v/>
      </c>
      <c r="LU14" s="3">
        <f>ROUND(0.0,2)</f>
        <v/>
      </c>
      <c r="LV14" s="3">
        <f>ROUND(0.0,2)</f>
        <v/>
      </c>
      <c r="LW14" s="4">
        <f>IFERROR((LQ14/LP14),0)</f>
        <v/>
      </c>
      <c r="LX14" s="4">
        <f>IFERROR(((0+LO11+LO12+LO13+LO14)/T2),0)</f>
        <v/>
      </c>
      <c r="LY14" s="5">
        <f>IFERROR(ROUND(LO14/LQ14,2),0)</f>
        <v/>
      </c>
      <c r="LZ14" s="5">
        <f>IFERROR(ROUND(LO14/LR14,2),0)</f>
        <v/>
      </c>
      <c r="MA14" s="2" t="inlineStr">
        <is>
          <t>2023-09-23</t>
        </is>
      </c>
      <c r="MB14" s="5">
        <f>ROUND(0.14,2)</f>
        <v/>
      </c>
      <c r="MC14" s="3">
        <f>ROUND(252.0,2)</f>
        <v/>
      </c>
      <c r="MD14" s="3">
        <f>ROUND(8.0,2)</f>
        <v/>
      </c>
      <c r="ME14" s="3">
        <f>ROUND(0.0,2)</f>
        <v/>
      </c>
      <c r="MF14" s="3">
        <f>ROUND(0.0,2)</f>
        <v/>
      </c>
      <c r="MG14" s="3">
        <f>ROUND(0.0,2)</f>
        <v/>
      </c>
      <c r="MH14" s="3">
        <f>ROUND(0.0,2)</f>
        <v/>
      </c>
      <c r="MI14" s="3">
        <f>ROUND(0.0,2)</f>
        <v/>
      </c>
      <c r="MJ14" s="4">
        <f>IFERROR((MD14/MC14),0)</f>
        <v/>
      </c>
      <c r="MK14" s="4">
        <f>IFERROR(((0+MB11+MB12+MB13+MB14)/T2),0)</f>
        <v/>
      </c>
      <c r="ML14" s="5">
        <f>IFERROR(ROUND(MB14/MD14,2),0)</f>
        <v/>
      </c>
      <c r="MM14" s="5">
        <f>IFERROR(ROUND(MB14/ME14,2),0)</f>
        <v/>
      </c>
      <c r="MN14" s="2" t="inlineStr">
        <is>
          <t>2023-09-23</t>
        </is>
      </c>
      <c r="MO14" s="5">
        <f>ROUND(0.37000000000000005,2)</f>
        <v/>
      </c>
      <c r="MP14" s="3">
        <f>ROUND(310.0,2)</f>
        <v/>
      </c>
      <c r="MQ14" s="3">
        <f>ROUND(12.0,2)</f>
        <v/>
      </c>
      <c r="MR14" s="3">
        <f>ROUND(0.0,2)</f>
        <v/>
      </c>
      <c r="MS14" s="3">
        <f>ROUND(0.0,2)</f>
        <v/>
      </c>
      <c r="MT14" s="3">
        <f>ROUND(0.0,2)</f>
        <v/>
      </c>
      <c r="MU14" s="3">
        <f>ROUND(0.0,2)</f>
        <v/>
      </c>
      <c r="MV14" s="3">
        <f>ROUND(0.0,2)</f>
        <v/>
      </c>
      <c r="MW14" s="4">
        <f>IFERROR((MQ14/MP14),0)</f>
        <v/>
      </c>
      <c r="MX14" s="4">
        <f>IFERROR(((0+MO11+MO12+MO13+MO14)/T2),0)</f>
        <v/>
      </c>
      <c r="MY14" s="5">
        <f>IFERROR(ROUND(MO14/MQ14,2),0)</f>
        <v/>
      </c>
      <c r="MZ14" s="5">
        <f>IFERROR(ROUND(MO14/MR14,2),0)</f>
        <v/>
      </c>
      <c r="NA14" s="2" t="inlineStr">
        <is>
          <t>2023-09-23</t>
        </is>
      </c>
      <c r="NB14" s="5">
        <f>ROUND(0.74,2)</f>
        <v/>
      </c>
      <c r="NC14" s="3">
        <f>ROUND(2710.0,2)</f>
        <v/>
      </c>
      <c r="ND14" s="3">
        <f>ROUND(33.0,2)</f>
        <v/>
      </c>
      <c r="NE14" s="3">
        <f>ROUND(0.0,2)</f>
        <v/>
      </c>
      <c r="NF14" s="3">
        <f>ROUND(0.0,2)</f>
        <v/>
      </c>
      <c r="NG14" s="3">
        <f>ROUND(0.0,2)</f>
        <v/>
      </c>
      <c r="NH14" s="3">
        <f>ROUND(0.0,2)</f>
        <v/>
      </c>
      <c r="NI14" s="3">
        <f>ROUND(0.0,2)</f>
        <v/>
      </c>
      <c r="NJ14" s="4">
        <f>IFERROR((ND14/NC14),0)</f>
        <v/>
      </c>
      <c r="NK14" s="4">
        <f>IFERROR(((0+NB11+NB12+NB13+NB14)/T2),0)</f>
        <v/>
      </c>
      <c r="NL14" s="5">
        <f>IFERROR(ROUND(NB14/ND14,2),0)</f>
        <v/>
      </c>
      <c r="NM14" s="5">
        <f>IFERROR(ROUND(NB14/NE14,2),0)</f>
        <v/>
      </c>
      <c r="NN14" s="2" t="inlineStr">
        <is>
          <t>2023-09-23</t>
        </is>
      </c>
      <c r="NO14" s="5">
        <f>ROUND(0.08,2)</f>
        <v/>
      </c>
      <c r="NP14" s="3">
        <f>ROUND(65.0,2)</f>
        <v/>
      </c>
      <c r="NQ14" s="3">
        <f>ROUND(3.0,2)</f>
        <v/>
      </c>
      <c r="NR14" s="3">
        <f>ROUND(0.0,2)</f>
        <v/>
      </c>
      <c r="NS14" s="3">
        <f>ROUND(0.0,2)</f>
        <v/>
      </c>
      <c r="NT14" s="3">
        <f>ROUND(0.0,2)</f>
        <v/>
      </c>
      <c r="NU14" s="3">
        <f>ROUND(0.0,2)</f>
        <v/>
      </c>
      <c r="NV14" s="3">
        <f>ROUND(0.0,2)</f>
        <v/>
      </c>
      <c r="NW14" s="4">
        <f>IFERROR((NQ14/NP14),0)</f>
        <v/>
      </c>
      <c r="NX14" s="4">
        <f>IFERROR(((0+NO11+NO12+NO13+NO14)/T2),0)</f>
        <v/>
      </c>
      <c r="NY14" s="5">
        <f>IFERROR(ROUND(NO14/NQ14,2),0)</f>
        <v/>
      </c>
      <c r="NZ14" s="5">
        <f>IFERROR(ROUND(NO14/NR14,2),0)</f>
        <v/>
      </c>
      <c r="OA14" s="2" t="inlineStr">
        <is>
          <t>2023-09-23</t>
        </is>
      </c>
      <c r="OB14" s="5">
        <f>ROUND(0.0,2)</f>
        <v/>
      </c>
      <c r="OC14" s="3">
        <f>ROUND(72.0,2)</f>
        <v/>
      </c>
      <c r="OD14" s="3">
        <f>ROUND(0.0,2)</f>
        <v/>
      </c>
      <c r="OE14" s="3">
        <f>ROUND(0.0,2)</f>
        <v/>
      </c>
      <c r="OF14" s="3">
        <f>ROUND(0.0,2)</f>
        <v/>
      </c>
      <c r="OG14" s="3">
        <f>ROUND(0.0,2)</f>
        <v/>
      </c>
      <c r="OH14" s="3">
        <f>ROUND(0.0,2)</f>
        <v/>
      </c>
      <c r="OI14" s="3">
        <f>ROUND(0.0,2)</f>
        <v/>
      </c>
      <c r="OJ14" s="4">
        <f>IFERROR((OD14/OC14),0)</f>
        <v/>
      </c>
      <c r="OK14" s="4">
        <f>IFERROR(((0+OB11+OB12+OB13+OB14)/T2),0)</f>
        <v/>
      </c>
      <c r="OL14" s="5">
        <f>IFERROR(ROUND(OB14/OD14,2),0)</f>
        <v/>
      </c>
      <c r="OM14" s="5">
        <f>IFERROR(ROUND(OB14/OE14,2),0)</f>
        <v/>
      </c>
      <c r="ON14" s="2" t="inlineStr">
        <is>
          <t>2023-09-23</t>
        </is>
      </c>
      <c r="OO14" s="5">
        <f>ROUND(0.05,2)</f>
        <v/>
      </c>
      <c r="OP14" s="3">
        <f>ROUND(123.0,2)</f>
        <v/>
      </c>
      <c r="OQ14" s="3">
        <f>ROUND(3.0,2)</f>
        <v/>
      </c>
      <c r="OR14" s="3">
        <f>ROUND(0.0,2)</f>
        <v/>
      </c>
      <c r="OS14" s="3">
        <f>ROUND(0.0,2)</f>
        <v/>
      </c>
      <c r="OT14" s="3">
        <f>ROUND(0.0,2)</f>
        <v/>
      </c>
      <c r="OU14" s="3">
        <f>ROUND(0.0,2)</f>
        <v/>
      </c>
      <c r="OV14" s="3">
        <f>ROUND(0.0,2)</f>
        <v/>
      </c>
      <c r="OW14" s="4">
        <f>IFERROR((OQ14/OP14),0)</f>
        <v/>
      </c>
      <c r="OX14" s="4">
        <f>IFERROR(((0+OO11+OO12+OO13+OO14)/T2),0)</f>
        <v/>
      </c>
      <c r="OY14" s="5">
        <f>IFERROR(ROUND(OO14/OQ14,2),0)</f>
        <v/>
      </c>
      <c r="OZ14" s="5">
        <f>IFERROR(ROUND(OO14/OR14,2),0)</f>
        <v/>
      </c>
      <c r="PA14" s="2" t="inlineStr">
        <is>
          <t>2023-09-23</t>
        </is>
      </c>
      <c r="PB14" s="5">
        <f>ROUND(0.13,2)</f>
        <v/>
      </c>
      <c r="PC14" s="3">
        <f>ROUND(618.0,2)</f>
        <v/>
      </c>
      <c r="PD14" s="3">
        <f>ROUND(8.0,2)</f>
        <v/>
      </c>
      <c r="PE14" s="3">
        <f>ROUND(0.0,2)</f>
        <v/>
      </c>
      <c r="PF14" s="3">
        <f>ROUND(0.0,2)</f>
        <v/>
      </c>
      <c r="PG14" s="3">
        <f>ROUND(0.0,2)</f>
        <v/>
      </c>
      <c r="PH14" s="3">
        <f>ROUND(0.0,2)</f>
        <v/>
      </c>
      <c r="PI14" s="3">
        <f>ROUND(0.0,2)</f>
        <v/>
      </c>
      <c r="PJ14" s="4">
        <f>IFERROR((PD14/PC14),0)</f>
        <v/>
      </c>
      <c r="PK14" s="4">
        <f>IFERROR(((0+PB11+PB12+PB13+PB14)/T2),0)</f>
        <v/>
      </c>
      <c r="PL14" s="5">
        <f>IFERROR(ROUND(PB14/PD14,2),0)</f>
        <v/>
      </c>
      <c r="PM14" s="5">
        <f>IFERROR(ROUND(PB14/PE14,2),0)</f>
        <v/>
      </c>
      <c r="PN14" s="2" t="inlineStr">
        <is>
          <t>2023-09-23</t>
        </is>
      </c>
      <c r="PO14" s="5">
        <f>ROUND(0.1,2)</f>
        <v/>
      </c>
      <c r="PP14" s="3">
        <f>ROUND(19.0,2)</f>
        <v/>
      </c>
      <c r="PQ14" s="3">
        <f>ROUND(1.0,2)</f>
        <v/>
      </c>
      <c r="PR14" s="3">
        <f>ROUND(0.0,2)</f>
        <v/>
      </c>
      <c r="PS14" s="3">
        <f>ROUND(0.0,2)</f>
        <v/>
      </c>
      <c r="PT14" s="3">
        <f>ROUND(0.0,2)</f>
        <v/>
      </c>
      <c r="PU14" s="3">
        <f>ROUND(0.0,2)</f>
        <v/>
      </c>
      <c r="PV14" s="3">
        <f>ROUND(0.0,2)</f>
        <v/>
      </c>
      <c r="PW14" s="4">
        <f>IFERROR((PQ14/PP14),0)</f>
        <v/>
      </c>
      <c r="PX14" s="4">
        <f>IFERROR(((0+PO11+PO12+PO13+PO14)/T2),0)</f>
        <v/>
      </c>
      <c r="PY14" s="5">
        <f>IFERROR(ROUND(PO14/PQ14,2),0)</f>
        <v/>
      </c>
      <c r="PZ14" s="5">
        <f>IFERROR(ROUND(PO14/PR14,2),0)</f>
        <v/>
      </c>
      <c r="QA14" s="2" t="inlineStr">
        <is>
          <t>2023-09-23</t>
        </is>
      </c>
      <c r="QB14" s="5">
        <f>ROUND(0.09,2)</f>
        <v/>
      </c>
      <c r="QC14" s="3">
        <f>ROUND(23.0,2)</f>
        <v/>
      </c>
      <c r="QD14" s="3">
        <f>ROUND(1.0,2)</f>
        <v/>
      </c>
      <c r="QE14" s="3">
        <f>ROUND(0.0,2)</f>
        <v/>
      </c>
      <c r="QF14" s="3">
        <f>ROUND(0.0,2)</f>
        <v/>
      </c>
      <c r="QG14" s="3">
        <f>ROUND(0.0,2)</f>
        <v/>
      </c>
      <c r="QH14" s="3">
        <f>ROUND(0.0,2)</f>
        <v/>
      </c>
      <c r="QI14" s="3">
        <f>ROUND(0.0,2)</f>
        <v/>
      </c>
      <c r="QJ14" s="4">
        <f>IFERROR((QD14/QC14),0)</f>
        <v/>
      </c>
      <c r="QK14" s="4">
        <f>IFERROR(((0+QB11+QB12+QB13+QB14)/T2),0)</f>
        <v/>
      </c>
      <c r="QL14" s="5">
        <f>IFERROR(ROUND(QB14/QD14,2),0)</f>
        <v/>
      </c>
      <c r="QM14" s="5">
        <f>IFERROR(ROUND(QB14/QE14,2),0)</f>
        <v/>
      </c>
      <c r="QN14" s="2" t="inlineStr">
        <is>
          <t>2023-09-23</t>
        </is>
      </c>
      <c r="QO14" s="5">
        <f>ROUND(0.0,2)</f>
        <v/>
      </c>
      <c r="QP14" s="3">
        <f>ROUND(242.0,2)</f>
        <v/>
      </c>
      <c r="QQ14" s="3">
        <f>ROUND(0.0,2)</f>
        <v/>
      </c>
      <c r="QR14" s="3">
        <f>ROUND(0.0,2)</f>
        <v/>
      </c>
      <c r="QS14" s="3">
        <f>ROUND(0.0,2)</f>
        <v/>
      </c>
      <c r="QT14" s="3">
        <f>ROUND(0.0,2)</f>
        <v/>
      </c>
      <c r="QU14" s="3">
        <f>ROUND(0.0,2)</f>
        <v/>
      </c>
      <c r="QV14" s="3">
        <f>ROUND(0.0,2)</f>
        <v/>
      </c>
      <c r="QW14" s="4">
        <f>IFERROR((QQ14/QP14),0)</f>
        <v/>
      </c>
      <c r="QX14" s="4">
        <f>IFERROR(((0+QO11+QO12+QO13+QO14)/T2),0)</f>
        <v/>
      </c>
      <c r="QY14" s="5">
        <f>IFERROR(ROUND(QO14/QQ14,2),0)</f>
        <v/>
      </c>
      <c r="QZ14" s="5">
        <f>IFERROR(ROUND(QO14/QR14,2),0)</f>
        <v/>
      </c>
      <c r="RA14" s="2" t="inlineStr">
        <is>
          <t>2023-09-23</t>
        </is>
      </c>
      <c r="RB14" s="5">
        <f>ROUND(2.94,2)</f>
        <v/>
      </c>
      <c r="RC14" s="3">
        <f>ROUND(3844.0,2)</f>
        <v/>
      </c>
      <c r="RD14" s="3">
        <f>ROUND(132.0,2)</f>
        <v/>
      </c>
      <c r="RE14" s="3">
        <f>ROUND(0.0,2)</f>
        <v/>
      </c>
      <c r="RF14" s="3">
        <f>ROUND(0.0,2)</f>
        <v/>
      </c>
      <c r="RG14" s="3">
        <f>ROUND(0.0,2)</f>
        <v/>
      </c>
      <c r="RH14" s="3">
        <f>ROUND(0.0,2)</f>
        <v/>
      </c>
      <c r="RI14" s="3">
        <f>ROUND(0.0,2)</f>
        <v/>
      </c>
      <c r="RJ14" s="4">
        <f>IFERROR((RD14/RC14),0)</f>
        <v/>
      </c>
      <c r="RK14" s="4">
        <f>IFERROR(((0+RB11+RB12+RB13+RB14)/T2),0)</f>
        <v/>
      </c>
      <c r="RL14" s="5">
        <f>IFERROR(ROUND(RB14/RD14,2),0)</f>
        <v/>
      </c>
      <c r="RM14" s="5">
        <f>IFERROR(ROUND(RB14/RE14,2),0)</f>
        <v/>
      </c>
      <c r="RN14" s="2" t="inlineStr">
        <is>
          <t>2023-09-23</t>
        </is>
      </c>
      <c r="RO14" s="5">
        <f>ROUND(2.54,2)</f>
        <v/>
      </c>
      <c r="RP14" s="3">
        <f>ROUND(2065.0,2)</f>
        <v/>
      </c>
      <c r="RQ14" s="3">
        <f>ROUND(101.0,2)</f>
        <v/>
      </c>
      <c r="RR14" s="3">
        <f>ROUND(0.0,2)</f>
        <v/>
      </c>
      <c r="RS14" s="3">
        <f>ROUND(0.0,2)</f>
        <v/>
      </c>
      <c r="RT14" s="3">
        <f>ROUND(0.0,2)</f>
        <v/>
      </c>
      <c r="RU14" s="3">
        <f>ROUND(0.0,2)</f>
        <v/>
      </c>
      <c r="RV14" s="3">
        <f>ROUND(0.0,2)</f>
        <v/>
      </c>
      <c r="RW14" s="4">
        <f>IFERROR((RQ14/RP14),0)</f>
        <v/>
      </c>
      <c r="RX14" s="4">
        <f>IFERROR(((0+RO11+RO12+RO13+RO14)/T2),0)</f>
        <v/>
      </c>
      <c r="RY14" s="5">
        <f>IFERROR(ROUND(RO14/RQ14,2),0)</f>
        <v/>
      </c>
      <c r="RZ14" s="5">
        <f>IFERROR(ROUND(RO14/RR14,2),0)</f>
        <v/>
      </c>
      <c r="SA14" s="2" t="inlineStr">
        <is>
          <t>2023-09-23</t>
        </is>
      </c>
      <c r="SB14" s="5">
        <f>ROUND(0.38,2)</f>
        <v/>
      </c>
      <c r="SC14" s="3">
        <f>ROUND(1698.0,2)</f>
        <v/>
      </c>
      <c r="SD14" s="3">
        <f>ROUND(18.0,2)</f>
        <v/>
      </c>
      <c r="SE14" s="3">
        <f>ROUND(0.0,2)</f>
        <v/>
      </c>
      <c r="SF14" s="3">
        <f>ROUND(0.0,2)</f>
        <v/>
      </c>
      <c r="SG14" s="3">
        <f>ROUND(0.0,2)</f>
        <v/>
      </c>
      <c r="SH14" s="3">
        <f>ROUND(0.0,2)</f>
        <v/>
      </c>
      <c r="SI14" s="3">
        <f>ROUND(0.0,2)</f>
        <v/>
      </c>
      <c r="SJ14" s="4">
        <f>IFERROR((SD14/SC14),0)</f>
        <v/>
      </c>
      <c r="SK14" s="4">
        <f>IFERROR(((0+SB11+SB12+SB13+SB14)/T2),0)</f>
        <v/>
      </c>
      <c r="SL14" s="5">
        <f>IFERROR(ROUND(SB14/SD14,2),0)</f>
        <v/>
      </c>
      <c r="SM14" s="5">
        <f>IFERROR(ROUND(SB14/SE14,2),0)</f>
        <v/>
      </c>
      <c r="SN14" s="2" t="inlineStr">
        <is>
          <t>2023-09-23</t>
        </is>
      </c>
      <c r="SO14" s="5">
        <f>ROUND(0.5800000000000001,2)</f>
        <v/>
      </c>
      <c r="SP14" s="3">
        <f>ROUND(1185.0,2)</f>
        <v/>
      </c>
      <c r="SQ14" s="3">
        <f>ROUND(26.0,2)</f>
        <v/>
      </c>
      <c r="SR14" s="3">
        <f>ROUND(0.0,2)</f>
        <v/>
      </c>
      <c r="SS14" s="3">
        <f>ROUND(0.0,2)</f>
        <v/>
      </c>
      <c r="ST14" s="3">
        <f>ROUND(0.0,2)</f>
        <v/>
      </c>
      <c r="SU14" s="3">
        <f>ROUND(0.0,2)</f>
        <v/>
      </c>
      <c r="SV14" s="3">
        <f>ROUND(0.0,2)</f>
        <v/>
      </c>
      <c r="SW14" s="4">
        <f>IFERROR((SQ14/SP14),0)</f>
        <v/>
      </c>
      <c r="SX14" s="4">
        <f>IFERROR(((0+SO11+SO12+SO13+SO14)/T2),0)</f>
        <v/>
      </c>
      <c r="SY14" s="5">
        <f>IFERROR(ROUND(SO14/SQ14,2),0)</f>
        <v/>
      </c>
      <c r="SZ14" s="5">
        <f>IFERROR(ROUND(SO14/SR14,2),0)</f>
        <v/>
      </c>
    </row>
    <row r="15">
      <c r="A15" s="2" t="inlineStr">
        <is>
          <t>2023-09-24</t>
        </is>
      </c>
      <c r="B15" s="5">
        <f>ROUND(41.21,2)</f>
        <v/>
      </c>
      <c r="C15" s="3">
        <f>ROUND(49161.0,2)</f>
        <v/>
      </c>
      <c r="D15" s="3">
        <f>ROUND(1056.0,2)</f>
        <v/>
      </c>
      <c r="E15" s="3">
        <f>ROUND(0.0,2)</f>
        <v/>
      </c>
      <c r="F15" s="3">
        <f>ROUND(0.0,2)</f>
        <v/>
      </c>
      <c r="G15" s="3">
        <f>ROUND(0.0,2)</f>
        <v/>
      </c>
      <c r="H15" s="3">
        <f>ROUND(0.0,2)</f>
        <v/>
      </c>
      <c r="I15" s="3">
        <f>ROUND(0.0,2)</f>
        <v/>
      </c>
      <c r="J15" s="4">
        <f>IFERROR((D15/C15),0)</f>
        <v/>
      </c>
      <c r="K15" s="4">
        <f>IFERROR(((0+B11+B12+B13+B14+B15)/T2),0)</f>
        <v/>
      </c>
      <c r="L15" s="5">
        <f>IFERROR(ROUND(B15/D15,2),0)</f>
        <v/>
      </c>
      <c r="M15" s="5">
        <f>IFERROR(ROUND(B15/E15,2),0)</f>
        <v/>
      </c>
      <c r="N15" s="2" t="inlineStr">
        <is>
          <t>2023-09-24</t>
        </is>
      </c>
      <c r="O15" s="5">
        <f>ROUND(0.65,2)</f>
        <v/>
      </c>
      <c r="P15" s="3">
        <f>ROUND(553.0,2)</f>
        <v/>
      </c>
      <c r="Q15" s="3">
        <f>ROUND(15.0,2)</f>
        <v/>
      </c>
      <c r="R15" s="3">
        <f>ROUND(0.0,2)</f>
        <v/>
      </c>
      <c r="S15" s="3">
        <f>ROUND(0.0,2)</f>
        <v/>
      </c>
      <c r="T15" s="3">
        <f>ROUND(0.0,2)</f>
        <v/>
      </c>
      <c r="U15" s="3">
        <f>ROUND(0.0,2)</f>
        <v/>
      </c>
      <c r="V15" s="3">
        <f>ROUND(0.0,2)</f>
        <v/>
      </c>
      <c r="W15" s="4">
        <f>IFERROR((Q15/P15),0)</f>
        <v/>
      </c>
      <c r="X15" s="4">
        <f>IFERROR(((0+O11+O12+O13+O14+O15)/T2),0)</f>
        <v/>
      </c>
      <c r="Y15" s="5">
        <f>IFERROR(ROUND(O15/Q15,2),0)</f>
        <v/>
      </c>
      <c r="Z15" s="5">
        <f>IFERROR(ROUND(O15/R15,2),0)</f>
        <v/>
      </c>
      <c r="AA15" s="2" t="inlineStr">
        <is>
          <t>2023-09-24</t>
        </is>
      </c>
      <c r="AB15" s="5">
        <f>ROUND(0.62,2)</f>
        <v/>
      </c>
      <c r="AC15" s="3">
        <f>ROUND(130.0,2)</f>
        <v/>
      </c>
      <c r="AD15" s="3">
        <f>ROUND(6.0,2)</f>
        <v/>
      </c>
      <c r="AE15" s="3">
        <f>ROUND(0.0,2)</f>
        <v/>
      </c>
      <c r="AF15" s="3">
        <f>ROUND(0.0,2)</f>
        <v/>
      </c>
      <c r="AG15" s="3">
        <f>ROUND(0.0,2)</f>
        <v/>
      </c>
      <c r="AH15" s="3">
        <f>ROUND(0.0,2)</f>
        <v/>
      </c>
      <c r="AI15" s="3">
        <f>ROUND(0.0,2)</f>
        <v/>
      </c>
      <c r="AJ15" s="4">
        <f>IFERROR((AD15/AC15),0)</f>
        <v/>
      </c>
      <c r="AK15" s="4">
        <f>IFERROR(((0+AB11+AB12+AB13+AB14+AB15)/T2),0)</f>
        <v/>
      </c>
      <c r="AL15" s="5">
        <f>IFERROR(ROUND(AB15/AD15,2),0)</f>
        <v/>
      </c>
      <c r="AM15" s="5">
        <f>IFERROR(ROUND(AB15/AE15,2),0)</f>
        <v/>
      </c>
      <c r="AN15" s="2" t="inlineStr">
        <is>
          <t>2023-09-24</t>
        </is>
      </c>
      <c r="AO15" s="5">
        <f>ROUND(0.13,2)</f>
        <v/>
      </c>
      <c r="AP15" s="3">
        <f>ROUND(280.0,2)</f>
        <v/>
      </c>
      <c r="AQ15" s="3">
        <f>ROUND(3.0,2)</f>
        <v/>
      </c>
      <c r="AR15" s="3">
        <f>ROUND(0.0,2)</f>
        <v/>
      </c>
      <c r="AS15" s="3">
        <f>ROUND(0.0,2)</f>
        <v/>
      </c>
      <c r="AT15" s="3">
        <f>ROUND(0.0,2)</f>
        <v/>
      </c>
      <c r="AU15" s="3">
        <f>ROUND(0.0,2)</f>
        <v/>
      </c>
      <c r="AV15" s="3">
        <f>ROUND(0.0,2)</f>
        <v/>
      </c>
      <c r="AW15" s="4">
        <f>IFERROR((AQ15/AP15),0)</f>
        <v/>
      </c>
      <c r="AX15" s="4">
        <f>IFERROR(((0+AO11+AO12+AO13+AO14+AO15)/T2),0)</f>
        <v/>
      </c>
      <c r="AY15" s="5">
        <f>IFERROR(ROUND(AO15/AQ15,2),0)</f>
        <v/>
      </c>
      <c r="AZ15" s="5">
        <f>IFERROR(ROUND(AO15/AR15,2),0)</f>
        <v/>
      </c>
      <c r="BA15" s="2" t="inlineStr">
        <is>
          <t>2023-09-24</t>
        </is>
      </c>
      <c r="BB15" s="5">
        <f>ROUND(0.0,2)</f>
        <v/>
      </c>
      <c r="BC15" s="3">
        <f>ROUND(28.0,2)</f>
        <v/>
      </c>
      <c r="BD15" s="3">
        <f>ROUND(0.0,2)</f>
        <v/>
      </c>
      <c r="BE15" s="3">
        <f>ROUND(0.0,2)</f>
        <v/>
      </c>
      <c r="BF15" s="3">
        <f>ROUND(0.0,2)</f>
        <v/>
      </c>
      <c r="BG15" s="3">
        <f>ROUND(0.0,2)</f>
        <v/>
      </c>
      <c r="BH15" s="3">
        <f>ROUND(0.0,2)</f>
        <v/>
      </c>
      <c r="BI15" s="3">
        <f>ROUND(0.0,2)</f>
        <v/>
      </c>
      <c r="BJ15" s="4">
        <f>IFERROR((BD15/BC15),0)</f>
        <v/>
      </c>
      <c r="BK15" s="4">
        <f>IFERROR(((0+BB11+BB12+BB13+BB14+BB15)/T2),0)</f>
        <v/>
      </c>
      <c r="BL15" s="5">
        <f>IFERROR(ROUND(BB15/BD15,2),0)</f>
        <v/>
      </c>
      <c r="BM15" s="5">
        <f>IFERROR(ROUND(BB15/BE15,2),0)</f>
        <v/>
      </c>
      <c r="BN15" s="2" t="inlineStr">
        <is>
          <t>2023-09-24</t>
        </is>
      </c>
      <c r="BO15" s="5">
        <f>ROUND(0.0,2)</f>
        <v/>
      </c>
      <c r="BP15" s="3">
        <f>ROUND(39.0,2)</f>
        <v/>
      </c>
      <c r="BQ15" s="3">
        <f>ROUND(0.0,2)</f>
        <v/>
      </c>
      <c r="BR15" s="3">
        <f>ROUND(0.0,2)</f>
        <v/>
      </c>
      <c r="BS15" s="3">
        <f>ROUND(0.0,2)</f>
        <v/>
      </c>
      <c r="BT15" s="3">
        <f>ROUND(0.0,2)</f>
        <v/>
      </c>
      <c r="BU15" s="3">
        <f>ROUND(0.0,2)</f>
        <v/>
      </c>
      <c r="BV15" s="3">
        <f>ROUND(0.0,2)</f>
        <v/>
      </c>
      <c r="BW15" s="4">
        <f>IFERROR((BQ15/BP15),0)</f>
        <v/>
      </c>
      <c r="BX15" s="4">
        <f>IFERROR(((0+BO11+BO12+BO13+BO14+BO15)/T2),0)</f>
        <v/>
      </c>
      <c r="BY15" s="5">
        <f>IFERROR(ROUND(BO15/BQ15,2),0)</f>
        <v/>
      </c>
      <c r="BZ15" s="5">
        <f>IFERROR(ROUND(BO15/BR15,2),0)</f>
        <v/>
      </c>
      <c r="CA15" s="2" t="inlineStr">
        <is>
          <t>2023-09-24</t>
        </is>
      </c>
      <c r="CB15" s="5">
        <f>ROUND(0.31,2)</f>
        <v/>
      </c>
      <c r="CC15" s="3">
        <f>ROUND(187.0,2)</f>
        <v/>
      </c>
      <c r="CD15" s="3">
        <f>ROUND(9.0,2)</f>
        <v/>
      </c>
      <c r="CE15" s="3">
        <f>ROUND(0.0,2)</f>
        <v/>
      </c>
      <c r="CF15" s="3">
        <f>ROUND(0.0,2)</f>
        <v/>
      </c>
      <c r="CG15" s="3">
        <f>ROUND(0.0,2)</f>
        <v/>
      </c>
      <c r="CH15" s="3">
        <f>ROUND(0.0,2)</f>
        <v/>
      </c>
      <c r="CI15" s="3">
        <f>ROUND(0.0,2)</f>
        <v/>
      </c>
      <c r="CJ15" s="4">
        <f>IFERROR((CD15/CC15),0)</f>
        <v/>
      </c>
      <c r="CK15" s="4">
        <f>IFERROR(((0+CB11+CB12+CB13+CB14+CB15)/T2),0)</f>
        <v/>
      </c>
      <c r="CL15" s="5">
        <f>IFERROR(ROUND(CB15/CD15,2),0)</f>
        <v/>
      </c>
      <c r="CM15" s="5">
        <f>IFERROR(ROUND(CB15/CE15,2),0)</f>
        <v/>
      </c>
      <c r="CN15" s="2" t="inlineStr">
        <is>
          <t>2023-09-24</t>
        </is>
      </c>
      <c r="CO15" s="5">
        <f>ROUND(0.14,2)</f>
        <v/>
      </c>
      <c r="CP15" s="3">
        <f>ROUND(839.0,2)</f>
        <v/>
      </c>
      <c r="CQ15" s="3">
        <f>ROUND(7.0,2)</f>
        <v/>
      </c>
      <c r="CR15" s="3">
        <f>ROUND(0.0,2)</f>
        <v/>
      </c>
      <c r="CS15" s="3">
        <f>ROUND(0.0,2)</f>
        <v/>
      </c>
      <c r="CT15" s="3">
        <f>ROUND(0.0,2)</f>
        <v/>
      </c>
      <c r="CU15" s="3">
        <f>ROUND(0.0,2)</f>
        <v/>
      </c>
      <c r="CV15" s="3">
        <f>ROUND(0.0,2)</f>
        <v/>
      </c>
      <c r="CW15" s="4">
        <f>IFERROR((CQ15/CP15),0)</f>
        <v/>
      </c>
      <c r="CX15" s="4">
        <f>IFERROR(((0+CO11+CO12+CO13+CO14+CO15)/T2),0)</f>
        <v/>
      </c>
      <c r="CY15" s="5">
        <f>IFERROR(ROUND(CO15/CQ15,2),0)</f>
        <v/>
      </c>
      <c r="CZ15" s="5">
        <f>IFERROR(ROUND(CO15/CR15,2),0)</f>
        <v/>
      </c>
      <c r="DA15" s="2" t="inlineStr">
        <is>
          <t>2023-09-24</t>
        </is>
      </c>
      <c r="DB15" s="5">
        <f>ROUND(0.89,2)</f>
        <v/>
      </c>
      <c r="DC15" s="3">
        <f>ROUND(2160.0,2)</f>
        <v/>
      </c>
      <c r="DD15" s="3">
        <f>ROUND(25.0,2)</f>
        <v/>
      </c>
      <c r="DE15" s="3">
        <f>ROUND(0.0,2)</f>
        <v/>
      </c>
      <c r="DF15" s="3">
        <f>ROUND(0.0,2)</f>
        <v/>
      </c>
      <c r="DG15" s="3">
        <f>ROUND(0.0,2)</f>
        <v/>
      </c>
      <c r="DH15" s="3">
        <f>ROUND(0.0,2)</f>
        <v/>
      </c>
      <c r="DI15" s="3">
        <f>ROUND(0.0,2)</f>
        <v/>
      </c>
      <c r="DJ15" s="4">
        <f>IFERROR((DD15/DC15),0)</f>
        <v/>
      </c>
      <c r="DK15" s="4">
        <f>IFERROR(((0+DB11+DB12+DB13+DB14+DB15)/T2),0)</f>
        <v/>
      </c>
      <c r="DL15" s="5">
        <f>IFERROR(ROUND(DB15/DD15,2),0)</f>
        <v/>
      </c>
      <c r="DM15" s="5">
        <f>IFERROR(ROUND(DB15/DE15,2),0)</f>
        <v/>
      </c>
      <c r="DN15" s="2" t="inlineStr">
        <is>
          <t>2023-09-24</t>
        </is>
      </c>
      <c r="DO15" s="5">
        <f>ROUND(0.0,2)</f>
        <v/>
      </c>
      <c r="DP15" s="3">
        <f>ROUND(34.0,2)</f>
        <v/>
      </c>
      <c r="DQ15" s="3">
        <f>ROUND(0.0,2)</f>
        <v/>
      </c>
      <c r="DR15" s="3">
        <f>ROUND(0.0,2)</f>
        <v/>
      </c>
      <c r="DS15" s="3">
        <f>ROUND(0.0,2)</f>
        <v/>
      </c>
      <c r="DT15" s="3">
        <f>ROUND(0.0,2)</f>
        <v/>
      </c>
      <c r="DU15" s="3">
        <f>ROUND(0.0,2)</f>
        <v/>
      </c>
      <c r="DV15" s="3">
        <f>ROUND(0.0,2)</f>
        <v/>
      </c>
      <c r="DW15" s="4">
        <f>IFERROR((DQ15/DP15),0)</f>
        <v/>
      </c>
      <c r="DX15" s="4">
        <f>IFERROR(((0+DO11+DO12+DO13+DO14+DO15)/T2),0)</f>
        <v/>
      </c>
      <c r="DY15" s="5">
        <f>IFERROR(ROUND(DO15/DQ15,2),0)</f>
        <v/>
      </c>
      <c r="DZ15" s="5">
        <f>IFERROR(ROUND(DO15/DR15,2),0)</f>
        <v/>
      </c>
      <c r="EA15" s="2" t="inlineStr">
        <is>
          <t>2023-09-24</t>
        </is>
      </c>
      <c r="EB15" s="5">
        <f>ROUND(2.48,2)</f>
        <v/>
      </c>
      <c r="EC15" s="3">
        <f>ROUND(7500.0,2)</f>
        <v/>
      </c>
      <c r="ED15" s="3">
        <f>ROUND(71.0,2)</f>
        <v/>
      </c>
      <c r="EE15" s="3">
        <f>ROUND(0.0,2)</f>
        <v/>
      </c>
      <c r="EF15" s="3">
        <f>ROUND(0.0,2)</f>
        <v/>
      </c>
      <c r="EG15" s="3">
        <f>ROUND(0.0,2)</f>
        <v/>
      </c>
      <c r="EH15" s="3">
        <f>ROUND(0.0,2)</f>
        <v/>
      </c>
      <c r="EI15" s="3">
        <f>ROUND(0.0,2)</f>
        <v/>
      </c>
      <c r="EJ15" s="4">
        <f>IFERROR((ED15/EC15),0)</f>
        <v/>
      </c>
      <c r="EK15" s="4">
        <f>IFERROR(((0+EB11+EB12+EB13+EB14+EB15)/T2),0)</f>
        <v/>
      </c>
      <c r="EL15" s="5">
        <f>IFERROR(ROUND(EB15/ED15,2),0)</f>
        <v/>
      </c>
      <c r="EM15" s="5">
        <f>IFERROR(ROUND(EB15/EE15,2),0)</f>
        <v/>
      </c>
      <c r="EN15" s="2" t="inlineStr">
        <is>
          <t>2023-09-24</t>
        </is>
      </c>
      <c r="EO15" s="5">
        <f>ROUND(0.05,2)</f>
        <v/>
      </c>
      <c r="EP15" s="3">
        <f>ROUND(21.0,2)</f>
        <v/>
      </c>
      <c r="EQ15" s="3">
        <f>ROUND(1.0,2)</f>
        <v/>
      </c>
      <c r="ER15" s="3">
        <f>ROUND(0.0,2)</f>
        <v/>
      </c>
      <c r="ES15" s="3">
        <f>ROUND(0.0,2)</f>
        <v/>
      </c>
      <c r="ET15" s="3">
        <f>ROUND(0.0,2)</f>
        <v/>
      </c>
      <c r="EU15" s="3">
        <f>ROUND(0.0,2)</f>
        <v/>
      </c>
      <c r="EV15" s="3">
        <f>ROUND(0.0,2)</f>
        <v/>
      </c>
      <c r="EW15" s="4">
        <f>IFERROR((EQ15/EP15),0)</f>
        <v/>
      </c>
      <c r="EX15" s="4">
        <f>IFERROR(((0+EO11+EO12+EO13+EO14+EO15)/T2),0)</f>
        <v/>
      </c>
      <c r="EY15" s="5">
        <f>IFERROR(ROUND(EO15/EQ15,2),0)</f>
        <v/>
      </c>
      <c r="EZ15" s="5">
        <f>IFERROR(ROUND(EO15/ER15,2),0)</f>
        <v/>
      </c>
      <c r="FA15" s="2" t="inlineStr">
        <is>
          <t>2023-09-24</t>
        </is>
      </c>
      <c r="FB15" s="5">
        <f>ROUND(0.54,2)</f>
        <v/>
      </c>
      <c r="FC15" s="3">
        <f>ROUND(644.0,2)</f>
        <v/>
      </c>
      <c r="FD15" s="3">
        <f>ROUND(20.0,2)</f>
        <v/>
      </c>
      <c r="FE15" s="3">
        <f>ROUND(0.0,2)</f>
        <v/>
      </c>
      <c r="FF15" s="3">
        <f>ROUND(0.0,2)</f>
        <v/>
      </c>
      <c r="FG15" s="3">
        <f>ROUND(0.0,2)</f>
        <v/>
      </c>
      <c r="FH15" s="3">
        <f>ROUND(0.0,2)</f>
        <v/>
      </c>
      <c r="FI15" s="3">
        <f>ROUND(0.0,2)</f>
        <v/>
      </c>
      <c r="FJ15" s="4">
        <f>IFERROR((FD15/FC15),0)</f>
        <v/>
      </c>
      <c r="FK15" s="4">
        <f>IFERROR(((0+FB11+FB12+FB13+FB14+FB15)/T2),0)</f>
        <v/>
      </c>
      <c r="FL15" s="5">
        <f>IFERROR(ROUND(FB15/FD15,2),0)</f>
        <v/>
      </c>
      <c r="FM15" s="5">
        <f>IFERROR(ROUND(FB15/FE15,2),0)</f>
        <v/>
      </c>
      <c r="FN15" s="2" t="inlineStr">
        <is>
          <t>2023-09-24</t>
        </is>
      </c>
      <c r="FO15" s="5">
        <f>ROUND(20.830000000000002,2)</f>
        <v/>
      </c>
      <c r="FP15" s="3">
        <f>ROUND(18521.0,2)</f>
        <v/>
      </c>
      <c r="FQ15" s="3">
        <f>ROUND(552.0,2)</f>
        <v/>
      </c>
      <c r="FR15" s="3">
        <f>ROUND(0.0,2)</f>
        <v/>
      </c>
      <c r="FS15" s="3">
        <f>ROUND(0.0,2)</f>
        <v/>
      </c>
      <c r="FT15" s="3">
        <f>ROUND(0.0,2)</f>
        <v/>
      </c>
      <c r="FU15" s="3">
        <f>ROUND(0.0,2)</f>
        <v/>
      </c>
      <c r="FV15" s="3">
        <f>ROUND(0.0,2)</f>
        <v/>
      </c>
      <c r="FW15" s="4">
        <f>IFERROR((FQ15/FP15),0)</f>
        <v/>
      </c>
      <c r="FX15" s="4">
        <f>IFERROR(((0+FO11+FO12+FO13+FO14+FO15)/T2),0)</f>
        <v/>
      </c>
      <c r="FY15" s="5">
        <f>IFERROR(ROUND(FO15/FQ15,2),0)</f>
        <v/>
      </c>
      <c r="FZ15" s="5">
        <f>IFERROR(ROUND(FO15/FR15,2),0)</f>
        <v/>
      </c>
      <c r="GA15" s="2" t="inlineStr">
        <is>
          <t>2023-09-24</t>
        </is>
      </c>
      <c r="GB15" s="5">
        <f>ROUND(0.01,2)</f>
        <v/>
      </c>
      <c r="GC15" s="3">
        <f>ROUND(25.0,2)</f>
        <v/>
      </c>
      <c r="GD15" s="3">
        <f>ROUND(1.0,2)</f>
        <v/>
      </c>
      <c r="GE15" s="3">
        <f>ROUND(0.0,2)</f>
        <v/>
      </c>
      <c r="GF15" s="3">
        <f>ROUND(0.0,2)</f>
        <v/>
      </c>
      <c r="GG15" s="3">
        <f>ROUND(0.0,2)</f>
        <v/>
      </c>
      <c r="GH15" s="3">
        <f>ROUND(0.0,2)</f>
        <v/>
      </c>
      <c r="GI15" s="3">
        <f>ROUND(0.0,2)</f>
        <v/>
      </c>
      <c r="GJ15" s="4">
        <f>IFERROR((GD15/GC15),0)</f>
        <v/>
      </c>
      <c r="GK15" s="4">
        <f>IFERROR(((0+GB11+GB12+GB13+GB14+GB15)/T2),0)</f>
        <v/>
      </c>
      <c r="GL15" s="5">
        <f>IFERROR(ROUND(GB15/GD15,2),0)</f>
        <v/>
      </c>
      <c r="GM15" s="5">
        <f>IFERROR(ROUND(GB15/GE15,2),0)</f>
        <v/>
      </c>
      <c r="GN15" s="2" t="inlineStr">
        <is>
          <t>2023-09-24</t>
        </is>
      </c>
      <c r="GO15" s="5">
        <f>ROUND(0.03,2)</f>
        <v/>
      </c>
      <c r="GP15" s="3">
        <f>ROUND(307.0,2)</f>
        <v/>
      </c>
      <c r="GQ15" s="3">
        <f>ROUND(1.0,2)</f>
        <v/>
      </c>
      <c r="GR15" s="3">
        <f>ROUND(0.0,2)</f>
        <v/>
      </c>
      <c r="GS15" s="3">
        <f>ROUND(0.0,2)</f>
        <v/>
      </c>
      <c r="GT15" s="3">
        <f>ROUND(0.0,2)</f>
        <v/>
      </c>
      <c r="GU15" s="3">
        <f>ROUND(0.0,2)</f>
        <v/>
      </c>
      <c r="GV15" s="3">
        <f>ROUND(0.0,2)</f>
        <v/>
      </c>
      <c r="GW15" s="4">
        <f>IFERROR((GQ15/GP15),0)</f>
        <v/>
      </c>
      <c r="GX15" s="4">
        <f>IFERROR(((0+GO11+GO12+GO13+GO14+GO15)/T2),0)</f>
        <v/>
      </c>
      <c r="GY15" s="5">
        <f>IFERROR(ROUND(GO15/GQ15,2),0)</f>
        <v/>
      </c>
      <c r="GZ15" s="5">
        <f>IFERROR(ROUND(GO15/GR15,2),0)</f>
        <v/>
      </c>
      <c r="HA15" s="2" t="inlineStr">
        <is>
          <t>2023-09-24</t>
        </is>
      </c>
      <c r="HB15" s="5">
        <f>ROUND(1.67,2)</f>
        <v/>
      </c>
      <c r="HC15" s="3">
        <f>ROUND(1171.0,2)</f>
        <v/>
      </c>
      <c r="HD15" s="3">
        <f>ROUND(35.0,2)</f>
        <v/>
      </c>
      <c r="HE15" s="3">
        <f>ROUND(0.0,2)</f>
        <v/>
      </c>
      <c r="HF15" s="3">
        <f>ROUND(0.0,2)</f>
        <v/>
      </c>
      <c r="HG15" s="3">
        <f>ROUND(0.0,2)</f>
        <v/>
      </c>
      <c r="HH15" s="3">
        <f>ROUND(0.0,2)</f>
        <v/>
      </c>
      <c r="HI15" s="3">
        <f>ROUND(0.0,2)</f>
        <v/>
      </c>
      <c r="HJ15" s="4">
        <f>IFERROR((HD15/HC15),0)</f>
        <v/>
      </c>
      <c r="HK15" s="4">
        <f>IFERROR(((0+HB11+HB12+HB13+HB14+HB15)/T2),0)</f>
        <v/>
      </c>
      <c r="HL15" s="5">
        <f>IFERROR(ROUND(HB15/HD15,2),0)</f>
        <v/>
      </c>
      <c r="HM15" s="5">
        <f>IFERROR(ROUND(HB15/HE15,2),0)</f>
        <v/>
      </c>
      <c r="HN15" s="2" t="inlineStr">
        <is>
          <t>2023-09-24</t>
        </is>
      </c>
      <c r="HO15" s="5">
        <f>ROUND(0.03,2)</f>
        <v/>
      </c>
      <c r="HP15" s="3">
        <f>ROUND(42.0,2)</f>
        <v/>
      </c>
      <c r="HQ15" s="3">
        <f>ROUND(2.0,2)</f>
        <v/>
      </c>
      <c r="HR15" s="3">
        <f>ROUND(0.0,2)</f>
        <v/>
      </c>
      <c r="HS15" s="3">
        <f>ROUND(0.0,2)</f>
        <v/>
      </c>
      <c r="HT15" s="3">
        <f>ROUND(0.0,2)</f>
        <v/>
      </c>
      <c r="HU15" s="3">
        <f>ROUND(0.0,2)</f>
        <v/>
      </c>
      <c r="HV15" s="3">
        <f>ROUND(0.0,2)</f>
        <v/>
      </c>
      <c r="HW15" s="4">
        <f>IFERROR((HQ15/HP15),0)</f>
        <v/>
      </c>
      <c r="HX15" s="4">
        <f>IFERROR(((0+HO11+HO12+HO13+HO14+HO15)/T2),0)</f>
        <v/>
      </c>
      <c r="HY15" s="5">
        <f>IFERROR(ROUND(HO15/HQ15,2),0)</f>
        <v/>
      </c>
      <c r="HZ15" s="5">
        <f>IFERROR(ROUND(HO15/HR15,2),0)</f>
        <v/>
      </c>
      <c r="IA15" s="2" t="inlineStr">
        <is>
          <t>2023-09-24</t>
        </is>
      </c>
      <c r="IB15" s="5">
        <f>ROUND(0.91,2)</f>
        <v/>
      </c>
      <c r="IC15" s="3">
        <f>ROUND(537.0,2)</f>
        <v/>
      </c>
      <c r="ID15" s="3">
        <f>ROUND(17.0,2)</f>
        <v/>
      </c>
      <c r="IE15" s="3">
        <f>ROUND(0.0,2)</f>
        <v/>
      </c>
      <c r="IF15" s="3">
        <f>ROUND(0.0,2)</f>
        <v/>
      </c>
      <c r="IG15" s="3">
        <f>ROUND(0.0,2)</f>
        <v/>
      </c>
      <c r="IH15" s="3">
        <f>ROUND(0.0,2)</f>
        <v/>
      </c>
      <c r="II15" s="3">
        <f>ROUND(0.0,2)</f>
        <v/>
      </c>
      <c r="IJ15" s="4">
        <f>IFERROR((ID15/IC15),0)</f>
        <v/>
      </c>
      <c r="IK15" s="4">
        <f>IFERROR(((0+IB11+IB12+IB13+IB14+IB15)/T2),0)</f>
        <v/>
      </c>
      <c r="IL15" s="5">
        <f>IFERROR(ROUND(IB15/ID15,2),0)</f>
        <v/>
      </c>
      <c r="IM15" s="5">
        <f>IFERROR(ROUND(IB15/IE15,2),0)</f>
        <v/>
      </c>
      <c r="IN15" s="2" t="inlineStr">
        <is>
          <t>2023-09-24</t>
        </is>
      </c>
      <c r="IO15" s="5">
        <f>ROUND(1.37,2)</f>
        <v/>
      </c>
      <c r="IP15" s="3">
        <f>ROUND(1835.0,2)</f>
        <v/>
      </c>
      <c r="IQ15" s="3">
        <f>ROUND(23.0,2)</f>
        <v/>
      </c>
      <c r="IR15" s="3">
        <f>ROUND(0.0,2)</f>
        <v/>
      </c>
      <c r="IS15" s="3">
        <f>ROUND(0.0,2)</f>
        <v/>
      </c>
      <c r="IT15" s="3">
        <f>ROUND(0.0,2)</f>
        <v/>
      </c>
      <c r="IU15" s="3">
        <f>ROUND(0.0,2)</f>
        <v/>
      </c>
      <c r="IV15" s="3">
        <f>ROUND(0.0,2)</f>
        <v/>
      </c>
      <c r="IW15" s="4">
        <f>IFERROR((IQ15/IP15),0)</f>
        <v/>
      </c>
      <c r="IX15" s="4">
        <f>IFERROR(((0+IO11+IO12+IO13+IO14+IO15)/T2),0)</f>
        <v/>
      </c>
      <c r="IY15" s="5">
        <f>IFERROR(ROUND(IO15/IQ15,2),0)</f>
        <v/>
      </c>
      <c r="IZ15" s="5">
        <f>IFERROR(ROUND(IO15/IR15,2),0)</f>
        <v/>
      </c>
      <c r="JA15" s="2" t="inlineStr">
        <is>
          <t>2023-09-24</t>
        </is>
      </c>
      <c r="JB15" s="5">
        <f>ROUND(0.11,2)</f>
        <v/>
      </c>
      <c r="JC15" s="3">
        <f>ROUND(203.0,2)</f>
        <v/>
      </c>
      <c r="JD15" s="3">
        <f>ROUND(3.0,2)</f>
        <v/>
      </c>
      <c r="JE15" s="3">
        <f>ROUND(0.0,2)</f>
        <v/>
      </c>
      <c r="JF15" s="3">
        <f>ROUND(0.0,2)</f>
        <v/>
      </c>
      <c r="JG15" s="3">
        <f>ROUND(0.0,2)</f>
        <v/>
      </c>
      <c r="JH15" s="3">
        <f>ROUND(0.0,2)</f>
        <v/>
      </c>
      <c r="JI15" s="3">
        <f>ROUND(0.0,2)</f>
        <v/>
      </c>
      <c r="JJ15" s="4">
        <f>IFERROR((JD15/JC15),0)</f>
        <v/>
      </c>
      <c r="JK15" s="4">
        <f>IFERROR(((0+JB11+JB12+JB13+JB14+JB15)/T2),0)</f>
        <v/>
      </c>
      <c r="JL15" s="5">
        <f>IFERROR(ROUND(JB15/JD15,2),0)</f>
        <v/>
      </c>
      <c r="JM15" s="5">
        <f>IFERROR(ROUND(JB15/JE15,2),0)</f>
        <v/>
      </c>
      <c r="JN15" s="2" t="inlineStr">
        <is>
          <t>2023-09-24</t>
        </is>
      </c>
      <c r="JO15" s="5">
        <f>ROUND(0.04,2)</f>
        <v/>
      </c>
      <c r="JP15" s="3">
        <f>ROUND(51.0,2)</f>
        <v/>
      </c>
      <c r="JQ15" s="3">
        <f>ROUND(1.0,2)</f>
        <v/>
      </c>
      <c r="JR15" s="3">
        <f>ROUND(0.0,2)</f>
        <v/>
      </c>
      <c r="JS15" s="3">
        <f>ROUND(0.0,2)</f>
        <v/>
      </c>
      <c r="JT15" s="3">
        <f>ROUND(0.0,2)</f>
        <v/>
      </c>
      <c r="JU15" s="3">
        <f>ROUND(0.0,2)</f>
        <v/>
      </c>
      <c r="JV15" s="3">
        <f>ROUND(0.0,2)</f>
        <v/>
      </c>
      <c r="JW15" s="4">
        <f>IFERROR((JQ15/JP15),0)</f>
        <v/>
      </c>
      <c r="JX15" s="4">
        <f>IFERROR(((0+JO11+JO12+JO13+JO14+JO15)/T2),0)</f>
        <v/>
      </c>
      <c r="JY15" s="5">
        <f>IFERROR(ROUND(JO15/JQ15,2),0)</f>
        <v/>
      </c>
      <c r="JZ15" s="5">
        <f>IFERROR(ROUND(JO15/JR15,2),0)</f>
        <v/>
      </c>
      <c r="KA15" s="2" t="inlineStr">
        <is>
          <t>2023-09-24</t>
        </is>
      </c>
      <c r="KB15" s="5">
        <f>ROUND(0.0,2)</f>
        <v/>
      </c>
      <c r="KC15" s="3">
        <f>ROUND(12.0,2)</f>
        <v/>
      </c>
      <c r="KD15" s="3">
        <f>ROUND(0.0,2)</f>
        <v/>
      </c>
      <c r="KE15" s="3">
        <f>ROUND(0.0,2)</f>
        <v/>
      </c>
      <c r="KF15" s="3">
        <f>ROUND(0.0,2)</f>
        <v/>
      </c>
      <c r="KG15" s="3">
        <f>ROUND(0.0,2)</f>
        <v/>
      </c>
      <c r="KH15" s="3">
        <f>ROUND(0.0,2)</f>
        <v/>
      </c>
      <c r="KI15" s="3">
        <f>ROUND(0.0,2)</f>
        <v/>
      </c>
      <c r="KJ15" s="4">
        <f>IFERROR((KD15/KC15),0)</f>
        <v/>
      </c>
      <c r="KK15" s="4">
        <f>IFERROR(((0+KB11+KB12+KB13+KB14+KB15)/T2),0)</f>
        <v/>
      </c>
      <c r="KL15" s="5">
        <f>IFERROR(ROUND(KB15/KD15,2),0)</f>
        <v/>
      </c>
      <c r="KM15" s="5">
        <f>IFERROR(ROUND(KB15/KE15,2),0)</f>
        <v/>
      </c>
      <c r="KN15" s="2" t="inlineStr">
        <is>
          <t>2023-09-24</t>
        </is>
      </c>
      <c r="KO15" s="5">
        <f>ROUND(1.55,2)</f>
        <v/>
      </c>
      <c r="KP15" s="3">
        <f>ROUND(4655.0,2)</f>
        <v/>
      </c>
      <c r="KQ15" s="3">
        <f>ROUND(47.0,2)</f>
        <v/>
      </c>
      <c r="KR15" s="3">
        <f>ROUND(0.0,2)</f>
        <v/>
      </c>
      <c r="KS15" s="3">
        <f>ROUND(0.0,2)</f>
        <v/>
      </c>
      <c r="KT15" s="3">
        <f>ROUND(0.0,2)</f>
        <v/>
      </c>
      <c r="KU15" s="3">
        <f>ROUND(0.0,2)</f>
        <v/>
      </c>
      <c r="KV15" s="3">
        <f>ROUND(0.0,2)</f>
        <v/>
      </c>
      <c r="KW15" s="4">
        <f>IFERROR((KQ15/KP15),0)</f>
        <v/>
      </c>
      <c r="KX15" s="4">
        <f>IFERROR(((0+KO11+KO12+KO13+KO14+KO15)/T2),0)</f>
        <v/>
      </c>
      <c r="KY15" s="5">
        <f>IFERROR(ROUND(KO15/KQ15,2),0)</f>
        <v/>
      </c>
      <c r="KZ15" s="5">
        <f>IFERROR(ROUND(KO15/KR15,2),0)</f>
        <v/>
      </c>
      <c r="LA15" s="2" t="inlineStr">
        <is>
          <t>2023-09-24</t>
        </is>
      </c>
      <c r="LB15" s="5">
        <f>ROUND(0.43,2)</f>
        <v/>
      </c>
      <c r="LC15" s="3">
        <f>ROUND(1786.0,2)</f>
        <v/>
      </c>
      <c r="LD15" s="3">
        <f>ROUND(12.0,2)</f>
        <v/>
      </c>
      <c r="LE15" s="3">
        <f>ROUND(0.0,2)</f>
        <v/>
      </c>
      <c r="LF15" s="3">
        <f>ROUND(0.0,2)</f>
        <v/>
      </c>
      <c r="LG15" s="3">
        <f>ROUND(0.0,2)</f>
        <v/>
      </c>
      <c r="LH15" s="3">
        <f>ROUND(0.0,2)</f>
        <v/>
      </c>
      <c r="LI15" s="3">
        <f>ROUND(0.0,2)</f>
        <v/>
      </c>
      <c r="LJ15" s="4">
        <f>IFERROR((LD15/LC15),0)</f>
        <v/>
      </c>
      <c r="LK15" s="4">
        <f>IFERROR(((0+LB11+LB12+LB13+LB14+LB15)/T2),0)</f>
        <v/>
      </c>
      <c r="LL15" s="5">
        <f>IFERROR(ROUND(LB15/LD15,2),0)</f>
        <v/>
      </c>
      <c r="LM15" s="5">
        <f>IFERROR(ROUND(LB15/LE15,2),0)</f>
        <v/>
      </c>
      <c r="LN15" s="2" t="inlineStr">
        <is>
          <t>2023-09-24</t>
        </is>
      </c>
      <c r="LO15" s="5">
        <f>ROUND(0.09,2)</f>
        <v/>
      </c>
      <c r="LP15" s="3">
        <f>ROUND(200.0,2)</f>
        <v/>
      </c>
      <c r="LQ15" s="3">
        <f>ROUND(5.0,2)</f>
        <v/>
      </c>
      <c r="LR15" s="3">
        <f>ROUND(0.0,2)</f>
        <v/>
      </c>
      <c r="LS15" s="3">
        <f>ROUND(0.0,2)</f>
        <v/>
      </c>
      <c r="LT15" s="3">
        <f>ROUND(0.0,2)</f>
        <v/>
      </c>
      <c r="LU15" s="3">
        <f>ROUND(0.0,2)</f>
        <v/>
      </c>
      <c r="LV15" s="3">
        <f>ROUND(0.0,2)</f>
        <v/>
      </c>
      <c r="LW15" s="4">
        <f>IFERROR((LQ15/LP15),0)</f>
        <v/>
      </c>
      <c r="LX15" s="4">
        <f>IFERROR(((0+LO11+LO12+LO13+LO14+LO15)/T2),0)</f>
        <v/>
      </c>
      <c r="LY15" s="5">
        <f>IFERROR(ROUND(LO15/LQ15,2),0)</f>
        <v/>
      </c>
      <c r="LZ15" s="5">
        <f>IFERROR(ROUND(LO15/LR15,2),0)</f>
        <v/>
      </c>
      <c r="MA15" s="2" t="inlineStr">
        <is>
          <t>2023-09-24</t>
        </is>
      </c>
      <c r="MB15" s="5">
        <f>ROUND(0.05,2)</f>
        <v/>
      </c>
      <c r="MC15" s="3">
        <f>ROUND(216.0,2)</f>
        <v/>
      </c>
      <c r="MD15" s="3">
        <f>ROUND(3.0,2)</f>
        <v/>
      </c>
      <c r="ME15" s="3">
        <f>ROUND(0.0,2)</f>
        <v/>
      </c>
      <c r="MF15" s="3">
        <f>ROUND(0.0,2)</f>
        <v/>
      </c>
      <c r="MG15" s="3">
        <f>ROUND(0.0,2)</f>
        <v/>
      </c>
      <c r="MH15" s="3">
        <f>ROUND(0.0,2)</f>
        <v/>
      </c>
      <c r="MI15" s="3">
        <f>ROUND(0.0,2)</f>
        <v/>
      </c>
      <c r="MJ15" s="4">
        <f>IFERROR((MD15/MC15),0)</f>
        <v/>
      </c>
      <c r="MK15" s="4">
        <f>IFERROR(((0+MB11+MB12+MB13+MB14+MB15)/T2),0)</f>
        <v/>
      </c>
      <c r="ML15" s="5">
        <f>IFERROR(ROUND(MB15/MD15,2),0)</f>
        <v/>
      </c>
      <c r="MM15" s="5">
        <f>IFERROR(ROUND(MB15/ME15,2),0)</f>
        <v/>
      </c>
      <c r="MN15" s="2" t="inlineStr">
        <is>
          <t>2023-09-24</t>
        </is>
      </c>
      <c r="MO15" s="5">
        <f>ROUND(4.93,2)</f>
        <v/>
      </c>
      <c r="MP15" s="3">
        <f>ROUND(2895.0,2)</f>
        <v/>
      </c>
      <c r="MQ15" s="3">
        <f>ROUND(106.0,2)</f>
        <v/>
      </c>
      <c r="MR15" s="3">
        <f>ROUND(0.0,2)</f>
        <v/>
      </c>
      <c r="MS15" s="3">
        <f>ROUND(0.0,2)</f>
        <v/>
      </c>
      <c r="MT15" s="3">
        <f>ROUND(0.0,2)</f>
        <v/>
      </c>
      <c r="MU15" s="3">
        <f>ROUND(0.0,2)</f>
        <v/>
      </c>
      <c r="MV15" s="3">
        <f>ROUND(0.0,2)</f>
        <v/>
      </c>
      <c r="MW15" s="4">
        <f>IFERROR((MQ15/MP15),0)</f>
        <v/>
      </c>
      <c r="MX15" s="4">
        <f>IFERROR(((0+MO11+MO12+MO13+MO14+MO15)/T2),0)</f>
        <v/>
      </c>
      <c r="MY15" s="5">
        <f>IFERROR(ROUND(MO15/MQ15,2),0)</f>
        <v/>
      </c>
      <c r="MZ15" s="5">
        <f>IFERROR(ROUND(MO15/MR15,2),0)</f>
        <v/>
      </c>
      <c r="NA15" s="2" t="inlineStr">
        <is>
          <t>2023-09-24</t>
        </is>
      </c>
      <c r="NB15" s="5">
        <f>ROUND(0.08,2)</f>
        <v/>
      </c>
      <c r="NC15" s="3">
        <f>ROUND(158.0,2)</f>
        <v/>
      </c>
      <c r="ND15" s="3">
        <f>ROUND(3.0,2)</f>
        <v/>
      </c>
      <c r="NE15" s="3">
        <f>ROUND(0.0,2)</f>
        <v/>
      </c>
      <c r="NF15" s="3">
        <f>ROUND(0.0,2)</f>
        <v/>
      </c>
      <c r="NG15" s="3">
        <f>ROUND(0.0,2)</f>
        <v/>
      </c>
      <c r="NH15" s="3">
        <f>ROUND(0.0,2)</f>
        <v/>
      </c>
      <c r="NI15" s="3">
        <f>ROUND(0.0,2)</f>
        <v/>
      </c>
      <c r="NJ15" s="4">
        <f>IFERROR((ND15/NC15),0)</f>
        <v/>
      </c>
      <c r="NK15" s="4">
        <f>IFERROR(((0+NB11+NB12+NB13+NB14+NB15)/T2),0)</f>
        <v/>
      </c>
      <c r="NL15" s="5">
        <f>IFERROR(ROUND(NB15/ND15,2),0)</f>
        <v/>
      </c>
      <c r="NM15" s="5">
        <f>IFERROR(ROUND(NB15/NE15,2),0)</f>
        <v/>
      </c>
      <c r="NN15" s="2" t="inlineStr">
        <is>
          <t>2023-09-24</t>
        </is>
      </c>
      <c r="NO15" s="5">
        <f>ROUND(0.0,2)</f>
        <v/>
      </c>
      <c r="NP15" s="3">
        <f>ROUND(32.0,2)</f>
        <v/>
      </c>
      <c r="NQ15" s="3">
        <f>ROUND(0.0,2)</f>
        <v/>
      </c>
      <c r="NR15" s="3">
        <f>ROUND(0.0,2)</f>
        <v/>
      </c>
      <c r="NS15" s="3">
        <f>ROUND(0.0,2)</f>
        <v/>
      </c>
      <c r="NT15" s="3">
        <f>ROUND(0.0,2)</f>
        <v/>
      </c>
      <c r="NU15" s="3">
        <f>ROUND(0.0,2)</f>
        <v/>
      </c>
      <c r="NV15" s="3">
        <f>ROUND(0.0,2)</f>
        <v/>
      </c>
      <c r="NW15" s="4">
        <f>IFERROR((NQ15/NP15),0)</f>
        <v/>
      </c>
      <c r="NX15" s="4">
        <f>IFERROR(((0+NO11+NO12+NO13+NO14+NO15)/T2),0)</f>
        <v/>
      </c>
      <c r="NY15" s="5">
        <f>IFERROR(ROUND(NO15/NQ15,2),0)</f>
        <v/>
      </c>
      <c r="NZ15" s="5">
        <f>IFERROR(ROUND(NO15/NR15,2),0)</f>
        <v/>
      </c>
      <c r="OA15" s="2" t="inlineStr">
        <is>
          <t>2023-09-24</t>
        </is>
      </c>
      <c r="OB15" s="5">
        <f>ROUND(0.0,2)</f>
        <v/>
      </c>
      <c r="OC15" s="3">
        <f>ROUND(51.0,2)</f>
        <v/>
      </c>
      <c r="OD15" s="3">
        <f>ROUND(0.0,2)</f>
        <v/>
      </c>
      <c r="OE15" s="3">
        <f>ROUND(0.0,2)</f>
        <v/>
      </c>
      <c r="OF15" s="3">
        <f>ROUND(0.0,2)</f>
        <v/>
      </c>
      <c r="OG15" s="3">
        <f>ROUND(0.0,2)</f>
        <v/>
      </c>
      <c r="OH15" s="3">
        <f>ROUND(0.0,2)</f>
        <v/>
      </c>
      <c r="OI15" s="3">
        <f>ROUND(0.0,2)</f>
        <v/>
      </c>
      <c r="OJ15" s="4">
        <f>IFERROR((OD15/OC15),0)</f>
        <v/>
      </c>
      <c r="OK15" s="4">
        <f>IFERROR(((0+OB11+OB12+OB13+OB14+OB15)/T2),0)</f>
        <v/>
      </c>
      <c r="OL15" s="5">
        <f>IFERROR(ROUND(OB15/OD15,2),0)</f>
        <v/>
      </c>
      <c r="OM15" s="5">
        <f>IFERROR(ROUND(OB15/OE15,2),0)</f>
        <v/>
      </c>
      <c r="ON15" s="2" t="inlineStr">
        <is>
          <t>2023-09-24</t>
        </is>
      </c>
      <c r="OO15" s="5">
        <f>ROUND(0.18,2)</f>
        <v/>
      </c>
      <c r="OP15" s="3">
        <f>ROUND(701.0,2)</f>
        <v/>
      </c>
      <c r="OQ15" s="3">
        <f>ROUND(6.0,2)</f>
        <v/>
      </c>
      <c r="OR15" s="3">
        <f>ROUND(0.0,2)</f>
        <v/>
      </c>
      <c r="OS15" s="3">
        <f>ROUND(0.0,2)</f>
        <v/>
      </c>
      <c r="OT15" s="3">
        <f>ROUND(0.0,2)</f>
        <v/>
      </c>
      <c r="OU15" s="3">
        <f>ROUND(0.0,2)</f>
        <v/>
      </c>
      <c r="OV15" s="3">
        <f>ROUND(0.0,2)</f>
        <v/>
      </c>
      <c r="OW15" s="4">
        <f>IFERROR((OQ15/OP15),0)</f>
        <v/>
      </c>
      <c r="OX15" s="4">
        <f>IFERROR(((0+OO11+OO12+OO13+OO14+OO15)/T2),0)</f>
        <v/>
      </c>
      <c r="OY15" s="5">
        <f>IFERROR(ROUND(OO15/OQ15,2),0)</f>
        <v/>
      </c>
      <c r="OZ15" s="5">
        <f>IFERROR(ROUND(OO15/OR15,2),0)</f>
        <v/>
      </c>
      <c r="PA15" s="2" t="inlineStr">
        <is>
          <t>2023-09-24</t>
        </is>
      </c>
      <c r="PB15" s="5">
        <f>ROUND(0.0,2)</f>
        <v/>
      </c>
      <c r="PC15" s="3">
        <f>ROUND(101.0,2)</f>
        <v/>
      </c>
      <c r="PD15" s="3">
        <f>ROUND(0.0,2)</f>
        <v/>
      </c>
      <c r="PE15" s="3">
        <f>ROUND(0.0,2)</f>
        <v/>
      </c>
      <c r="PF15" s="3">
        <f>ROUND(0.0,2)</f>
        <v/>
      </c>
      <c r="PG15" s="3">
        <f>ROUND(0.0,2)</f>
        <v/>
      </c>
      <c r="PH15" s="3">
        <f>ROUND(0.0,2)</f>
        <v/>
      </c>
      <c r="PI15" s="3">
        <f>ROUND(0.0,2)</f>
        <v/>
      </c>
      <c r="PJ15" s="4">
        <f>IFERROR((PD15/PC15),0)</f>
        <v/>
      </c>
      <c r="PK15" s="4">
        <f>IFERROR(((0+PB11+PB12+PB13+PB14+PB15)/T2),0)</f>
        <v/>
      </c>
      <c r="PL15" s="5">
        <f>IFERROR(ROUND(PB15/PD15,2),0)</f>
        <v/>
      </c>
      <c r="PM15" s="5">
        <f>IFERROR(ROUND(PB15/PE15,2),0)</f>
        <v/>
      </c>
      <c r="PN15" s="2" t="inlineStr">
        <is>
          <t>2023-09-24</t>
        </is>
      </c>
      <c r="PO15" s="5">
        <f>ROUND(0.0,2)</f>
        <v/>
      </c>
      <c r="PP15" s="3">
        <f>ROUND(9.0,2)</f>
        <v/>
      </c>
      <c r="PQ15" s="3">
        <f>ROUND(0.0,2)</f>
        <v/>
      </c>
      <c r="PR15" s="3">
        <f>ROUND(0.0,2)</f>
        <v/>
      </c>
      <c r="PS15" s="3">
        <f>ROUND(0.0,2)</f>
        <v/>
      </c>
      <c r="PT15" s="3">
        <f>ROUND(0.0,2)</f>
        <v/>
      </c>
      <c r="PU15" s="3">
        <f>ROUND(0.0,2)</f>
        <v/>
      </c>
      <c r="PV15" s="3">
        <f>ROUND(0.0,2)</f>
        <v/>
      </c>
      <c r="PW15" s="4">
        <f>IFERROR((PQ15/PP15),0)</f>
        <v/>
      </c>
      <c r="PX15" s="4">
        <f>IFERROR(((0+PO11+PO12+PO13+PO14+PO15)/T2),0)</f>
        <v/>
      </c>
      <c r="PY15" s="5">
        <f>IFERROR(ROUND(PO15/PQ15,2),0)</f>
        <v/>
      </c>
      <c r="PZ15" s="5">
        <f>IFERROR(ROUND(PO15/PR15,2),0)</f>
        <v/>
      </c>
      <c r="QA15" s="2" t="inlineStr">
        <is>
          <t>2023-09-24</t>
        </is>
      </c>
      <c r="QB15" s="5">
        <f>ROUND(0.0,2)</f>
        <v/>
      </c>
      <c r="QC15" s="3">
        <f>ROUND(10.0,2)</f>
        <v/>
      </c>
      <c r="QD15" s="3">
        <f>ROUND(0.0,2)</f>
        <v/>
      </c>
      <c r="QE15" s="3">
        <f>ROUND(0.0,2)</f>
        <v/>
      </c>
      <c r="QF15" s="3">
        <f>ROUND(0.0,2)</f>
        <v/>
      </c>
      <c r="QG15" s="3">
        <f>ROUND(0.0,2)</f>
        <v/>
      </c>
      <c r="QH15" s="3">
        <f>ROUND(0.0,2)</f>
        <v/>
      </c>
      <c r="QI15" s="3">
        <f>ROUND(0.0,2)</f>
        <v/>
      </c>
      <c r="QJ15" s="4">
        <f>IFERROR((QD15/QC15),0)</f>
        <v/>
      </c>
      <c r="QK15" s="4">
        <f>IFERROR(((0+QB11+QB12+QB13+QB14+QB15)/T2),0)</f>
        <v/>
      </c>
      <c r="QL15" s="5">
        <f>IFERROR(ROUND(QB15/QD15,2),0)</f>
        <v/>
      </c>
      <c r="QM15" s="5">
        <f>IFERROR(ROUND(QB15/QE15,2),0)</f>
        <v/>
      </c>
      <c r="QN15" s="2" t="inlineStr">
        <is>
          <t>2023-09-24</t>
        </is>
      </c>
      <c r="QO15" s="5">
        <f>ROUND(0.01,2)</f>
        <v/>
      </c>
      <c r="QP15" s="3">
        <f>ROUND(64.0,2)</f>
        <v/>
      </c>
      <c r="QQ15" s="3">
        <f>ROUND(1.0,2)</f>
        <v/>
      </c>
      <c r="QR15" s="3">
        <f>ROUND(0.0,2)</f>
        <v/>
      </c>
      <c r="QS15" s="3">
        <f>ROUND(0.0,2)</f>
        <v/>
      </c>
      <c r="QT15" s="3">
        <f>ROUND(0.0,2)</f>
        <v/>
      </c>
      <c r="QU15" s="3">
        <f>ROUND(0.0,2)</f>
        <v/>
      </c>
      <c r="QV15" s="3">
        <f>ROUND(0.0,2)</f>
        <v/>
      </c>
      <c r="QW15" s="4">
        <f>IFERROR((QQ15/QP15),0)</f>
        <v/>
      </c>
      <c r="QX15" s="4">
        <f>IFERROR(((0+QO11+QO12+QO13+QO14+QO15)/T2),0)</f>
        <v/>
      </c>
      <c r="QY15" s="5">
        <f>IFERROR(ROUND(QO15/QQ15,2),0)</f>
        <v/>
      </c>
      <c r="QZ15" s="5">
        <f>IFERROR(ROUND(QO15/QR15,2),0)</f>
        <v/>
      </c>
      <c r="RA15" s="2" t="inlineStr">
        <is>
          <t>2023-09-24</t>
        </is>
      </c>
      <c r="RB15" s="5">
        <f>ROUND(2.83,2)</f>
        <v/>
      </c>
      <c r="RC15" s="3">
        <f>ROUND(2123.0,2)</f>
        <v/>
      </c>
      <c r="RD15" s="3">
        <f>ROUND(72.0,2)</f>
        <v/>
      </c>
      <c r="RE15" s="3">
        <f>ROUND(0.0,2)</f>
        <v/>
      </c>
      <c r="RF15" s="3">
        <f>ROUND(0.0,2)</f>
        <v/>
      </c>
      <c r="RG15" s="3">
        <f>ROUND(0.0,2)</f>
        <v/>
      </c>
      <c r="RH15" s="3">
        <f>ROUND(0.0,2)</f>
        <v/>
      </c>
      <c r="RI15" s="3">
        <f>ROUND(0.0,2)</f>
        <v/>
      </c>
      <c r="RJ15" s="4">
        <f>IFERROR((RD15/RC15),0)</f>
        <v/>
      </c>
      <c r="RK15" s="4">
        <f>IFERROR(((0+RB11+RB12+RB13+RB14+RB15)/T2),0)</f>
        <v/>
      </c>
      <c r="RL15" s="5">
        <f>IFERROR(ROUND(RB15/RD15,2),0)</f>
        <v/>
      </c>
      <c r="RM15" s="5">
        <f>IFERROR(ROUND(RB15/RE15,2),0)</f>
        <v/>
      </c>
      <c r="RN15" s="2" t="inlineStr">
        <is>
          <t>2023-09-24</t>
        </is>
      </c>
      <c r="RO15" s="5">
        <f>ROUND(0.0,2)</f>
        <v/>
      </c>
      <c r="RP15" s="3">
        <f>ROUND(34.0,2)</f>
        <v/>
      </c>
      <c r="RQ15" s="3">
        <f>ROUND(0.0,2)</f>
        <v/>
      </c>
      <c r="RR15" s="3">
        <f>ROUND(0.0,2)</f>
        <v/>
      </c>
      <c r="RS15" s="3">
        <f>ROUND(0.0,2)</f>
        <v/>
      </c>
      <c r="RT15" s="3">
        <f>ROUND(0.0,2)</f>
        <v/>
      </c>
      <c r="RU15" s="3">
        <f>ROUND(0.0,2)</f>
        <v/>
      </c>
      <c r="RV15" s="3">
        <f>ROUND(0.0,2)</f>
        <v/>
      </c>
      <c r="RW15" s="4">
        <f>IFERROR((RQ15/RP15),0)</f>
        <v/>
      </c>
      <c r="RX15" s="4">
        <f>IFERROR(((0+RO11+RO12+RO13+RO14+RO15)/T2),0)</f>
        <v/>
      </c>
      <c r="RY15" s="5">
        <f>IFERROR(ROUND(RO15/RQ15,2),0)</f>
        <v/>
      </c>
      <c r="RZ15" s="5">
        <f>IFERROR(ROUND(RO15/RR15,2),0)</f>
        <v/>
      </c>
      <c r="SA15" s="2" t="inlineStr">
        <is>
          <t>2023-09-24</t>
        </is>
      </c>
      <c r="SB15" s="5">
        <f>ROUND(0.06,2)</f>
        <v/>
      </c>
      <c r="SC15" s="3">
        <f>ROUND(723.0,2)</f>
        <v/>
      </c>
      <c r="SD15" s="3">
        <f>ROUND(3.0,2)</f>
        <v/>
      </c>
      <c r="SE15" s="3">
        <f>ROUND(0.0,2)</f>
        <v/>
      </c>
      <c r="SF15" s="3">
        <f>ROUND(0.0,2)</f>
        <v/>
      </c>
      <c r="SG15" s="3">
        <f>ROUND(0.0,2)</f>
        <v/>
      </c>
      <c r="SH15" s="3">
        <f>ROUND(0.0,2)</f>
        <v/>
      </c>
      <c r="SI15" s="3">
        <f>ROUND(0.0,2)</f>
        <v/>
      </c>
      <c r="SJ15" s="4">
        <f>IFERROR((SD15/SC15),0)</f>
        <v/>
      </c>
      <c r="SK15" s="4">
        <f>IFERROR(((0+SB11+SB12+SB13+SB14+SB15)/T2),0)</f>
        <v/>
      </c>
      <c r="SL15" s="5">
        <f>IFERROR(ROUND(SB15/SD15,2),0)</f>
        <v/>
      </c>
      <c r="SM15" s="5">
        <f>IFERROR(ROUND(SB15/SE15,2),0)</f>
        <v/>
      </c>
      <c r="SN15" s="2" t="inlineStr">
        <is>
          <t>2023-09-24</t>
        </is>
      </c>
      <c r="SO15" s="5">
        <f>ROUND(0.19,2)</f>
        <v/>
      </c>
      <c r="SP15" s="3">
        <f>ROUND(284.0,2)</f>
        <v/>
      </c>
      <c r="SQ15" s="3">
        <f>ROUND(6.0,2)</f>
        <v/>
      </c>
      <c r="SR15" s="3">
        <f>ROUND(0.0,2)</f>
        <v/>
      </c>
      <c r="SS15" s="3">
        <f>ROUND(0.0,2)</f>
        <v/>
      </c>
      <c r="ST15" s="3">
        <f>ROUND(0.0,2)</f>
        <v/>
      </c>
      <c r="SU15" s="3">
        <f>ROUND(0.0,2)</f>
        <v/>
      </c>
      <c r="SV15" s="3">
        <f>ROUND(0.0,2)</f>
        <v/>
      </c>
      <c r="SW15" s="4">
        <f>IFERROR((SQ15/SP15),0)</f>
        <v/>
      </c>
      <c r="SX15" s="4">
        <f>IFERROR(((0+SO11+SO12+SO13+SO14+SO15)/T2),0)</f>
        <v/>
      </c>
      <c r="SY15" s="5">
        <f>IFERROR(ROUND(SO15/SQ15,2),0)</f>
        <v/>
      </c>
      <c r="SZ15" s="5">
        <f>IFERROR(ROUND(SO15/SR15,2),0)</f>
        <v/>
      </c>
    </row>
    <row r="16">
      <c r="A16" s="2" t="inlineStr">
        <is>
          <t>2023-09-25</t>
        </is>
      </c>
      <c r="B16" s="5">
        <f>ROUND(39.76,2)</f>
        <v/>
      </c>
      <c r="C16" s="3">
        <f>ROUND(138660.0,2)</f>
        <v/>
      </c>
      <c r="D16" s="3">
        <f>ROUND(3276.0,2)</f>
        <v/>
      </c>
      <c r="E16" s="3">
        <f>ROUND(0.0,2)</f>
        <v/>
      </c>
      <c r="F16" s="3">
        <f>ROUND(0.0,2)</f>
        <v/>
      </c>
      <c r="G16" s="3">
        <f>ROUND(0.0,2)</f>
        <v/>
      </c>
      <c r="H16" s="3">
        <f>ROUND(0.0,2)</f>
        <v/>
      </c>
      <c r="I16" s="3">
        <f>ROUND(0.0,2)</f>
        <v/>
      </c>
      <c r="J16" s="4">
        <f>IFERROR((D16/C16),0)</f>
        <v/>
      </c>
      <c r="K16" s="4">
        <f>IFERROR(((0+B11+B12+B13+B14+B15+B16)/T2),0)</f>
        <v/>
      </c>
      <c r="L16" s="5">
        <f>IFERROR(ROUND(B16/D16,2),0)</f>
        <v/>
      </c>
      <c r="M16" s="5">
        <f>IFERROR(ROUND(B16/E16,2),0)</f>
        <v/>
      </c>
      <c r="N16" s="2" t="inlineStr">
        <is>
          <t>2023-09-25</t>
        </is>
      </c>
      <c r="O16" s="5">
        <f>ROUND(0.75,2)</f>
        <v/>
      </c>
      <c r="P16" s="3">
        <f>ROUND(1315.0,2)</f>
        <v/>
      </c>
      <c r="Q16" s="3">
        <f>ROUND(66.0,2)</f>
        <v/>
      </c>
      <c r="R16" s="3">
        <f>ROUND(0.0,2)</f>
        <v/>
      </c>
      <c r="S16" s="3">
        <f>ROUND(0.0,2)</f>
        <v/>
      </c>
      <c r="T16" s="3">
        <f>ROUND(0.0,2)</f>
        <v/>
      </c>
      <c r="U16" s="3">
        <f>ROUND(0.0,2)</f>
        <v/>
      </c>
      <c r="V16" s="3">
        <f>ROUND(0.0,2)</f>
        <v/>
      </c>
      <c r="W16" s="4">
        <f>IFERROR((Q16/P16),0)</f>
        <v/>
      </c>
      <c r="X16" s="4">
        <f>IFERROR(((0+O11+O12+O13+O14+O15+O16)/T2),0)</f>
        <v/>
      </c>
      <c r="Y16" s="5">
        <f>IFERROR(ROUND(O16/Q16,2),0)</f>
        <v/>
      </c>
      <c r="Z16" s="5">
        <f>IFERROR(ROUND(O16/R16,2),0)</f>
        <v/>
      </c>
      <c r="AA16" s="2" t="inlineStr">
        <is>
          <t>2023-09-25</t>
        </is>
      </c>
      <c r="AB16" s="5">
        <f>ROUND(0.0,2)</f>
        <v/>
      </c>
      <c r="AC16" s="3">
        <f>ROUND(179.0,2)</f>
        <v/>
      </c>
      <c r="AD16" s="3">
        <f>ROUND(0.0,2)</f>
        <v/>
      </c>
      <c r="AE16" s="3">
        <f>ROUND(0.0,2)</f>
        <v/>
      </c>
      <c r="AF16" s="3">
        <f>ROUND(0.0,2)</f>
        <v/>
      </c>
      <c r="AG16" s="3">
        <f>ROUND(0.0,2)</f>
        <v/>
      </c>
      <c r="AH16" s="3">
        <f>ROUND(0.0,2)</f>
        <v/>
      </c>
      <c r="AI16" s="3">
        <f>ROUND(0.0,2)</f>
        <v/>
      </c>
      <c r="AJ16" s="4">
        <f>IFERROR((AD16/AC16),0)</f>
        <v/>
      </c>
      <c r="AK16" s="4">
        <f>IFERROR(((0+AB11+AB12+AB13+AB14+AB15+AB16)/T2),0)</f>
        <v/>
      </c>
      <c r="AL16" s="5">
        <f>IFERROR(ROUND(AB16/AD16,2),0)</f>
        <v/>
      </c>
      <c r="AM16" s="5">
        <f>IFERROR(ROUND(AB16/AE16,2),0)</f>
        <v/>
      </c>
      <c r="AN16" s="2" t="inlineStr">
        <is>
          <t>2023-09-25</t>
        </is>
      </c>
      <c r="AO16" s="5">
        <f>ROUND(0.07,2)</f>
        <v/>
      </c>
      <c r="AP16" s="3">
        <f>ROUND(343.0,2)</f>
        <v/>
      </c>
      <c r="AQ16" s="3">
        <f>ROUND(6.0,2)</f>
        <v/>
      </c>
      <c r="AR16" s="3">
        <f>ROUND(0.0,2)</f>
        <v/>
      </c>
      <c r="AS16" s="3">
        <f>ROUND(0.0,2)</f>
        <v/>
      </c>
      <c r="AT16" s="3">
        <f>ROUND(0.0,2)</f>
        <v/>
      </c>
      <c r="AU16" s="3">
        <f>ROUND(0.0,2)</f>
        <v/>
      </c>
      <c r="AV16" s="3">
        <f>ROUND(0.0,2)</f>
        <v/>
      </c>
      <c r="AW16" s="4">
        <f>IFERROR((AQ16/AP16),0)</f>
        <v/>
      </c>
      <c r="AX16" s="4">
        <f>IFERROR(((0+AO11+AO12+AO13+AO14+AO15+AO16)/T2),0)</f>
        <v/>
      </c>
      <c r="AY16" s="5">
        <f>IFERROR(ROUND(AO16/AQ16,2),0)</f>
        <v/>
      </c>
      <c r="AZ16" s="5">
        <f>IFERROR(ROUND(AO16/AR16,2),0)</f>
        <v/>
      </c>
      <c r="BA16" s="2" t="inlineStr">
        <is>
          <t>2023-09-25</t>
        </is>
      </c>
      <c r="BB16" s="5">
        <f>ROUND(0.11,2)</f>
        <v/>
      </c>
      <c r="BC16" s="3">
        <f>ROUND(383.0,2)</f>
        <v/>
      </c>
      <c r="BD16" s="3">
        <f>ROUND(10.0,2)</f>
        <v/>
      </c>
      <c r="BE16" s="3">
        <f>ROUND(0.0,2)</f>
        <v/>
      </c>
      <c r="BF16" s="3">
        <f>ROUND(0.0,2)</f>
        <v/>
      </c>
      <c r="BG16" s="3">
        <f>ROUND(0.0,2)</f>
        <v/>
      </c>
      <c r="BH16" s="3">
        <f>ROUND(0.0,2)</f>
        <v/>
      </c>
      <c r="BI16" s="3">
        <f>ROUND(0.0,2)</f>
        <v/>
      </c>
      <c r="BJ16" s="4">
        <f>IFERROR((BD16/BC16),0)</f>
        <v/>
      </c>
      <c r="BK16" s="4">
        <f>IFERROR(((0+BB11+BB12+BB13+BB14+BB15+BB16)/T2),0)</f>
        <v/>
      </c>
      <c r="BL16" s="5">
        <f>IFERROR(ROUND(BB16/BD16,2),0)</f>
        <v/>
      </c>
      <c r="BM16" s="5">
        <f>IFERROR(ROUND(BB16/BE16,2),0)</f>
        <v/>
      </c>
      <c r="BN16" s="2" t="inlineStr">
        <is>
          <t>2023-09-25</t>
        </is>
      </c>
      <c r="BO16" s="5">
        <f>ROUND(0.03,2)</f>
        <v/>
      </c>
      <c r="BP16" s="3">
        <f>ROUND(155.0,2)</f>
        <v/>
      </c>
      <c r="BQ16" s="3">
        <f>ROUND(3.0,2)</f>
        <v/>
      </c>
      <c r="BR16" s="3">
        <f>ROUND(0.0,2)</f>
        <v/>
      </c>
      <c r="BS16" s="3">
        <f>ROUND(0.0,2)</f>
        <v/>
      </c>
      <c r="BT16" s="3">
        <f>ROUND(0.0,2)</f>
        <v/>
      </c>
      <c r="BU16" s="3">
        <f>ROUND(0.0,2)</f>
        <v/>
      </c>
      <c r="BV16" s="3">
        <f>ROUND(0.0,2)</f>
        <v/>
      </c>
      <c r="BW16" s="4">
        <f>IFERROR((BQ16/BP16),0)</f>
        <v/>
      </c>
      <c r="BX16" s="4">
        <f>IFERROR(((0+BO11+BO12+BO13+BO14+BO15+BO16)/T2),0)</f>
        <v/>
      </c>
      <c r="BY16" s="5">
        <f>IFERROR(ROUND(BO16/BQ16,2),0)</f>
        <v/>
      </c>
      <c r="BZ16" s="5">
        <f>IFERROR(ROUND(BO16/BR16,2),0)</f>
        <v/>
      </c>
      <c r="CA16" s="2" t="inlineStr">
        <is>
          <t>2023-09-25</t>
        </is>
      </c>
      <c r="CB16" s="5">
        <f>ROUND(0.06,2)</f>
        <v/>
      </c>
      <c r="CC16" s="3">
        <f>ROUND(175.0,2)</f>
        <v/>
      </c>
      <c r="CD16" s="3">
        <f>ROUND(5.0,2)</f>
        <v/>
      </c>
      <c r="CE16" s="3">
        <f>ROUND(0.0,2)</f>
        <v/>
      </c>
      <c r="CF16" s="3">
        <f>ROUND(0.0,2)</f>
        <v/>
      </c>
      <c r="CG16" s="3">
        <f>ROUND(0.0,2)</f>
        <v/>
      </c>
      <c r="CH16" s="3">
        <f>ROUND(0.0,2)</f>
        <v/>
      </c>
      <c r="CI16" s="3">
        <f>ROUND(0.0,2)</f>
        <v/>
      </c>
      <c r="CJ16" s="4">
        <f>IFERROR((CD16/CC16),0)</f>
        <v/>
      </c>
      <c r="CK16" s="4">
        <f>IFERROR(((0+CB11+CB12+CB13+CB14+CB15+CB16)/T2),0)</f>
        <v/>
      </c>
      <c r="CL16" s="5">
        <f>IFERROR(ROUND(CB16/CD16,2),0)</f>
        <v/>
      </c>
      <c r="CM16" s="5">
        <f>IFERROR(ROUND(CB16/CE16,2),0)</f>
        <v/>
      </c>
      <c r="CN16" s="2" t="inlineStr">
        <is>
          <t>2023-09-25</t>
        </is>
      </c>
      <c r="CO16" s="5">
        <f>ROUND(0.78,2)</f>
        <v/>
      </c>
      <c r="CP16" s="3">
        <f>ROUND(2914.0,2)</f>
        <v/>
      </c>
      <c r="CQ16" s="3">
        <f>ROUND(67.0,2)</f>
        <v/>
      </c>
      <c r="CR16" s="3">
        <f>ROUND(0.0,2)</f>
        <v/>
      </c>
      <c r="CS16" s="3">
        <f>ROUND(0.0,2)</f>
        <v/>
      </c>
      <c r="CT16" s="3">
        <f>ROUND(0.0,2)</f>
        <v/>
      </c>
      <c r="CU16" s="3">
        <f>ROUND(0.0,2)</f>
        <v/>
      </c>
      <c r="CV16" s="3">
        <f>ROUND(0.0,2)</f>
        <v/>
      </c>
      <c r="CW16" s="4">
        <f>IFERROR((CQ16/CP16),0)</f>
        <v/>
      </c>
      <c r="CX16" s="4">
        <f>IFERROR(((0+CO11+CO12+CO13+CO14+CO15+CO16)/T2),0)</f>
        <v/>
      </c>
      <c r="CY16" s="5">
        <f>IFERROR(ROUND(CO16/CQ16,2),0)</f>
        <v/>
      </c>
      <c r="CZ16" s="5">
        <f>IFERROR(ROUND(CO16/CR16,2),0)</f>
        <v/>
      </c>
      <c r="DA16" s="2" t="inlineStr">
        <is>
          <t>2023-09-25</t>
        </is>
      </c>
      <c r="DB16" s="5">
        <f>ROUND(1.6,2)</f>
        <v/>
      </c>
      <c r="DC16" s="3">
        <f>ROUND(9067.0,2)</f>
        <v/>
      </c>
      <c r="DD16" s="3">
        <f>ROUND(137.0,2)</f>
        <v/>
      </c>
      <c r="DE16" s="3">
        <f>ROUND(0.0,2)</f>
        <v/>
      </c>
      <c r="DF16" s="3">
        <f>ROUND(0.0,2)</f>
        <v/>
      </c>
      <c r="DG16" s="3">
        <f>ROUND(0.0,2)</f>
        <v/>
      </c>
      <c r="DH16" s="3">
        <f>ROUND(0.0,2)</f>
        <v/>
      </c>
      <c r="DI16" s="3">
        <f>ROUND(0.0,2)</f>
        <v/>
      </c>
      <c r="DJ16" s="4">
        <f>IFERROR((DD16/DC16),0)</f>
        <v/>
      </c>
      <c r="DK16" s="4">
        <f>IFERROR(((0+DB11+DB12+DB13+DB14+DB15+DB16)/T2),0)</f>
        <v/>
      </c>
      <c r="DL16" s="5">
        <f>IFERROR(ROUND(DB16/DD16,2),0)</f>
        <v/>
      </c>
      <c r="DM16" s="5">
        <f>IFERROR(ROUND(DB16/DE16,2),0)</f>
        <v/>
      </c>
      <c r="DN16" s="2" t="inlineStr">
        <is>
          <t>2023-09-25</t>
        </is>
      </c>
      <c r="DO16" s="5">
        <f>ROUND(0.01,2)</f>
        <v/>
      </c>
      <c r="DP16" s="3">
        <f>ROUND(35.0,2)</f>
        <v/>
      </c>
      <c r="DQ16" s="3">
        <f>ROUND(1.0,2)</f>
        <v/>
      </c>
      <c r="DR16" s="3">
        <f>ROUND(0.0,2)</f>
        <v/>
      </c>
      <c r="DS16" s="3">
        <f>ROUND(0.0,2)</f>
        <v/>
      </c>
      <c r="DT16" s="3">
        <f>ROUND(0.0,2)</f>
        <v/>
      </c>
      <c r="DU16" s="3">
        <f>ROUND(0.0,2)</f>
        <v/>
      </c>
      <c r="DV16" s="3">
        <f>ROUND(0.0,2)</f>
        <v/>
      </c>
      <c r="DW16" s="4">
        <f>IFERROR((DQ16/DP16),0)</f>
        <v/>
      </c>
      <c r="DX16" s="4">
        <f>IFERROR(((0+DO11+DO12+DO13+DO14+DO15+DO16)/T2),0)</f>
        <v/>
      </c>
      <c r="DY16" s="5">
        <f>IFERROR(ROUND(DO16/DQ16,2),0)</f>
        <v/>
      </c>
      <c r="DZ16" s="5">
        <f>IFERROR(ROUND(DO16/DR16,2),0)</f>
        <v/>
      </c>
      <c r="EA16" s="2" t="inlineStr">
        <is>
          <t>2023-09-25</t>
        </is>
      </c>
      <c r="EB16" s="5">
        <f>ROUND(4.11,2)</f>
        <v/>
      </c>
      <c r="EC16" s="3">
        <f>ROUND(29867.0,2)</f>
        <v/>
      </c>
      <c r="ED16" s="3">
        <f>ROUND(352.0,2)</f>
        <v/>
      </c>
      <c r="EE16" s="3">
        <f>ROUND(0.0,2)</f>
        <v/>
      </c>
      <c r="EF16" s="3">
        <f>ROUND(0.0,2)</f>
        <v/>
      </c>
      <c r="EG16" s="3">
        <f>ROUND(0.0,2)</f>
        <v/>
      </c>
      <c r="EH16" s="3">
        <f>ROUND(0.0,2)</f>
        <v/>
      </c>
      <c r="EI16" s="3">
        <f>ROUND(0.0,2)</f>
        <v/>
      </c>
      <c r="EJ16" s="4">
        <f>IFERROR((ED16/EC16),0)</f>
        <v/>
      </c>
      <c r="EK16" s="4">
        <f>IFERROR(((0+EB11+EB12+EB13+EB14+EB15+EB16)/T2),0)</f>
        <v/>
      </c>
      <c r="EL16" s="5">
        <f>IFERROR(ROUND(EB16/ED16,2),0)</f>
        <v/>
      </c>
      <c r="EM16" s="5">
        <f>IFERROR(ROUND(EB16/EE16,2),0)</f>
        <v/>
      </c>
      <c r="EN16" s="2" t="inlineStr">
        <is>
          <t>2023-09-25</t>
        </is>
      </c>
      <c r="EO16" s="5">
        <f>ROUND(0.01,2)</f>
        <v/>
      </c>
      <c r="EP16" s="3">
        <f>ROUND(83.0,2)</f>
        <v/>
      </c>
      <c r="EQ16" s="3">
        <f>ROUND(1.0,2)</f>
        <v/>
      </c>
      <c r="ER16" s="3">
        <f>ROUND(0.0,2)</f>
        <v/>
      </c>
      <c r="ES16" s="3">
        <f>ROUND(0.0,2)</f>
        <v/>
      </c>
      <c r="ET16" s="3">
        <f>ROUND(0.0,2)</f>
        <v/>
      </c>
      <c r="EU16" s="3">
        <f>ROUND(0.0,2)</f>
        <v/>
      </c>
      <c r="EV16" s="3">
        <f>ROUND(0.0,2)</f>
        <v/>
      </c>
      <c r="EW16" s="4">
        <f>IFERROR((EQ16/EP16),0)</f>
        <v/>
      </c>
      <c r="EX16" s="4">
        <f>IFERROR(((0+EO11+EO12+EO13+EO14+EO15+EO16)/T2),0)</f>
        <v/>
      </c>
      <c r="EY16" s="5">
        <f>IFERROR(ROUND(EO16/EQ16,2),0)</f>
        <v/>
      </c>
      <c r="EZ16" s="5">
        <f>IFERROR(ROUND(EO16/ER16,2),0)</f>
        <v/>
      </c>
      <c r="FA16" s="2" t="inlineStr">
        <is>
          <t>2023-09-25</t>
        </is>
      </c>
      <c r="FB16" s="5">
        <f>ROUND(1.3499999999999999,2)</f>
        <v/>
      </c>
      <c r="FC16" s="3">
        <f>ROUND(6403.0,2)</f>
        <v/>
      </c>
      <c r="FD16" s="3">
        <f>ROUND(118.0,2)</f>
        <v/>
      </c>
      <c r="FE16" s="3">
        <f>ROUND(0.0,2)</f>
        <v/>
      </c>
      <c r="FF16" s="3">
        <f>ROUND(0.0,2)</f>
        <v/>
      </c>
      <c r="FG16" s="3">
        <f>ROUND(0.0,2)</f>
        <v/>
      </c>
      <c r="FH16" s="3">
        <f>ROUND(0.0,2)</f>
        <v/>
      </c>
      <c r="FI16" s="3">
        <f>ROUND(0.0,2)</f>
        <v/>
      </c>
      <c r="FJ16" s="4">
        <f>IFERROR((FD16/FC16),0)</f>
        <v/>
      </c>
      <c r="FK16" s="4">
        <f>IFERROR(((0+FB11+FB12+FB13+FB14+FB15+FB16)/T2),0)</f>
        <v/>
      </c>
      <c r="FL16" s="5">
        <f>IFERROR(ROUND(FB16/FD16,2),0)</f>
        <v/>
      </c>
      <c r="FM16" s="5">
        <f>IFERROR(ROUND(FB16/FE16,2),0)</f>
        <v/>
      </c>
      <c r="FN16" s="2" t="inlineStr">
        <is>
          <t>2023-09-25</t>
        </is>
      </c>
      <c r="FO16" s="5">
        <f>ROUND(13.3,2)</f>
        <v/>
      </c>
      <c r="FP16" s="3">
        <f>ROUND(19737.0,2)</f>
        <v/>
      </c>
      <c r="FQ16" s="3">
        <f>ROUND(1146.0,2)</f>
        <v/>
      </c>
      <c r="FR16" s="3">
        <f>ROUND(0.0,2)</f>
        <v/>
      </c>
      <c r="FS16" s="3">
        <f>ROUND(0.0,2)</f>
        <v/>
      </c>
      <c r="FT16" s="3">
        <f>ROUND(0.0,2)</f>
        <v/>
      </c>
      <c r="FU16" s="3">
        <f>ROUND(0.0,2)</f>
        <v/>
      </c>
      <c r="FV16" s="3">
        <f>ROUND(0.0,2)</f>
        <v/>
      </c>
      <c r="FW16" s="4">
        <f>IFERROR((FQ16/FP16),0)</f>
        <v/>
      </c>
      <c r="FX16" s="4">
        <f>IFERROR(((0+FO11+FO12+FO13+FO14+FO15+FO16)/T2),0)</f>
        <v/>
      </c>
      <c r="FY16" s="5">
        <f>IFERROR(ROUND(FO16/FQ16,2),0)</f>
        <v/>
      </c>
      <c r="FZ16" s="5">
        <f>IFERROR(ROUND(FO16/FR16,2),0)</f>
        <v/>
      </c>
      <c r="GA16" s="2" t="inlineStr">
        <is>
          <t>2023-09-25</t>
        </is>
      </c>
      <c r="GB16" s="5">
        <f>ROUND(0.07,2)</f>
        <v/>
      </c>
      <c r="GC16" s="3">
        <f>ROUND(83.0,2)</f>
        <v/>
      </c>
      <c r="GD16" s="3">
        <f>ROUND(5.0,2)</f>
        <v/>
      </c>
      <c r="GE16" s="3">
        <f>ROUND(0.0,2)</f>
        <v/>
      </c>
      <c r="GF16" s="3">
        <f>ROUND(0.0,2)</f>
        <v/>
      </c>
      <c r="GG16" s="3">
        <f>ROUND(0.0,2)</f>
        <v/>
      </c>
      <c r="GH16" s="3">
        <f>ROUND(0.0,2)</f>
        <v/>
      </c>
      <c r="GI16" s="3">
        <f>ROUND(0.0,2)</f>
        <v/>
      </c>
      <c r="GJ16" s="4">
        <f>IFERROR((GD16/GC16),0)</f>
        <v/>
      </c>
      <c r="GK16" s="4">
        <f>IFERROR(((0+GB11+GB12+GB13+GB14+GB15+GB16)/T2),0)</f>
        <v/>
      </c>
      <c r="GL16" s="5">
        <f>IFERROR(ROUND(GB16/GD16,2),0)</f>
        <v/>
      </c>
      <c r="GM16" s="5">
        <f>IFERROR(ROUND(GB16/GE16,2),0)</f>
        <v/>
      </c>
      <c r="GN16" s="2" t="inlineStr">
        <is>
          <t>2023-09-25</t>
        </is>
      </c>
      <c r="GO16" s="5">
        <f>ROUND(3.4299999999999997,2)</f>
        <v/>
      </c>
      <c r="GP16" s="3">
        <f>ROUND(21552.0,2)</f>
        <v/>
      </c>
      <c r="GQ16" s="3">
        <f>ROUND(299.0,2)</f>
        <v/>
      </c>
      <c r="GR16" s="3">
        <f>ROUND(0.0,2)</f>
        <v/>
      </c>
      <c r="GS16" s="3">
        <f>ROUND(0.0,2)</f>
        <v/>
      </c>
      <c r="GT16" s="3">
        <f>ROUND(0.0,2)</f>
        <v/>
      </c>
      <c r="GU16" s="3">
        <f>ROUND(0.0,2)</f>
        <v/>
      </c>
      <c r="GV16" s="3">
        <f>ROUND(0.0,2)</f>
        <v/>
      </c>
      <c r="GW16" s="4">
        <f>IFERROR((GQ16/GP16),0)</f>
        <v/>
      </c>
      <c r="GX16" s="4">
        <f>IFERROR(((0+GO11+GO12+GO13+GO14+GO15+GO16)/T2),0)</f>
        <v/>
      </c>
      <c r="GY16" s="5">
        <f>IFERROR(ROUND(GO16/GQ16,2),0)</f>
        <v/>
      </c>
      <c r="GZ16" s="5">
        <f>IFERROR(ROUND(GO16/GR16,2),0)</f>
        <v/>
      </c>
      <c r="HA16" s="2" t="inlineStr">
        <is>
          <t>2023-09-25</t>
        </is>
      </c>
      <c r="HB16" s="5">
        <f>ROUND(1.76,2)</f>
        <v/>
      </c>
      <c r="HC16" s="3">
        <f>ROUND(3153.0,2)</f>
        <v/>
      </c>
      <c r="HD16" s="3">
        <f>ROUND(141.0,2)</f>
        <v/>
      </c>
      <c r="HE16" s="3">
        <f>ROUND(0.0,2)</f>
        <v/>
      </c>
      <c r="HF16" s="3">
        <f>ROUND(0.0,2)</f>
        <v/>
      </c>
      <c r="HG16" s="3">
        <f>ROUND(0.0,2)</f>
        <v/>
      </c>
      <c r="HH16" s="3">
        <f>ROUND(0.0,2)</f>
        <v/>
      </c>
      <c r="HI16" s="3">
        <f>ROUND(0.0,2)</f>
        <v/>
      </c>
      <c r="HJ16" s="4">
        <f>IFERROR((HD16/HC16),0)</f>
        <v/>
      </c>
      <c r="HK16" s="4">
        <f>IFERROR(((0+HB11+HB12+HB13+HB14+HB15+HB16)/T2),0)</f>
        <v/>
      </c>
      <c r="HL16" s="5">
        <f>IFERROR(ROUND(HB16/HD16,2),0)</f>
        <v/>
      </c>
      <c r="HM16" s="5">
        <f>IFERROR(ROUND(HB16/HE16,2),0)</f>
        <v/>
      </c>
      <c r="HN16" s="2" t="inlineStr">
        <is>
          <t>2023-09-25</t>
        </is>
      </c>
      <c r="HO16" s="5">
        <f>ROUND(0.1,2)</f>
        <v/>
      </c>
      <c r="HP16" s="3">
        <f>ROUND(214.0,2)</f>
        <v/>
      </c>
      <c r="HQ16" s="3">
        <f>ROUND(10.0,2)</f>
        <v/>
      </c>
      <c r="HR16" s="3">
        <f>ROUND(0.0,2)</f>
        <v/>
      </c>
      <c r="HS16" s="3">
        <f>ROUND(0.0,2)</f>
        <v/>
      </c>
      <c r="HT16" s="3">
        <f>ROUND(0.0,2)</f>
        <v/>
      </c>
      <c r="HU16" s="3">
        <f>ROUND(0.0,2)</f>
        <v/>
      </c>
      <c r="HV16" s="3">
        <f>ROUND(0.0,2)</f>
        <v/>
      </c>
      <c r="HW16" s="4">
        <f>IFERROR((HQ16/HP16),0)</f>
        <v/>
      </c>
      <c r="HX16" s="4">
        <f>IFERROR(((0+HO11+HO12+HO13+HO14+HO15+HO16)/T2),0)</f>
        <v/>
      </c>
      <c r="HY16" s="5">
        <f>IFERROR(ROUND(HO16/HQ16,2),0)</f>
        <v/>
      </c>
      <c r="HZ16" s="5">
        <f>IFERROR(ROUND(HO16/HR16,2),0)</f>
        <v/>
      </c>
      <c r="IA16" s="2" t="inlineStr">
        <is>
          <t>2023-09-25</t>
        </is>
      </c>
      <c r="IB16" s="5">
        <f>ROUND(0.53,2)</f>
        <v/>
      </c>
      <c r="IC16" s="3">
        <f>ROUND(807.0,2)</f>
        <v/>
      </c>
      <c r="ID16" s="3">
        <f>ROUND(45.0,2)</f>
        <v/>
      </c>
      <c r="IE16" s="3">
        <f>ROUND(0.0,2)</f>
        <v/>
      </c>
      <c r="IF16" s="3">
        <f>ROUND(0.0,2)</f>
        <v/>
      </c>
      <c r="IG16" s="3">
        <f>ROUND(0.0,2)</f>
        <v/>
      </c>
      <c r="IH16" s="3">
        <f>ROUND(0.0,2)</f>
        <v/>
      </c>
      <c r="II16" s="3">
        <f>ROUND(0.0,2)</f>
        <v/>
      </c>
      <c r="IJ16" s="4">
        <f>IFERROR((ID16/IC16),0)</f>
        <v/>
      </c>
      <c r="IK16" s="4">
        <f>IFERROR(((0+IB11+IB12+IB13+IB14+IB15+IB16)/T2),0)</f>
        <v/>
      </c>
      <c r="IL16" s="5">
        <f>IFERROR(ROUND(IB16/ID16,2),0)</f>
        <v/>
      </c>
      <c r="IM16" s="5">
        <f>IFERROR(ROUND(IB16/IE16,2),0)</f>
        <v/>
      </c>
      <c r="IN16" s="2" t="inlineStr">
        <is>
          <t>2023-09-25</t>
        </is>
      </c>
      <c r="IO16" s="5">
        <f>ROUND(0.68,2)</f>
        <v/>
      </c>
      <c r="IP16" s="3">
        <f>ROUND(4291.0,2)</f>
        <v/>
      </c>
      <c r="IQ16" s="3">
        <f>ROUND(59.0,2)</f>
        <v/>
      </c>
      <c r="IR16" s="3">
        <f>ROUND(0.0,2)</f>
        <v/>
      </c>
      <c r="IS16" s="3">
        <f>ROUND(0.0,2)</f>
        <v/>
      </c>
      <c r="IT16" s="3">
        <f>ROUND(0.0,2)</f>
        <v/>
      </c>
      <c r="IU16" s="3">
        <f>ROUND(0.0,2)</f>
        <v/>
      </c>
      <c r="IV16" s="3">
        <f>ROUND(0.0,2)</f>
        <v/>
      </c>
      <c r="IW16" s="4">
        <f>IFERROR((IQ16/IP16),0)</f>
        <v/>
      </c>
      <c r="IX16" s="4">
        <f>IFERROR(((0+IO11+IO12+IO13+IO14+IO15+IO16)/T2),0)</f>
        <v/>
      </c>
      <c r="IY16" s="5">
        <f>IFERROR(ROUND(IO16/IQ16,2),0)</f>
        <v/>
      </c>
      <c r="IZ16" s="5">
        <f>IFERROR(ROUND(IO16/IR16,2),0)</f>
        <v/>
      </c>
      <c r="JA16" s="2" t="inlineStr">
        <is>
          <t>2023-09-25</t>
        </is>
      </c>
      <c r="JB16" s="5">
        <f>ROUND(0.16,2)</f>
        <v/>
      </c>
      <c r="JC16" s="3">
        <f>ROUND(641.0,2)</f>
        <v/>
      </c>
      <c r="JD16" s="3">
        <f>ROUND(14.0,2)</f>
        <v/>
      </c>
      <c r="JE16" s="3">
        <f>ROUND(0.0,2)</f>
        <v/>
      </c>
      <c r="JF16" s="3">
        <f>ROUND(0.0,2)</f>
        <v/>
      </c>
      <c r="JG16" s="3">
        <f>ROUND(0.0,2)</f>
        <v/>
      </c>
      <c r="JH16" s="3">
        <f>ROUND(0.0,2)</f>
        <v/>
      </c>
      <c r="JI16" s="3">
        <f>ROUND(0.0,2)</f>
        <v/>
      </c>
      <c r="JJ16" s="4">
        <f>IFERROR((JD16/JC16),0)</f>
        <v/>
      </c>
      <c r="JK16" s="4">
        <f>IFERROR(((0+JB11+JB12+JB13+JB14+JB15+JB16)/T2),0)</f>
        <v/>
      </c>
      <c r="JL16" s="5">
        <f>IFERROR(ROUND(JB16/JD16,2),0)</f>
        <v/>
      </c>
      <c r="JM16" s="5">
        <f>IFERROR(ROUND(JB16/JE16,2),0)</f>
        <v/>
      </c>
      <c r="JN16" s="2" t="inlineStr">
        <is>
          <t>2023-09-25</t>
        </is>
      </c>
      <c r="JO16" s="5">
        <f>ROUND(0.07,2)</f>
        <v/>
      </c>
      <c r="JP16" s="3">
        <f>ROUND(160.0,2)</f>
        <v/>
      </c>
      <c r="JQ16" s="3">
        <f>ROUND(6.0,2)</f>
        <v/>
      </c>
      <c r="JR16" s="3">
        <f>ROUND(0.0,2)</f>
        <v/>
      </c>
      <c r="JS16" s="3">
        <f>ROUND(0.0,2)</f>
        <v/>
      </c>
      <c r="JT16" s="3">
        <f>ROUND(0.0,2)</f>
        <v/>
      </c>
      <c r="JU16" s="3">
        <f>ROUND(0.0,2)</f>
        <v/>
      </c>
      <c r="JV16" s="3">
        <f>ROUND(0.0,2)</f>
        <v/>
      </c>
      <c r="JW16" s="4">
        <f>IFERROR((JQ16/JP16),0)</f>
        <v/>
      </c>
      <c r="JX16" s="4">
        <f>IFERROR(((0+JO11+JO12+JO13+JO14+JO15+JO16)/T2),0)</f>
        <v/>
      </c>
      <c r="JY16" s="5">
        <f>IFERROR(ROUND(JO16/JQ16,2),0)</f>
        <v/>
      </c>
      <c r="JZ16" s="5">
        <f>IFERROR(ROUND(JO16/JR16,2),0)</f>
        <v/>
      </c>
      <c r="KA16" s="2" t="inlineStr">
        <is>
          <t>2023-09-25</t>
        </is>
      </c>
      <c r="KB16" s="5">
        <f>ROUND(0.02,2)</f>
        <v/>
      </c>
      <c r="KC16" s="3">
        <f>ROUND(24.0,2)</f>
        <v/>
      </c>
      <c r="KD16" s="3">
        <f>ROUND(1.0,2)</f>
        <v/>
      </c>
      <c r="KE16" s="3">
        <f>ROUND(0.0,2)</f>
        <v/>
      </c>
      <c r="KF16" s="3">
        <f>ROUND(0.0,2)</f>
        <v/>
      </c>
      <c r="KG16" s="3">
        <f>ROUND(0.0,2)</f>
        <v/>
      </c>
      <c r="KH16" s="3">
        <f>ROUND(0.0,2)</f>
        <v/>
      </c>
      <c r="KI16" s="3">
        <f>ROUND(0.0,2)</f>
        <v/>
      </c>
      <c r="KJ16" s="4">
        <f>IFERROR((KD16/KC16),0)</f>
        <v/>
      </c>
      <c r="KK16" s="4">
        <f>IFERROR(((0+KB11+KB12+KB13+KB14+KB15+KB16)/T2),0)</f>
        <v/>
      </c>
      <c r="KL16" s="5">
        <f>IFERROR(ROUND(KB16/KD16,2),0)</f>
        <v/>
      </c>
      <c r="KM16" s="5">
        <f>IFERROR(ROUND(KB16/KE16,2),0)</f>
        <v/>
      </c>
      <c r="KN16" s="2" t="inlineStr">
        <is>
          <t>2023-09-25</t>
        </is>
      </c>
      <c r="KO16" s="5">
        <f>ROUND(1.07,2)</f>
        <v/>
      </c>
      <c r="KP16" s="3">
        <f>ROUND(6793.0,2)</f>
        <v/>
      </c>
      <c r="KQ16" s="3">
        <f>ROUND(79.0,2)</f>
        <v/>
      </c>
      <c r="KR16" s="3">
        <f>ROUND(0.0,2)</f>
        <v/>
      </c>
      <c r="KS16" s="3">
        <f>ROUND(0.0,2)</f>
        <v/>
      </c>
      <c r="KT16" s="3">
        <f>ROUND(0.0,2)</f>
        <v/>
      </c>
      <c r="KU16" s="3">
        <f>ROUND(0.0,2)</f>
        <v/>
      </c>
      <c r="KV16" s="3">
        <f>ROUND(0.0,2)</f>
        <v/>
      </c>
      <c r="KW16" s="4">
        <f>IFERROR((KQ16/KP16),0)</f>
        <v/>
      </c>
      <c r="KX16" s="4">
        <f>IFERROR(((0+KO11+KO12+KO13+KO14+KO15+KO16)/T2),0)</f>
        <v/>
      </c>
      <c r="KY16" s="5">
        <f>IFERROR(ROUND(KO16/KQ16,2),0)</f>
        <v/>
      </c>
      <c r="KZ16" s="5">
        <f>IFERROR(ROUND(KO16/KR16,2),0)</f>
        <v/>
      </c>
      <c r="LA16" s="2" t="inlineStr">
        <is>
          <t>2023-09-25</t>
        </is>
      </c>
      <c r="LB16" s="5">
        <f>ROUND(1.1700000000000002,2)</f>
        <v/>
      </c>
      <c r="LC16" s="3">
        <f>ROUND(8078.0,2)</f>
        <v/>
      </c>
      <c r="LD16" s="3">
        <f>ROUND(85.0,2)</f>
        <v/>
      </c>
      <c r="LE16" s="3">
        <f>ROUND(0.0,2)</f>
        <v/>
      </c>
      <c r="LF16" s="3">
        <f>ROUND(0.0,2)</f>
        <v/>
      </c>
      <c r="LG16" s="3">
        <f>ROUND(0.0,2)</f>
        <v/>
      </c>
      <c r="LH16" s="3">
        <f>ROUND(0.0,2)</f>
        <v/>
      </c>
      <c r="LI16" s="3">
        <f>ROUND(0.0,2)</f>
        <v/>
      </c>
      <c r="LJ16" s="4">
        <f>IFERROR((LD16/LC16),0)</f>
        <v/>
      </c>
      <c r="LK16" s="4">
        <f>IFERROR(((0+LB11+LB12+LB13+LB14+LB15+LB16)/T2),0)</f>
        <v/>
      </c>
      <c r="LL16" s="5">
        <f>IFERROR(ROUND(LB16/LD16,2),0)</f>
        <v/>
      </c>
      <c r="LM16" s="5">
        <f>IFERROR(ROUND(LB16/LE16,2),0)</f>
        <v/>
      </c>
      <c r="LN16" s="2" t="inlineStr">
        <is>
          <t>2023-09-25</t>
        </is>
      </c>
      <c r="LO16" s="5">
        <f>ROUND(0.33,2)</f>
        <v/>
      </c>
      <c r="LP16" s="3">
        <f>ROUND(559.0,2)</f>
        <v/>
      </c>
      <c r="LQ16" s="3">
        <f>ROUND(25.0,2)</f>
        <v/>
      </c>
      <c r="LR16" s="3">
        <f>ROUND(0.0,2)</f>
        <v/>
      </c>
      <c r="LS16" s="3">
        <f>ROUND(0.0,2)</f>
        <v/>
      </c>
      <c r="LT16" s="3">
        <f>ROUND(0.0,2)</f>
        <v/>
      </c>
      <c r="LU16" s="3">
        <f>ROUND(0.0,2)</f>
        <v/>
      </c>
      <c r="LV16" s="3">
        <f>ROUND(0.0,2)</f>
        <v/>
      </c>
      <c r="LW16" s="4">
        <f>IFERROR((LQ16/LP16),0)</f>
        <v/>
      </c>
      <c r="LX16" s="4">
        <f>IFERROR(((0+LO11+LO12+LO13+LO14+LO15+LO16)/T2),0)</f>
        <v/>
      </c>
      <c r="LY16" s="5">
        <f>IFERROR(ROUND(LO16/LQ16,2),0)</f>
        <v/>
      </c>
      <c r="LZ16" s="5">
        <f>IFERROR(ROUND(LO16/LR16,2),0)</f>
        <v/>
      </c>
      <c r="MA16" s="2" t="inlineStr">
        <is>
          <t>2023-09-25</t>
        </is>
      </c>
      <c r="MB16" s="5">
        <f>ROUND(0.16999999999999998,2)</f>
        <v/>
      </c>
      <c r="MC16" s="3">
        <f>ROUND(885.0,2)</f>
        <v/>
      </c>
      <c r="MD16" s="3">
        <f>ROUND(13.0,2)</f>
        <v/>
      </c>
      <c r="ME16" s="3">
        <f>ROUND(0.0,2)</f>
        <v/>
      </c>
      <c r="MF16" s="3">
        <f>ROUND(0.0,2)</f>
        <v/>
      </c>
      <c r="MG16" s="3">
        <f>ROUND(0.0,2)</f>
        <v/>
      </c>
      <c r="MH16" s="3">
        <f>ROUND(0.0,2)</f>
        <v/>
      </c>
      <c r="MI16" s="3">
        <f>ROUND(0.0,2)</f>
        <v/>
      </c>
      <c r="MJ16" s="4">
        <f>IFERROR((MD16/MC16),0)</f>
        <v/>
      </c>
      <c r="MK16" s="4">
        <f>IFERROR(((0+MB11+MB12+MB13+MB14+MB15+MB16)/T2),0)</f>
        <v/>
      </c>
      <c r="ML16" s="5">
        <f>IFERROR(ROUND(MB16/MD16,2),0)</f>
        <v/>
      </c>
      <c r="MM16" s="5">
        <f>IFERROR(ROUND(MB16/ME16,2),0)</f>
        <v/>
      </c>
      <c r="MN16" s="2" t="inlineStr">
        <is>
          <t>2023-09-25</t>
        </is>
      </c>
      <c r="MO16" s="5">
        <f>ROUND(4.779999999999999,2)</f>
        <v/>
      </c>
      <c r="MP16" s="3">
        <f>ROUND(6003.0,2)</f>
        <v/>
      </c>
      <c r="MQ16" s="3">
        <f>ROUND(333.0,2)</f>
        <v/>
      </c>
      <c r="MR16" s="3">
        <f>ROUND(0.0,2)</f>
        <v/>
      </c>
      <c r="MS16" s="3">
        <f>ROUND(0.0,2)</f>
        <v/>
      </c>
      <c r="MT16" s="3">
        <f>ROUND(0.0,2)</f>
        <v/>
      </c>
      <c r="MU16" s="3">
        <f>ROUND(0.0,2)</f>
        <v/>
      </c>
      <c r="MV16" s="3">
        <f>ROUND(0.0,2)</f>
        <v/>
      </c>
      <c r="MW16" s="4">
        <f>IFERROR((MQ16/MP16),0)</f>
        <v/>
      </c>
      <c r="MX16" s="4">
        <f>IFERROR(((0+MO11+MO12+MO13+MO14+MO15+MO16)/T2),0)</f>
        <v/>
      </c>
      <c r="MY16" s="5">
        <f>IFERROR(ROUND(MO16/MQ16,2),0)</f>
        <v/>
      </c>
      <c r="MZ16" s="5">
        <f>IFERROR(ROUND(MO16/MR16,2),0)</f>
        <v/>
      </c>
      <c r="NA16" s="2" t="inlineStr">
        <is>
          <t>2023-09-25</t>
        </is>
      </c>
      <c r="NB16" s="5">
        <f>ROUND(0.19,2)</f>
        <v/>
      </c>
      <c r="NC16" s="3">
        <f>ROUND(1460.0,2)</f>
        <v/>
      </c>
      <c r="ND16" s="3">
        <f>ROUND(14.0,2)</f>
        <v/>
      </c>
      <c r="NE16" s="3">
        <f>ROUND(0.0,2)</f>
        <v/>
      </c>
      <c r="NF16" s="3">
        <f>ROUND(0.0,2)</f>
        <v/>
      </c>
      <c r="NG16" s="3">
        <f>ROUND(0.0,2)</f>
        <v/>
      </c>
      <c r="NH16" s="3">
        <f>ROUND(0.0,2)</f>
        <v/>
      </c>
      <c r="NI16" s="3">
        <f>ROUND(0.0,2)</f>
        <v/>
      </c>
      <c r="NJ16" s="4">
        <f>IFERROR((ND16/NC16),0)</f>
        <v/>
      </c>
      <c r="NK16" s="4">
        <f>IFERROR(((0+NB11+NB12+NB13+NB14+NB15+NB16)/T2),0)</f>
        <v/>
      </c>
      <c r="NL16" s="5">
        <f>IFERROR(ROUND(NB16/ND16,2),0)</f>
        <v/>
      </c>
      <c r="NM16" s="5">
        <f>IFERROR(ROUND(NB16/NE16,2),0)</f>
        <v/>
      </c>
      <c r="NN16" s="2" t="inlineStr">
        <is>
          <t>2023-09-25</t>
        </is>
      </c>
      <c r="NO16" s="5">
        <f>ROUND(0.01,2)</f>
        <v/>
      </c>
      <c r="NP16" s="3">
        <f>ROUND(94.0,2)</f>
        <v/>
      </c>
      <c r="NQ16" s="3">
        <f>ROUND(1.0,2)</f>
        <v/>
      </c>
      <c r="NR16" s="3">
        <f>ROUND(0.0,2)</f>
        <v/>
      </c>
      <c r="NS16" s="3">
        <f>ROUND(0.0,2)</f>
        <v/>
      </c>
      <c r="NT16" s="3">
        <f>ROUND(0.0,2)</f>
        <v/>
      </c>
      <c r="NU16" s="3">
        <f>ROUND(0.0,2)</f>
        <v/>
      </c>
      <c r="NV16" s="3">
        <f>ROUND(0.0,2)</f>
        <v/>
      </c>
      <c r="NW16" s="4">
        <f>IFERROR((NQ16/NP16),0)</f>
        <v/>
      </c>
      <c r="NX16" s="4">
        <f>IFERROR(((0+NO11+NO12+NO13+NO14+NO15+NO16)/T2),0)</f>
        <v/>
      </c>
      <c r="NY16" s="5">
        <f>IFERROR(ROUND(NO16/NQ16,2),0)</f>
        <v/>
      </c>
      <c r="NZ16" s="5">
        <f>IFERROR(ROUND(NO16/NR16,2),0)</f>
        <v/>
      </c>
      <c r="OA16" s="2" t="inlineStr">
        <is>
          <t>2023-09-25</t>
        </is>
      </c>
      <c r="OB16" s="5">
        <f>ROUND(0.04,2)</f>
        <v/>
      </c>
      <c r="OC16" s="3">
        <f>ROUND(175.0,2)</f>
        <v/>
      </c>
      <c r="OD16" s="3">
        <f>ROUND(3.0,2)</f>
        <v/>
      </c>
      <c r="OE16" s="3">
        <f>ROUND(0.0,2)</f>
        <v/>
      </c>
      <c r="OF16" s="3">
        <f>ROUND(0.0,2)</f>
        <v/>
      </c>
      <c r="OG16" s="3">
        <f>ROUND(0.0,2)</f>
        <v/>
      </c>
      <c r="OH16" s="3">
        <f>ROUND(0.0,2)</f>
        <v/>
      </c>
      <c r="OI16" s="3">
        <f>ROUND(0.0,2)</f>
        <v/>
      </c>
      <c r="OJ16" s="4">
        <f>IFERROR((OD16/OC16),0)</f>
        <v/>
      </c>
      <c r="OK16" s="4">
        <f>IFERROR(((0+OB11+OB12+OB13+OB14+OB15+OB16)/T2),0)</f>
        <v/>
      </c>
      <c r="OL16" s="5">
        <f>IFERROR(ROUND(OB16/OD16,2),0)</f>
        <v/>
      </c>
      <c r="OM16" s="5">
        <f>IFERROR(ROUND(OB16/OE16,2),0)</f>
        <v/>
      </c>
      <c r="ON16" s="2" t="inlineStr">
        <is>
          <t>2023-09-25</t>
        </is>
      </c>
      <c r="OO16" s="5">
        <f>ROUND(0.29,2)</f>
        <v/>
      </c>
      <c r="OP16" s="3">
        <f>ROUND(2112.0,2)</f>
        <v/>
      </c>
      <c r="OQ16" s="3">
        <f>ROUND(26.0,2)</f>
        <v/>
      </c>
      <c r="OR16" s="3">
        <f>ROUND(0.0,2)</f>
        <v/>
      </c>
      <c r="OS16" s="3">
        <f>ROUND(0.0,2)</f>
        <v/>
      </c>
      <c r="OT16" s="3">
        <f>ROUND(0.0,2)</f>
        <v/>
      </c>
      <c r="OU16" s="3">
        <f>ROUND(0.0,2)</f>
        <v/>
      </c>
      <c r="OV16" s="3">
        <f>ROUND(0.0,2)</f>
        <v/>
      </c>
      <c r="OW16" s="4">
        <f>IFERROR((OQ16/OP16),0)</f>
        <v/>
      </c>
      <c r="OX16" s="4">
        <f>IFERROR(((0+OO11+OO12+OO13+OO14+OO15+OO16)/T2),0)</f>
        <v/>
      </c>
      <c r="OY16" s="5">
        <f>IFERROR(ROUND(OO16/OQ16,2),0)</f>
        <v/>
      </c>
      <c r="OZ16" s="5">
        <f>IFERROR(ROUND(OO16/OR16,2),0)</f>
        <v/>
      </c>
      <c r="PA16" s="2" t="inlineStr">
        <is>
          <t>2023-09-25</t>
        </is>
      </c>
      <c r="PB16" s="5">
        <f>ROUND(0.0,2)</f>
        <v/>
      </c>
      <c r="PC16" s="3">
        <f>ROUND(52.0,2)</f>
        <v/>
      </c>
      <c r="PD16" s="3">
        <f>ROUND(0.0,2)</f>
        <v/>
      </c>
      <c r="PE16" s="3">
        <f>ROUND(0.0,2)</f>
        <v/>
      </c>
      <c r="PF16" s="3">
        <f>ROUND(0.0,2)</f>
        <v/>
      </c>
      <c r="PG16" s="3">
        <f>ROUND(0.0,2)</f>
        <v/>
      </c>
      <c r="PH16" s="3">
        <f>ROUND(0.0,2)</f>
        <v/>
      </c>
      <c r="PI16" s="3">
        <f>ROUND(0.0,2)</f>
        <v/>
      </c>
      <c r="PJ16" s="4">
        <f>IFERROR((PD16/PC16),0)</f>
        <v/>
      </c>
      <c r="PK16" s="4">
        <f>IFERROR(((0+PB11+PB12+PB13+PB14+PB15+PB16)/T2),0)</f>
        <v/>
      </c>
      <c r="PL16" s="5">
        <f>IFERROR(ROUND(PB16/PD16,2),0)</f>
        <v/>
      </c>
      <c r="PM16" s="5">
        <f>IFERROR(ROUND(PB16/PE16,2),0)</f>
        <v/>
      </c>
      <c r="PN16" s="2" t="inlineStr">
        <is>
          <t>2023-09-25</t>
        </is>
      </c>
      <c r="PO16" s="5">
        <f>ROUND(0.0,2)</f>
        <v/>
      </c>
      <c r="PP16" s="3">
        <f>ROUND(32.0,2)</f>
        <v/>
      </c>
      <c r="PQ16" s="3">
        <f>ROUND(0.0,2)</f>
        <v/>
      </c>
      <c r="PR16" s="3">
        <f>ROUND(0.0,2)</f>
        <v/>
      </c>
      <c r="PS16" s="3">
        <f>ROUND(0.0,2)</f>
        <v/>
      </c>
      <c r="PT16" s="3">
        <f>ROUND(0.0,2)</f>
        <v/>
      </c>
      <c r="PU16" s="3">
        <f>ROUND(0.0,2)</f>
        <v/>
      </c>
      <c r="PV16" s="3">
        <f>ROUND(0.0,2)</f>
        <v/>
      </c>
      <c r="PW16" s="4">
        <f>IFERROR((PQ16/PP16),0)</f>
        <v/>
      </c>
      <c r="PX16" s="4">
        <f>IFERROR(((0+PO11+PO12+PO13+PO14+PO15+PO16)/T2),0)</f>
        <v/>
      </c>
      <c r="PY16" s="5">
        <f>IFERROR(ROUND(PO16/PQ16,2),0)</f>
        <v/>
      </c>
      <c r="PZ16" s="5">
        <f>IFERROR(ROUND(PO16/PR16,2),0)</f>
        <v/>
      </c>
      <c r="QA16" s="2" t="inlineStr">
        <is>
          <t>2023-09-25</t>
        </is>
      </c>
      <c r="QB16" s="5">
        <f>ROUND(0.01,2)</f>
        <v/>
      </c>
      <c r="QC16" s="3">
        <f>ROUND(44.0,2)</f>
        <v/>
      </c>
      <c r="QD16" s="3">
        <f>ROUND(1.0,2)</f>
        <v/>
      </c>
      <c r="QE16" s="3">
        <f>ROUND(0.0,2)</f>
        <v/>
      </c>
      <c r="QF16" s="3">
        <f>ROUND(0.0,2)</f>
        <v/>
      </c>
      <c r="QG16" s="3">
        <f>ROUND(0.0,2)</f>
        <v/>
      </c>
      <c r="QH16" s="3">
        <f>ROUND(0.0,2)</f>
        <v/>
      </c>
      <c r="QI16" s="3">
        <f>ROUND(0.0,2)</f>
        <v/>
      </c>
      <c r="QJ16" s="4">
        <f>IFERROR((QD16/QC16),0)</f>
        <v/>
      </c>
      <c r="QK16" s="4">
        <f>IFERROR(((0+QB11+QB12+QB13+QB14+QB15+QB16)/T2),0)</f>
        <v/>
      </c>
      <c r="QL16" s="5">
        <f>IFERROR(ROUND(QB16/QD16,2),0)</f>
        <v/>
      </c>
      <c r="QM16" s="5">
        <f>IFERROR(ROUND(QB16/QE16,2),0)</f>
        <v/>
      </c>
      <c r="QN16" s="2" t="inlineStr">
        <is>
          <t>2023-09-25</t>
        </is>
      </c>
      <c r="QO16" s="5">
        <f>ROUND(0.12000000000000001,2)</f>
        <v/>
      </c>
      <c r="QP16" s="3">
        <f>ROUND(539.0,2)</f>
        <v/>
      </c>
      <c r="QQ16" s="3">
        <f>ROUND(7.0,2)</f>
        <v/>
      </c>
      <c r="QR16" s="3">
        <f>ROUND(0.0,2)</f>
        <v/>
      </c>
      <c r="QS16" s="3">
        <f>ROUND(0.0,2)</f>
        <v/>
      </c>
      <c r="QT16" s="3">
        <f>ROUND(0.0,2)</f>
        <v/>
      </c>
      <c r="QU16" s="3">
        <f>ROUND(0.0,2)</f>
        <v/>
      </c>
      <c r="QV16" s="3">
        <f>ROUND(0.0,2)</f>
        <v/>
      </c>
      <c r="QW16" s="4">
        <f>IFERROR((QQ16/QP16),0)</f>
        <v/>
      </c>
      <c r="QX16" s="4">
        <f>IFERROR(((0+QO11+QO12+QO13+QO14+QO15+QO16)/T2),0)</f>
        <v/>
      </c>
      <c r="QY16" s="5">
        <f>IFERROR(ROUND(QO16/QQ16,2),0)</f>
        <v/>
      </c>
      <c r="QZ16" s="5">
        <f>IFERROR(ROUND(QO16/QR16,2),0)</f>
        <v/>
      </c>
      <c r="RA16" s="2" t="inlineStr">
        <is>
          <t>2023-09-25</t>
        </is>
      </c>
      <c r="RB16" s="5">
        <f>ROUND(1.3800000000000001,2)</f>
        <v/>
      </c>
      <c r="RC16" s="3">
        <f>ROUND(2676.0,2)</f>
        <v/>
      </c>
      <c r="RD16" s="3">
        <f>ROUND(108.0,2)</f>
        <v/>
      </c>
      <c r="RE16" s="3">
        <f>ROUND(0.0,2)</f>
        <v/>
      </c>
      <c r="RF16" s="3">
        <f>ROUND(0.0,2)</f>
        <v/>
      </c>
      <c r="RG16" s="3">
        <f>ROUND(0.0,2)</f>
        <v/>
      </c>
      <c r="RH16" s="3">
        <f>ROUND(0.0,2)</f>
        <v/>
      </c>
      <c r="RI16" s="3">
        <f>ROUND(0.0,2)</f>
        <v/>
      </c>
      <c r="RJ16" s="4">
        <f>IFERROR((RD16/RC16),0)</f>
        <v/>
      </c>
      <c r="RK16" s="4">
        <f>IFERROR(((0+RB11+RB12+RB13+RB14+RB15+RB16)/T2),0)</f>
        <v/>
      </c>
      <c r="RL16" s="5">
        <f>IFERROR(ROUND(RB16/RD16,2),0)</f>
        <v/>
      </c>
      <c r="RM16" s="5">
        <f>IFERROR(ROUND(RB16/RE16,2),0)</f>
        <v/>
      </c>
      <c r="RN16" s="2" t="inlineStr">
        <is>
          <t>2023-09-25</t>
        </is>
      </c>
      <c r="RO16" s="5">
        <f>ROUND(0.13,2)</f>
        <v/>
      </c>
      <c r="RP16" s="3">
        <f>ROUND(158.0,2)</f>
        <v/>
      </c>
      <c r="RQ16" s="3">
        <f>ROUND(11.0,2)</f>
        <v/>
      </c>
      <c r="RR16" s="3">
        <f>ROUND(0.0,2)</f>
        <v/>
      </c>
      <c r="RS16" s="3">
        <f>ROUND(0.0,2)</f>
        <v/>
      </c>
      <c r="RT16" s="3">
        <f>ROUND(0.0,2)</f>
        <v/>
      </c>
      <c r="RU16" s="3">
        <f>ROUND(0.0,2)</f>
        <v/>
      </c>
      <c r="RV16" s="3">
        <f>ROUND(0.0,2)</f>
        <v/>
      </c>
      <c r="RW16" s="4">
        <f>IFERROR((RQ16/RP16),0)</f>
        <v/>
      </c>
      <c r="RX16" s="4">
        <f>IFERROR(((0+RO11+RO12+RO13+RO14+RO15+RO16)/T2),0)</f>
        <v/>
      </c>
      <c r="RY16" s="5">
        <f>IFERROR(ROUND(RO16/RQ16,2),0)</f>
        <v/>
      </c>
      <c r="RZ16" s="5">
        <f>IFERROR(ROUND(RO16/RR16,2),0)</f>
        <v/>
      </c>
      <c r="SA16" s="2" t="inlineStr">
        <is>
          <t>2023-09-25</t>
        </is>
      </c>
      <c r="SB16" s="5">
        <f>ROUND(0.67,2)</f>
        <v/>
      </c>
      <c r="SC16" s="3">
        <f>ROUND(5352.0,2)</f>
        <v/>
      </c>
      <c r="SD16" s="3">
        <f>ROUND(49.0,2)</f>
        <v/>
      </c>
      <c r="SE16" s="3">
        <f>ROUND(0.0,2)</f>
        <v/>
      </c>
      <c r="SF16" s="3">
        <f>ROUND(0.0,2)</f>
        <v/>
      </c>
      <c r="SG16" s="3">
        <f>ROUND(0.0,2)</f>
        <v/>
      </c>
      <c r="SH16" s="3">
        <f>ROUND(0.0,2)</f>
        <v/>
      </c>
      <c r="SI16" s="3">
        <f>ROUND(0.0,2)</f>
        <v/>
      </c>
      <c r="SJ16" s="4">
        <f>IFERROR((SD16/SC16),0)</f>
        <v/>
      </c>
      <c r="SK16" s="4">
        <f>IFERROR(((0+SB11+SB12+SB13+SB14+SB15+SB16)/T2),0)</f>
        <v/>
      </c>
      <c r="SL16" s="5">
        <f>IFERROR(ROUND(SB16/SD16,2),0)</f>
        <v/>
      </c>
      <c r="SM16" s="5">
        <f>IFERROR(ROUND(SB16/SE16,2),0)</f>
        <v/>
      </c>
      <c r="SN16" s="2" t="inlineStr">
        <is>
          <t>2023-09-25</t>
        </is>
      </c>
      <c r="SO16" s="5">
        <f>ROUND(0.4,2)</f>
        <v/>
      </c>
      <c r="SP16" s="3">
        <f>ROUND(2067.0,2)</f>
        <v/>
      </c>
      <c r="SQ16" s="3">
        <f>ROUND(29.0,2)</f>
        <v/>
      </c>
      <c r="SR16" s="3">
        <f>ROUND(0.0,2)</f>
        <v/>
      </c>
      <c r="SS16" s="3">
        <f>ROUND(0.0,2)</f>
        <v/>
      </c>
      <c r="ST16" s="3">
        <f>ROUND(0.0,2)</f>
        <v/>
      </c>
      <c r="SU16" s="3">
        <f>ROUND(0.0,2)</f>
        <v/>
      </c>
      <c r="SV16" s="3">
        <f>ROUND(0.0,2)</f>
        <v/>
      </c>
      <c r="SW16" s="4">
        <f>IFERROR((SQ16/SP16),0)</f>
        <v/>
      </c>
      <c r="SX16" s="4">
        <f>IFERROR(((0+SO11+SO12+SO13+SO14+SO15+SO16)/T2),0)</f>
        <v/>
      </c>
      <c r="SY16" s="5">
        <f>IFERROR(ROUND(SO16/SQ16,2),0)</f>
        <v/>
      </c>
      <c r="SZ16" s="5">
        <f>IFERROR(ROUND(SO16/SR16,2),0)</f>
        <v/>
      </c>
    </row>
    <row r="17">
      <c r="A17" s="2" t="inlineStr">
        <is>
          <t>2023-09-26</t>
        </is>
      </c>
      <c r="B17" s="5">
        <f>ROUND(39.730000000000004,2)</f>
        <v/>
      </c>
      <c r="C17" s="3">
        <f>ROUND(143351.0,2)</f>
        <v/>
      </c>
      <c r="D17" s="3">
        <f>ROUND(3933.0,2)</f>
        <v/>
      </c>
      <c r="E17" s="3">
        <f>ROUND(0.0,2)</f>
        <v/>
      </c>
      <c r="F17" s="3">
        <f>ROUND(0.0,2)</f>
        <v/>
      </c>
      <c r="G17" s="3">
        <f>ROUND(0.0,2)</f>
        <v/>
      </c>
      <c r="H17" s="3">
        <f>ROUND(0.0,2)</f>
        <v/>
      </c>
      <c r="I17" s="3">
        <f>ROUND(0.0,2)</f>
        <v/>
      </c>
      <c r="J17" s="4">
        <f>IFERROR((D17/C17),0)</f>
        <v/>
      </c>
      <c r="K17" s="4">
        <f>IFERROR(((0+B11+B12+B13+B14+B15+B16+B17)/T2),0)</f>
        <v/>
      </c>
      <c r="L17" s="5">
        <f>IFERROR(ROUND(B17/D17,2),0)</f>
        <v/>
      </c>
      <c r="M17" s="5">
        <f>IFERROR(ROUND(B17/E17,2),0)</f>
        <v/>
      </c>
      <c r="N17" s="2" t="inlineStr">
        <is>
          <t>2023-09-26</t>
        </is>
      </c>
      <c r="O17" s="5">
        <f>ROUND(0.74,2)</f>
        <v/>
      </c>
      <c r="P17" s="3">
        <f>ROUND(1464.0,2)</f>
        <v/>
      </c>
      <c r="Q17" s="3">
        <f>ROUND(74.0,2)</f>
        <v/>
      </c>
      <c r="R17" s="3">
        <f>ROUND(0.0,2)</f>
        <v/>
      </c>
      <c r="S17" s="3">
        <f>ROUND(0.0,2)</f>
        <v/>
      </c>
      <c r="T17" s="3">
        <f>ROUND(0.0,2)</f>
        <v/>
      </c>
      <c r="U17" s="3">
        <f>ROUND(0.0,2)</f>
        <v/>
      </c>
      <c r="V17" s="3">
        <f>ROUND(0.0,2)</f>
        <v/>
      </c>
      <c r="W17" s="4">
        <f>IFERROR((Q17/P17),0)</f>
        <v/>
      </c>
      <c r="X17" s="4">
        <f>IFERROR(((0+O11+O12+O13+O14+O15+O16+O17)/T2),0)</f>
        <v/>
      </c>
      <c r="Y17" s="5">
        <f>IFERROR(ROUND(O17/Q17,2),0)</f>
        <v/>
      </c>
      <c r="Z17" s="5">
        <f>IFERROR(ROUND(O17/R17,2),0)</f>
        <v/>
      </c>
      <c r="AA17" s="2" t="inlineStr">
        <is>
          <t>2023-09-26</t>
        </is>
      </c>
      <c r="AB17" s="5">
        <f>ROUND(0.0,2)</f>
        <v/>
      </c>
      <c r="AC17" s="3">
        <f>ROUND(51.0,2)</f>
        <v/>
      </c>
      <c r="AD17" s="3">
        <f>ROUND(0.0,2)</f>
        <v/>
      </c>
      <c r="AE17" s="3">
        <f>ROUND(0.0,2)</f>
        <v/>
      </c>
      <c r="AF17" s="3">
        <f>ROUND(0.0,2)</f>
        <v/>
      </c>
      <c r="AG17" s="3">
        <f>ROUND(0.0,2)</f>
        <v/>
      </c>
      <c r="AH17" s="3">
        <f>ROUND(0.0,2)</f>
        <v/>
      </c>
      <c r="AI17" s="3">
        <f>ROUND(0.0,2)</f>
        <v/>
      </c>
      <c r="AJ17" s="4">
        <f>IFERROR((AD17/AC17),0)</f>
        <v/>
      </c>
      <c r="AK17" s="4">
        <f>IFERROR(((0+AB11+AB12+AB13+AB14+AB15+AB16+AB17)/T2),0)</f>
        <v/>
      </c>
      <c r="AL17" s="5">
        <f>IFERROR(ROUND(AB17/AD17,2),0)</f>
        <v/>
      </c>
      <c r="AM17" s="5">
        <f>IFERROR(ROUND(AB17/AE17,2),0)</f>
        <v/>
      </c>
      <c r="AN17" s="2" t="inlineStr">
        <is>
          <t>2023-09-26</t>
        </is>
      </c>
      <c r="AO17" s="5">
        <f>ROUND(0.08,2)</f>
        <v/>
      </c>
      <c r="AP17" s="3">
        <f>ROUND(348.0,2)</f>
        <v/>
      </c>
      <c r="AQ17" s="3">
        <f>ROUND(8.0,2)</f>
        <v/>
      </c>
      <c r="AR17" s="3">
        <f>ROUND(0.0,2)</f>
        <v/>
      </c>
      <c r="AS17" s="3">
        <f>ROUND(0.0,2)</f>
        <v/>
      </c>
      <c r="AT17" s="3">
        <f>ROUND(0.0,2)</f>
        <v/>
      </c>
      <c r="AU17" s="3">
        <f>ROUND(0.0,2)</f>
        <v/>
      </c>
      <c r="AV17" s="3">
        <f>ROUND(0.0,2)</f>
        <v/>
      </c>
      <c r="AW17" s="4">
        <f>IFERROR((AQ17/AP17),0)</f>
        <v/>
      </c>
      <c r="AX17" s="4">
        <f>IFERROR(((0+AO11+AO12+AO13+AO14+AO15+AO16+AO17)/T2),0)</f>
        <v/>
      </c>
      <c r="AY17" s="5">
        <f>IFERROR(ROUND(AO17/AQ17,2),0)</f>
        <v/>
      </c>
      <c r="AZ17" s="5">
        <f>IFERROR(ROUND(AO17/AR17,2),0)</f>
        <v/>
      </c>
      <c r="BA17" s="2" t="inlineStr">
        <is>
          <t>2023-09-26</t>
        </is>
      </c>
      <c r="BB17" s="5">
        <f>ROUND(0.15,2)</f>
        <v/>
      </c>
      <c r="BC17" s="3">
        <f>ROUND(302.0,2)</f>
        <v/>
      </c>
      <c r="BD17" s="3">
        <f>ROUND(15.0,2)</f>
        <v/>
      </c>
      <c r="BE17" s="3">
        <f>ROUND(0.0,2)</f>
        <v/>
      </c>
      <c r="BF17" s="3">
        <f>ROUND(0.0,2)</f>
        <v/>
      </c>
      <c r="BG17" s="3">
        <f>ROUND(0.0,2)</f>
        <v/>
      </c>
      <c r="BH17" s="3">
        <f>ROUND(0.0,2)</f>
        <v/>
      </c>
      <c r="BI17" s="3">
        <f>ROUND(0.0,2)</f>
        <v/>
      </c>
      <c r="BJ17" s="4">
        <f>IFERROR((BD17/BC17),0)</f>
        <v/>
      </c>
      <c r="BK17" s="4">
        <f>IFERROR(((0+BB11+BB12+BB13+BB14+BB15+BB16+BB17)/T2),0)</f>
        <v/>
      </c>
      <c r="BL17" s="5">
        <f>IFERROR(ROUND(BB17/BD17,2),0)</f>
        <v/>
      </c>
      <c r="BM17" s="5">
        <f>IFERROR(ROUND(BB17/BE17,2),0)</f>
        <v/>
      </c>
      <c r="BN17" s="2" t="inlineStr">
        <is>
          <t>2023-09-26</t>
        </is>
      </c>
      <c r="BO17" s="5">
        <f>ROUND(0.05,2)</f>
        <v/>
      </c>
      <c r="BP17" s="3">
        <f>ROUND(123.0,2)</f>
        <v/>
      </c>
      <c r="BQ17" s="3">
        <f>ROUND(5.0,2)</f>
        <v/>
      </c>
      <c r="BR17" s="3">
        <f>ROUND(0.0,2)</f>
        <v/>
      </c>
      <c r="BS17" s="3">
        <f>ROUND(0.0,2)</f>
        <v/>
      </c>
      <c r="BT17" s="3">
        <f>ROUND(0.0,2)</f>
        <v/>
      </c>
      <c r="BU17" s="3">
        <f>ROUND(0.0,2)</f>
        <v/>
      </c>
      <c r="BV17" s="3">
        <f>ROUND(0.0,2)</f>
        <v/>
      </c>
      <c r="BW17" s="4">
        <f>IFERROR((BQ17/BP17),0)</f>
        <v/>
      </c>
      <c r="BX17" s="4">
        <f>IFERROR(((0+BO11+BO12+BO13+BO14+BO15+BO16+BO17)/T2),0)</f>
        <v/>
      </c>
      <c r="BY17" s="5">
        <f>IFERROR(ROUND(BO17/BQ17,2),0)</f>
        <v/>
      </c>
      <c r="BZ17" s="5">
        <f>IFERROR(ROUND(BO17/BR17,2),0)</f>
        <v/>
      </c>
      <c r="CA17" s="2" t="inlineStr">
        <is>
          <t>2023-09-26</t>
        </is>
      </c>
      <c r="CB17" s="5">
        <f>ROUND(0.09000000000000001,2)</f>
        <v/>
      </c>
      <c r="CC17" s="3">
        <f>ROUND(146.0,2)</f>
        <v/>
      </c>
      <c r="CD17" s="3">
        <f>ROUND(9.0,2)</f>
        <v/>
      </c>
      <c r="CE17" s="3">
        <f>ROUND(0.0,2)</f>
        <v/>
      </c>
      <c r="CF17" s="3">
        <f>ROUND(0.0,2)</f>
        <v/>
      </c>
      <c r="CG17" s="3">
        <f>ROUND(0.0,2)</f>
        <v/>
      </c>
      <c r="CH17" s="3">
        <f>ROUND(0.0,2)</f>
        <v/>
      </c>
      <c r="CI17" s="3">
        <f>ROUND(0.0,2)</f>
        <v/>
      </c>
      <c r="CJ17" s="4">
        <f>IFERROR((CD17/CC17),0)</f>
        <v/>
      </c>
      <c r="CK17" s="4">
        <f>IFERROR(((0+CB11+CB12+CB13+CB14+CB15+CB16+CB17)/T2),0)</f>
        <v/>
      </c>
      <c r="CL17" s="5">
        <f>IFERROR(ROUND(CB17/CD17,2),0)</f>
        <v/>
      </c>
      <c r="CM17" s="5">
        <f>IFERROR(ROUND(CB17/CE17,2),0)</f>
        <v/>
      </c>
      <c r="CN17" s="2" t="inlineStr">
        <is>
          <t>2023-09-26</t>
        </is>
      </c>
      <c r="CO17" s="5">
        <f>ROUND(1.04,2)</f>
        <v/>
      </c>
      <c r="CP17" s="3">
        <f>ROUND(2955.0,2)</f>
        <v/>
      </c>
      <c r="CQ17" s="3">
        <f>ROUND(104.0,2)</f>
        <v/>
      </c>
      <c r="CR17" s="3">
        <f>ROUND(0.0,2)</f>
        <v/>
      </c>
      <c r="CS17" s="3">
        <f>ROUND(0.0,2)</f>
        <v/>
      </c>
      <c r="CT17" s="3">
        <f>ROUND(0.0,2)</f>
        <v/>
      </c>
      <c r="CU17" s="3">
        <f>ROUND(0.0,2)</f>
        <v/>
      </c>
      <c r="CV17" s="3">
        <f>ROUND(0.0,2)</f>
        <v/>
      </c>
      <c r="CW17" s="4">
        <f>IFERROR((CQ17/CP17),0)</f>
        <v/>
      </c>
      <c r="CX17" s="4">
        <f>IFERROR(((0+CO11+CO12+CO13+CO14+CO15+CO16+CO17)/T2),0)</f>
        <v/>
      </c>
      <c r="CY17" s="5">
        <f>IFERROR(ROUND(CO17/CQ17,2),0)</f>
        <v/>
      </c>
      <c r="CZ17" s="5">
        <f>IFERROR(ROUND(CO17/CR17,2),0)</f>
        <v/>
      </c>
      <c r="DA17" s="2" t="inlineStr">
        <is>
          <t>2023-09-26</t>
        </is>
      </c>
      <c r="DB17" s="5">
        <f>ROUND(1.5,2)</f>
        <v/>
      </c>
      <c r="DC17" s="3">
        <f>ROUND(7429.0,2)</f>
        <v/>
      </c>
      <c r="DD17" s="3">
        <f>ROUND(150.0,2)</f>
        <v/>
      </c>
      <c r="DE17" s="3">
        <f>ROUND(0.0,2)</f>
        <v/>
      </c>
      <c r="DF17" s="3">
        <f>ROUND(0.0,2)</f>
        <v/>
      </c>
      <c r="DG17" s="3">
        <f>ROUND(0.0,2)</f>
        <v/>
      </c>
      <c r="DH17" s="3">
        <f>ROUND(0.0,2)</f>
        <v/>
      </c>
      <c r="DI17" s="3">
        <f>ROUND(0.0,2)</f>
        <v/>
      </c>
      <c r="DJ17" s="4">
        <f>IFERROR((DD17/DC17),0)</f>
        <v/>
      </c>
      <c r="DK17" s="4">
        <f>IFERROR(((0+DB11+DB12+DB13+DB14+DB15+DB16+DB17)/T2),0)</f>
        <v/>
      </c>
      <c r="DL17" s="5">
        <f>IFERROR(ROUND(DB17/DD17,2),0)</f>
        <v/>
      </c>
      <c r="DM17" s="5">
        <f>IFERROR(ROUND(DB17/DE17,2),0)</f>
        <v/>
      </c>
      <c r="DN17" s="2" t="inlineStr">
        <is>
          <t>2023-09-26</t>
        </is>
      </c>
      <c r="DO17" s="5">
        <f>ROUND(0.0,2)</f>
        <v/>
      </c>
      <c r="DP17" s="3">
        <f>ROUND(41.0,2)</f>
        <v/>
      </c>
      <c r="DQ17" s="3">
        <f>ROUND(0.0,2)</f>
        <v/>
      </c>
      <c r="DR17" s="3">
        <f>ROUND(0.0,2)</f>
        <v/>
      </c>
      <c r="DS17" s="3">
        <f>ROUND(0.0,2)</f>
        <v/>
      </c>
      <c r="DT17" s="3">
        <f>ROUND(0.0,2)</f>
        <v/>
      </c>
      <c r="DU17" s="3">
        <f>ROUND(0.0,2)</f>
        <v/>
      </c>
      <c r="DV17" s="3">
        <f>ROUND(0.0,2)</f>
        <v/>
      </c>
      <c r="DW17" s="4">
        <f>IFERROR((DQ17/DP17),0)</f>
        <v/>
      </c>
      <c r="DX17" s="4">
        <f>IFERROR(((0+DO11+DO12+DO13+DO14+DO15+DO16+DO17)/T2),0)</f>
        <v/>
      </c>
      <c r="DY17" s="5">
        <f>IFERROR(ROUND(DO17/DQ17,2),0)</f>
        <v/>
      </c>
      <c r="DZ17" s="5">
        <f>IFERROR(ROUND(DO17/DR17,2),0)</f>
        <v/>
      </c>
      <c r="EA17" s="2" t="inlineStr">
        <is>
          <t>2023-09-26</t>
        </is>
      </c>
      <c r="EB17" s="5">
        <f>ROUND(4.79,2)</f>
        <v/>
      </c>
      <c r="EC17" s="3">
        <f>ROUND(34088.0,2)</f>
        <v/>
      </c>
      <c r="ED17" s="3">
        <f>ROUND(477.0,2)</f>
        <v/>
      </c>
      <c r="EE17" s="3">
        <f>ROUND(0.0,2)</f>
        <v/>
      </c>
      <c r="EF17" s="3">
        <f>ROUND(0.0,2)</f>
        <v/>
      </c>
      <c r="EG17" s="3">
        <f>ROUND(0.0,2)</f>
        <v/>
      </c>
      <c r="EH17" s="3">
        <f>ROUND(0.0,2)</f>
        <v/>
      </c>
      <c r="EI17" s="3">
        <f>ROUND(0.0,2)</f>
        <v/>
      </c>
      <c r="EJ17" s="4">
        <f>IFERROR((ED17/EC17),0)</f>
        <v/>
      </c>
      <c r="EK17" s="4">
        <f>IFERROR(((0+EB11+EB12+EB13+EB14+EB15+EB16+EB17)/T2),0)</f>
        <v/>
      </c>
      <c r="EL17" s="5">
        <f>IFERROR(ROUND(EB17/ED17,2),0)</f>
        <v/>
      </c>
      <c r="EM17" s="5">
        <f>IFERROR(ROUND(EB17/EE17,2),0)</f>
        <v/>
      </c>
      <c r="EN17" s="2" t="inlineStr">
        <is>
          <t>2023-09-26</t>
        </is>
      </c>
      <c r="EO17" s="5">
        <f>ROUND(0.03,2)</f>
        <v/>
      </c>
      <c r="EP17" s="3">
        <f>ROUND(92.0,2)</f>
        <v/>
      </c>
      <c r="EQ17" s="3">
        <f>ROUND(3.0,2)</f>
        <v/>
      </c>
      <c r="ER17" s="3">
        <f>ROUND(0.0,2)</f>
        <v/>
      </c>
      <c r="ES17" s="3">
        <f>ROUND(0.0,2)</f>
        <v/>
      </c>
      <c r="ET17" s="3">
        <f>ROUND(0.0,2)</f>
        <v/>
      </c>
      <c r="EU17" s="3">
        <f>ROUND(0.0,2)</f>
        <v/>
      </c>
      <c r="EV17" s="3">
        <f>ROUND(0.0,2)</f>
        <v/>
      </c>
      <c r="EW17" s="4">
        <f>IFERROR((EQ17/EP17),0)</f>
        <v/>
      </c>
      <c r="EX17" s="4">
        <f>IFERROR(((0+EO11+EO12+EO13+EO14+EO15+EO16+EO17)/T2),0)</f>
        <v/>
      </c>
      <c r="EY17" s="5">
        <f>IFERROR(ROUND(EO17/EQ17,2),0)</f>
        <v/>
      </c>
      <c r="EZ17" s="5">
        <f>IFERROR(ROUND(EO17/ER17,2),0)</f>
        <v/>
      </c>
      <c r="FA17" s="2" t="inlineStr">
        <is>
          <t>2023-09-26</t>
        </is>
      </c>
      <c r="FB17" s="5">
        <f>ROUND(1.6600000000000001,2)</f>
        <v/>
      </c>
      <c r="FC17" s="3">
        <f>ROUND(6218.0,2)</f>
        <v/>
      </c>
      <c r="FD17" s="3">
        <f>ROUND(166.0,2)</f>
        <v/>
      </c>
      <c r="FE17" s="3">
        <f>ROUND(0.0,2)</f>
        <v/>
      </c>
      <c r="FF17" s="3">
        <f>ROUND(0.0,2)</f>
        <v/>
      </c>
      <c r="FG17" s="3">
        <f>ROUND(0.0,2)</f>
        <v/>
      </c>
      <c r="FH17" s="3">
        <f>ROUND(0.0,2)</f>
        <v/>
      </c>
      <c r="FI17" s="3">
        <f>ROUND(0.0,2)</f>
        <v/>
      </c>
      <c r="FJ17" s="4">
        <f>IFERROR((FD17/FC17),0)</f>
        <v/>
      </c>
      <c r="FK17" s="4">
        <f>IFERROR(((0+FB11+FB12+FB13+FB14+FB15+FB16+FB17)/T2),0)</f>
        <v/>
      </c>
      <c r="FL17" s="5">
        <f>IFERROR(ROUND(FB17/FD17,2),0)</f>
        <v/>
      </c>
      <c r="FM17" s="5">
        <f>IFERROR(ROUND(FB17/FE17,2),0)</f>
        <v/>
      </c>
      <c r="FN17" s="2" t="inlineStr">
        <is>
          <t>2023-09-26</t>
        </is>
      </c>
      <c r="FO17" s="5">
        <f>ROUND(13.75,2)</f>
        <v/>
      </c>
      <c r="FP17" s="3">
        <f>ROUND(21876.0,2)</f>
        <v/>
      </c>
      <c r="FQ17" s="3">
        <f>ROUND(1369.0,2)</f>
        <v/>
      </c>
      <c r="FR17" s="3">
        <f>ROUND(0.0,2)</f>
        <v/>
      </c>
      <c r="FS17" s="3">
        <f>ROUND(0.0,2)</f>
        <v/>
      </c>
      <c r="FT17" s="3">
        <f>ROUND(0.0,2)</f>
        <v/>
      </c>
      <c r="FU17" s="3">
        <f>ROUND(0.0,2)</f>
        <v/>
      </c>
      <c r="FV17" s="3">
        <f>ROUND(0.0,2)</f>
        <v/>
      </c>
      <c r="FW17" s="4">
        <f>IFERROR((FQ17/FP17),0)</f>
        <v/>
      </c>
      <c r="FX17" s="4">
        <f>IFERROR(((0+FO11+FO12+FO13+FO14+FO15+FO16+FO17)/T2),0)</f>
        <v/>
      </c>
      <c r="FY17" s="5">
        <f>IFERROR(ROUND(FO17/FQ17,2),0)</f>
        <v/>
      </c>
      <c r="FZ17" s="5">
        <f>IFERROR(ROUND(FO17/FR17,2),0)</f>
        <v/>
      </c>
      <c r="GA17" s="2" t="inlineStr">
        <is>
          <t>2023-09-26</t>
        </is>
      </c>
      <c r="GB17" s="5">
        <f>ROUND(0.06,2)</f>
        <v/>
      </c>
      <c r="GC17" s="3">
        <f>ROUND(93.0,2)</f>
        <v/>
      </c>
      <c r="GD17" s="3">
        <f>ROUND(6.0,2)</f>
        <v/>
      </c>
      <c r="GE17" s="3">
        <f>ROUND(0.0,2)</f>
        <v/>
      </c>
      <c r="GF17" s="3">
        <f>ROUND(0.0,2)</f>
        <v/>
      </c>
      <c r="GG17" s="3">
        <f>ROUND(0.0,2)</f>
        <v/>
      </c>
      <c r="GH17" s="3">
        <f>ROUND(0.0,2)</f>
        <v/>
      </c>
      <c r="GI17" s="3">
        <f>ROUND(0.0,2)</f>
        <v/>
      </c>
      <c r="GJ17" s="4">
        <f>IFERROR((GD17/GC17),0)</f>
        <v/>
      </c>
      <c r="GK17" s="4">
        <f>IFERROR(((0+GB11+GB12+GB13+GB14+GB15+GB16+GB17)/T2),0)</f>
        <v/>
      </c>
      <c r="GL17" s="5">
        <f>IFERROR(ROUND(GB17/GD17,2),0)</f>
        <v/>
      </c>
      <c r="GM17" s="5">
        <f>IFERROR(ROUND(GB17/GE17,2),0)</f>
        <v/>
      </c>
      <c r="GN17" s="2" t="inlineStr">
        <is>
          <t>2023-09-26</t>
        </is>
      </c>
      <c r="GO17" s="5">
        <f>ROUND(3.6599999999999997,2)</f>
        <v/>
      </c>
      <c r="GP17" s="3">
        <f>ROUND(24549.0,2)</f>
        <v/>
      </c>
      <c r="GQ17" s="3">
        <f>ROUND(365.0,2)</f>
        <v/>
      </c>
      <c r="GR17" s="3">
        <f>ROUND(0.0,2)</f>
        <v/>
      </c>
      <c r="GS17" s="3">
        <f>ROUND(0.0,2)</f>
        <v/>
      </c>
      <c r="GT17" s="3">
        <f>ROUND(0.0,2)</f>
        <v/>
      </c>
      <c r="GU17" s="3">
        <f>ROUND(0.0,2)</f>
        <v/>
      </c>
      <c r="GV17" s="3">
        <f>ROUND(0.0,2)</f>
        <v/>
      </c>
      <c r="GW17" s="4">
        <f>IFERROR((GQ17/GP17),0)</f>
        <v/>
      </c>
      <c r="GX17" s="4">
        <f>IFERROR(((0+GO11+GO12+GO13+GO14+GO15+GO16+GO17)/T2),0)</f>
        <v/>
      </c>
      <c r="GY17" s="5">
        <f>IFERROR(ROUND(GO17/GQ17,2),0)</f>
        <v/>
      </c>
      <c r="GZ17" s="5">
        <f>IFERROR(ROUND(GO17/GR17,2),0)</f>
        <v/>
      </c>
      <c r="HA17" s="2" t="inlineStr">
        <is>
          <t>2023-09-26</t>
        </is>
      </c>
      <c r="HB17" s="5">
        <f>ROUND(0.45999999999999996,2)</f>
        <v/>
      </c>
      <c r="HC17" s="3">
        <f>ROUND(2135.0,2)</f>
        <v/>
      </c>
      <c r="HD17" s="3">
        <f>ROUND(46.0,2)</f>
        <v/>
      </c>
      <c r="HE17" s="3">
        <f>ROUND(0.0,2)</f>
        <v/>
      </c>
      <c r="HF17" s="3">
        <f>ROUND(0.0,2)</f>
        <v/>
      </c>
      <c r="HG17" s="3">
        <f>ROUND(0.0,2)</f>
        <v/>
      </c>
      <c r="HH17" s="3">
        <f>ROUND(0.0,2)</f>
        <v/>
      </c>
      <c r="HI17" s="3">
        <f>ROUND(0.0,2)</f>
        <v/>
      </c>
      <c r="HJ17" s="4">
        <f>IFERROR((HD17/HC17),0)</f>
        <v/>
      </c>
      <c r="HK17" s="4">
        <f>IFERROR(((0+HB11+HB12+HB13+HB14+HB15+HB16+HB17)/T2),0)</f>
        <v/>
      </c>
      <c r="HL17" s="5">
        <f>IFERROR(ROUND(HB17/HD17,2),0)</f>
        <v/>
      </c>
      <c r="HM17" s="5">
        <f>IFERROR(ROUND(HB17/HE17,2),0)</f>
        <v/>
      </c>
      <c r="HN17" s="2" t="inlineStr">
        <is>
          <t>2023-09-26</t>
        </is>
      </c>
      <c r="HO17" s="5">
        <f>ROUND(0.13,2)</f>
        <v/>
      </c>
      <c r="HP17" s="3">
        <f>ROUND(259.0,2)</f>
        <v/>
      </c>
      <c r="HQ17" s="3">
        <f>ROUND(13.0,2)</f>
        <v/>
      </c>
      <c r="HR17" s="3">
        <f>ROUND(0.0,2)</f>
        <v/>
      </c>
      <c r="HS17" s="3">
        <f>ROUND(0.0,2)</f>
        <v/>
      </c>
      <c r="HT17" s="3">
        <f>ROUND(0.0,2)</f>
        <v/>
      </c>
      <c r="HU17" s="3">
        <f>ROUND(0.0,2)</f>
        <v/>
      </c>
      <c r="HV17" s="3">
        <f>ROUND(0.0,2)</f>
        <v/>
      </c>
      <c r="HW17" s="4">
        <f>IFERROR((HQ17/HP17),0)</f>
        <v/>
      </c>
      <c r="HX17" s="4">
        <f>IFERROR(((0+HO11+HO12+HO13+HO14+HO15+HO16+HO17)/T2),0)</f>
        <v/>
      </c>
      <c r="HY17" s="5">
        <f>IFERROR(ROUND(HO17/HQ17,2),0)</f>
        <v/>
      </c>
      <c r="HZ17" s="5">
        <f>IFERROR(ROUND(HO17/HR17,2),0)</f>
        <v/>
      </c>
      <c r="IA17" s="2" t="inlineStr">
        <is>
          <t>2023-09-26</t>
        </is>
      </c>
      <c r="IB17" s="5">
        <f>ROUND(0.16999999999999998,2)</f>
        <v/>
      </c>
      <c r="IC17" s="3">
        <f>ROUND(310.0,2)</f>
        <v/>
      </c>
      <c r="ID17" s="3">
        <f>ROUND(17.0,2)</f>
        <v/>
      </c>
      <c r="IE17" s="3">
        <f>ROUND(0.0,2)</f>
        <v/>
      </c>
      <c r="IF17" s="3">
        <f>ROUND(0.0,2)</f>
        <v/>
      </c>
      <c r="IG17" s="3">
        <f>ROUND(0.0,2)</f>
        <v/>
      </c>
      <c r="IH17" s="3">
        <f>ROUND(0.0,2)</f>
        <v/>
      </c>
      <c r="II17" s="3">
        <f>ROUND(0.0,2)</f>
        <v/>
      </c>
      <c r="IJ17" s="4">
        <f>IFERROR((ID17/IC17),0)</f>
        <v/>
      </c>
      <c r="IK17" s="4">
        <f>IFERROR(((0+IB11+IB12+IB13+IB14+IB15+IB16+IB17)/T2),0)</f>
        <v/>
      </c>
      <c r="IL17" s="5">
        <f>IFERROR(ROUND(IB17/ID17,2),0)</f>
        <v/>
      </c>
      <c r="IM17" s="5">
        <f>IFERROR(ROUND(IB17/IE17,2),0)</f>
        <v/>
      </c>
      <c r="IN17" s="2" t="inlineStr">
        <is>
          <t>2023-09-26</t>
        </is>
      </c>
      <c r="IO17" s="5">
        <f>ROUND(0.87,2)</f>
        <v/>
      </c>
      <c r="IP17" s="3">
        <f>ROUND(4180.0,2)</f>
        <v/>
      </c>
      <c r="IQ17" s="3">
        <f>ROUND(87.0,2)</f>
        <v/>
      </c>
      <c r="IR17" s="3">
        <f>ROUND(0.0,2)</f>
        <v/>
      </c>
      <c r="IS17" s="3">
        <f>ROUND(0.0,2)</f>
        <v/>
      </c>
      <c r="IT17" s="3">
        <f>ROUND(0.0,2)</f>
        <v/>
      </c>
      <c r="IU17" s="3">
        <f>ROUND(0.0,2)</f>
        <v/>
      </c>
      <c r="IV17" s="3">
        <f>ROUND(0.0,2)</f>
        <v/>
      </c>
      <c r="IW17" s="4">
        <f>IFERROR((IQ17/IP17),0)</f>
        <v/>
      </c>
      <c r="IX17" s="4">
        <f>IFERROR(((0+IO11+IO12+IO13+IO14+IO15+IO16+IO17)/T2),0)</f>
        <v/>
      </c>
      <c r="IY17" s="5">
        <f>IFERROR(ROUND(IO17/IQ17,2),0)</f>
        <v/>
      </c>
      <c r="IZ17" s="5">
        <f>IFERROR(ROUND(IO17/IR17,2),0)</f>
        <v/>
      </c>
      <c r="JA17" s="2" t="inlineStr">
        <is>
          <t>2023-09-26</t>
        </is>
      </c>
      <c r="JB17" s="5">
        <f>ROUND(0.18,2)</f>
        <v/>
      </c>
      <c r="JC17" s="3">
        <f>ROUND(632.0,2)</f>
        <v/>
      </c>
      <c r="JD17" s="3">
        <f>ROUND(18.0,2)</f>
        <v/>
      </c>
      <c r="JE17" s="3">
        <f>ROUND(0.0,2)</f>
        <v/>
      </c>
      <c r="JF17" s="3">
        <f>ROUND(0.0,2)</f>
        <v/>
      </c>
      <c r="JG17" s="3">
        <f>ROUND(0.0,2)</f>
        <v/>
      </c>
      <c r="JH17" s="3">
        <f>ROUND(0.0,2)</f>
        <v/>
      </c>
      <c r="JI17" s="3">
        <f>ROUND(0.0,2)</f>
        <v/>
      </c>
      <c r="JJ17" s="4">
        <f>IFERROR((JD17/JC17),0)</f>
        <v/>
      </c>
      <c r="JK17" s="4">
        <f>IFERROR(((0+JB11+JB12+JB13+JB14+JB15+JB16+JB17)/T2),0)</f>
        <v/>
      </c>
      <c r="JL17" s="5">
        <f>IFERROR(ROUND(JB17/JD17,2),0)</f>
        <v/>
      </c>
      <c r="JM17" s="5">
        <f>IFERROR(ROUND(JB17/JE17,2),0)</f>
        <v/>
      </c>
      <c r="JN17" s="2" t="inlineStr">
        <is>
          <t>2023-09-26</t>
        </is>
      </c>
      <c r="JO17" s="5">
        <f>ROUND(0.060000000000000005,2)</f>
        <v/>
      </c>
      <c r="JP17" s="3">
        <f>ROUND(115.0,2)</f>
        <v/>
      </c>
      <c r="JQ17" s="3">
        <f>ROUND(6.0,2)</f>
        <v/>
      </c>
      <c r="JR17" s="3">
        <f>ROUND(0.0,2)</f>
        <v/>
      </c>
      <c r="JS17" s="3">
        <f>ROUND(0.0,2)</f>
        <v/>
      </c>
      <c r="JT17" s="3">
        <f>ROUND(0.0,2)</f>
        <v/>
      </c>
      <c r="JU17" s="3">
        <f>ROUND(0.0,2)</f>
        <v/>
      </c>
      <c r="JV17" s="3">
        <f>ROUND(0.0,2)</f>
        <v/>
      </c>
      <c r="JW17" s="4">
        <f>IFERROR((JQ17/JP17),0)</f>
        <v/>
      </c>
      <c r="JX17" s="4">
        <f>IFERROR(((0+JO11+JO12+JO13+JO14+JO15+JO16+JO17)/T2),0)</f>
        <v/>
      </c>
      <c r="JY17" s="5">
        <f>IFERROR(ROUND(JO17/JQ17,2),0)</f>
        <v/>
      </c>
      <c r="JZ17" s="5">
        <f>IFERROR(ROUND(JO17/JR17,2),0)</f>
        <v/>
      </c>
      <c r="KA17" s="2" t="inlineStr">
        <is>
          <t>2023-09-26</t>
        </is>
      </c>
      <c r="KB17" s="5">
        <f>ROUND(0.01,2)</f>
        <v/>
      </c>
      <c r="KC17" s="3">
        <f>ROUND(17.0,2)</f>
        <v/>
      </c>
      <c r="KD17" s="3">
        <f>ROUND(1.0,2)</f>
        <v/>
      </c>
      <c r="KE17" s="3">
        <f>ROUND(0.0,2)</f>
        <v/>
      </c>
      <c r="KF17" s="3">
        <f>ROUND(0.0,2)</f>
        <v/>
      </c>
      <c r="KG17" s="3">
        <f>ROUND(0.0,2)</f>
        <v/>
      </c>
      <c r="KH17" s="3">
        <f>ROUND(0.0,2)</f>
        <v/>
      </c>
      <c r="KI17" s="3">
        <f>ROUND(0.0,2)</f>
        <v/>
      </c>
      <c r="KJ17" s="4">
        <f>IFERROR((KD17/KC17),0)</f>
        <v/>
      </c>
      <c r="KK17" s="4">
        <f>IFERROR(((0+KB11+KB12+KB13+KB14+KB15+KB16+KB17)/T2),0)</f>
        <v/>
      </c>
      <c r="KL17" s="5">
        <f>IFERROR(ROUND(KB17/KD17,2),0)</f>
        <v/>
      </c>
      <c r="KM17" s="5">
        <f>IFERROR(ROUND(KB17/KE17,2),0)</f>
        <v/>
      </c>
      <c r="KN17" s="2" t="inlineStr">
        <is>
          <t>2023-09-26</t>
        </is>
      </c>
      <c r="KO17" s="5">
        <f>ROUND(0.94,2)</f>
        <v/>
      </c>
      <c r="KP17" s="3">
        <f>ROUND(8068.0,2)</f>
        <v/>
      </c>
      <c r="KQ17" s="3">
        <f>ROUND(92.0,2)</f>
        <v/>
      </c>
      <c r="KR17" s="3">
        <f>ROUND(0.0,2)</f>
        <v/>
      </c>
      <c r="KS17" s="3">
        <f>ROUND(0.0,2)</f>
        <v/>
      </c>
      <c r="KT17" s="3">
        <f>ROUND(0.0,2)</f>
        <v/>
      </c>
      <c r="KU17" s="3">
        <f>ROUND(0.0,2)</f>
        <v/>
      </c>
      <c r="KV17" s="3">
        <f>ROUND(0.0,2)</f>
        <v/>
      </c>
      <c r="KW17" s="4">
        <f>IFERROR((KQ17/KP17),0)</f>
        <v/>
      </c>
      <c r="KX17" s="4">
        <f>IFERROR(((0+KO11+KO12+KO13+KO14+KO15+KO16+KO17)/T2),0)</f>
        <v/>
      </c>
      <c r="KY17" s="5">
        <f>IFERROR(ROUND(KO17/KQ17,2),0)</f>
        <v/>
      </c>
      <c r="KZ17" s="5">
        <f>IFERROR(ROUND(KO17/KR17,2),0)</f>
        <v/>
      </c>
      <c r="LA17" s="2" t="inlineStr">
        <is>
          <t>2023-09-26</t>
        </is>
      </c>
      <c r="LB17" s="5">
        <f>ROUND(1.19,2)</f>
        <v/>
      </c>
      <c r="LC17" s="3">
        <f>ROUND(7921.0,2)</f>
        <v/>
      </c>
      <c r="LD17" s="3">
        <f>ROUND(115.0,2)</f>
        <v/>
      </c>
      <c r="LE17" s="3">
        <f>ROUND(0.0,2)</f>
        <v/>
      </c>
      <c r="LF17" s="3">
        <f>ROUND(0.0,2)</f>
        <v/>
      </c>
      <c r="LG17" s="3">
        <f>ROUND(0.0,2)</f>
        <v/>
      </c>
      <c r="LH17" s="3">
        <f>ROUND(0.0,2)</f>
        <v/>
      </c>
      <c r="LI17" s="3">
        <f>ROUND(0.0,2)</f>
        <v/>
      </c>
      <c r="LJ17" s="4">
        <f>IFERROR((LD17/LC17),0)</f>
        <v/>
      </c>
      <c r="LK17" s="4">
        <f>IFERROR(((0+LB11+LB12+LB13+LB14+LB15+LB16+LB17)/T2),0)</f>
        <v/>
      </c>
      <c r="LL17" s="5">
        <f>IFERROR(ROUND(LB17/LD17,2),0)</f>
        <v/>
      </c>
      <c r="LM17" s="5">
        <f>IFERROR(ROUND(LB17/LE17,2),0)</f>
        <v/>
      </c>
      <c r="LN17" s="2" t="inlineStr">
        <is>
          <t>2023-09-26</t>
        </is>
      </c>
      <c r="LO17" s="5">
        <f>ROUND(0.44,2)</f>
        <v/>
      </c>
      <c r="LP17" s="3">
        <f>ROUND(680.0,2)</f>
        <v/>
      </c>
      <c r="LQ17" s="3">
        <f>ROUND(44.0,2)</f>
        <v/>
      </c>
      <c r="LR17" s="3">
        <f>ROUND(0.0,2)</f>
        <v/>
      </c>
      <c r="LS17" s="3">
        <f>ROUND(0.0,2)</f>
        <v/>
      </c>
      <c r="LT17" s="3">
        <f>ROUND(0.0,2)</f>
        <v/>
      </c>
      <c r="LU17" s="3">
        <f>ROUND(0.0,2)</f>
        <v/>
      </c>
      <c r="LV17" s="3">
        <f>ROUND(0.0,2)</f>
        <v/>
      </c>
      <c r="LW17" s="4">
        <f>IFERROR((LQ17/LP17),0)</f>
        <v/>
      </c>
      <c r="LX17" s="4">
        <f>IFERROR(((0+LO11+LO12+LO13+LO14+LO15+LO16+LO17)/T2),0)</f>
        <v/>
      </c>
      <c r="LY17" s="5">
        <f>IFERROR(ROUND(LO17/LQ17,2),0)</f>
        <v/>
      </c>
      <c r="LZ17" s="5">
        <f>IFERROR(ROUND(LO17/LR17,2),0)</f>
        <v/>
      </c>
      <c r="MA17" s="2" t="inlineStr">
        <is>
          <t>2023-09-26</t>
        </is>
      </c>
      <c r="MB17" s="5">
        <f>ROUND(0.12000000000000001,2)</f>
        <v/>
      </c>
      <c r="MC17" s="3">
        <f>ROUND(698.0,2)</f>
        <v/>
      </c>
      <c r="MD17" s="3">
        <f>ROUND(12.0,2)</f>
        <v/>
      </c>
      <c r="ME17" s="3">
        <f>ROUND(0.0,2)</f>
        <v/>
      </c>
      <c r="MF17" s="3">
        <f>ROUND(0.0,2)</f>
        <v/>
      </c>
      <c r="MG17" s="3">
        <f>ROUND(0.0,2)</f>
        <v/>
      </c>
      <c r="MH17" s="3">
        <f>ROUND(0.0,2)</f>
        <v/>
      </c>
      <c r="MI17" s="3">
        <f>ROUND(0.0,2)</f>
        <v/>
      </c>
      <c r="MJ17" s="4">
        <f>IFERROR((MD17/MC17),0)</f>
        <v/>
      </c>
      <c r="MK17" s="4">
        <f>IFERROR(((0+MB11+MB12+MB13+MB14+MB15+MB16+MB17)/T2),0)</f>
        <v/>
      </c>
      <c r="ML17" s="5">
        <f>IFERROR(ROUND(MB17/MD17,2),0)</f>
        <v/>
      </c>
      <c r="MM17" s="5">
        <f>IFERROR(ROUND(MB17/ME17,2),0)</f>
        <v/>
      </c>
      <c r="MN17" s="2" t="inlineStr">
        <is>
          <t>2023-09-26</t>
        </is>
      </c>
      <c r="MO17" s="5">
        <f>ROUND(4.48,2)</f>
        <v/>
      </c>
      <c r="MP17" s="3">
        <f>ROUND(6624.0,2)</f>
        <v/>
      </c>
      <c r="MQ17" s="3">
        <f>ROUND(435.0,2)</f>
        <v/>
      </c>
      <c r="MR17" s="3">
        <f>ROUND(0.0,2)</f>
        <v/>
      </c>
      <c r="MS17" s="3">
        <f>ROUND(0.0,2)</f>
        <v/>
      </c>
      <c r="MT17" s="3">
        <f>ROUND(0.0,2)</f>
        <v/>
      </c>
      <c r="MU17" s="3">
        <f>ROUND(0.0,2)</f>
        <v/>
      </c>
      <c r="MV17" s="3">
        <f>ROUND(0.0,2)</f>
        <v/>
      </c>
      <c r="MW17" s="4">
        <f>IFERROR((MQ17/MP17),0)</f>
        <v/>
      </c>
      <c r="MX17" s="4">
        <f>IFERROR(((0+MO11+MO12+MO13+MO14+MO15+MO16+MO17)/T2),0)</f>
        <v/>
      </c>
      <c r="MY17" s="5">
        <f>IFERROR(ROUND(MO17/MQ17,2),0)</f>
        <v/>
      </c>
      <c r="MZ17" s="5">
        <f>IFERROR(ROUND(MO17/MR17,2),0)</f>
        <v/>
      </c>
      <c r="NA17" s="2" t="inlineStr">
        <is>
          <t>2023-09-26</t>
        </is>
      </c>
      <c r="NB17" s="5">
        <f>ROUND(0.09,2)</f>
        <v/>
      </c>
      <c r="NC17" s="3">
        <f>ROUND(666.0,2)</f>
        <v/>
      </c>
      <c r="ND17" s="3">
        <f>ROUND(8.0,2)</f>
        <v/>
      </c>
      <c r="NE17" s="3">
        <f>ROUND(0.0,2)</f>
        <v/>
      </c>
      <c r="NF17" s="3">
        <f>ROUND(0.0,2)</f>
        <v/>
      </c>
      <c r="NG17" s="3">
        <f>ROUND(0.0,2)</f>
        <v/>
      </c>
      <c r="NH17" s="3">
        <f>ROUND(0.0,2)</f>
        <v/>
      </c>
      <c r="NI17" s="3">
        <f>ROUND(0.0,2)</f>
        <v/>
      </c>
      <c r="NJ17" s="4">
        <f>IFERROR((ND17/NC17),0)</f>
        <v/>
      </c>
      <c r="NK17" s="4">
        <f>IFERROR(((0+NB11+NB12+NB13+NB14+NB15+NB16+NB17)/T2),0)</f>
        <v/>
      </c>
      <c r="NL17" s="5">
        <f>IFERROR(ROUND(NB17/ND17,2),0)</f>
        <v/>
      </c>
      <c r="NM17" s="5">
        <f>IFERROR(ROUND(NB17/NE17,2),0)</f>
        <v/>
      </c>
      <c r="NN17" s="2" t="inlineStr">
        <is>
          <t>2023-09-26</t>
        </is>
      </c>
      <c r="NO17" s="5">
        <f>ROUND(0.03,2)</f>
        <v/>
      </c>
      <c r="NP17" s="3">
        <f>ROUND(71.0,2)</f>
        <v/>
      </c>
      <c r="NQ17" s="3">
        <f>ROUND(3.0,2)</f>
        <v/>
      </c>
      <c r="NR17" s="3">
        <f>ROUND(0.0,2)</f>
        <v/>
      </c>
      <c r="NS17" s="3">
        <f>ROUND(0.0,2)</f>
        <v/>
      </c>
      <c r="NT17" s="3">
        <f>ROUND(0.0,2)</f>
        <v/>
      </c>
      <c r="NU17" s="3">
        <f>ROUND(0.0,2)</f>
        <v/>
      </c>
      <c r="NV17" s="3">
        <f>ROUND(0.0,2)</f>
        <v/>
      </c>
      <c r="NW17" s="4">
        <f>IFERROR((NQ17/NP17),0)</f>
        <v/>
      </c>
      <c r="NX17" s="4">
        <f>IFERROR(((0+NO11+NO12+NO13+NO14+NO15+NO16+NO17)/T2),0)</f>
        <v/>
      </c>
      <c r="NY17" s="5">
        <f>IFERROR(ROUND(NO17/NQ17,2),0)</f>
        <v/>
      </c>
      <c r="NZ17" s="5">
        <f>IFERROR(ROUND(NO17/NR17,2),0)</f>
        <v/>
      </c>
      <c r="OA17" s="2" t="inlineStr">
        <is>
          <t>2023-09-26</t>
        </is>
      </c>
      <c r="OB17" s="5">
        <f>ROUND(0.35,2)</f>
        <v/>
      </c>
      <c r="OC17" s="3">
        <f>ROUND(2368.0,2)</f>
        <v/>
      </c>
      <c r="OD17" s="3">
        <f>ROUND(35.0,2)</f>
        <v/>
      </c>
      <c r="OE17" s="3">
        <f>ROUND(0.0,2)</f>
        <v/>
      </c>
      <c r="OF17" s="3">
        <f>ROUND(0.0,2)</f>
        <v/>
      </c>
      <c r="OG17" s="3">
        <f>ROUND(0.0,2)</f>
        <v/>
      </c>
      <c r="OH17" s="3">
        <f>ROUND(0.0,2)</f>
        <v/>
      </c>
      <c r="OI17" s="3">
        <f>ROUND(0.0,2)</f>
        <v/>
      </c>
      <c r="OJ17" s="4">
        <f>IFERROR((OD17/OC17),0)</f>
        <v/>
      </c>
      <c r="OK17" s="4">
        <f>IFERROR(((0+OB11+OB12+OB13+OB14+OB15+OB16+OB17)/T2),0)</f>
        <v/>
      </c>
      <c r="OL17" s="5">
        <f>IFERROR(ROUND(OB17/OD17,2),0)</f>
        <v/>
      </c>
      <c r="OM17" s="5">
        <f>IFERROR(ROUND(OB17/OE17,2),0)</f>
        <v/>
      </c>
      <c r="ON17" s="2" t="inlineStr">
        <is>
          <t>2023-09-26</t>
        </is>
      </c>
      <c r="OO17" s="5">
        <f>ROUND(0.04,2)</f>
        <v/>
      </c>
      <c r="OP17" s="3">
        <f>ROUND(138.0,2)</f>
        <v/>
      </c>
      <c r="OQ17" s="3">
        <f>ROUND(4.0,2)</f>
        <v/>
      </c>
      <c r="OR17" s="3">
        <f>ROUND(0.0,2)</f>
        <v/>
      </c>
      <c r="OS17" s="3">
        <f>ROUND(0.0,2)</f>
        <v/>
      </c>
      <c r="OT17" s="3">
        <f>ROUND(0.0,2)</f>
        <v/>
      </c>
      <c r="OU17" s="3">
        <f>ROUND(0.0,2)</f>
        <v/>
      </c>
      <c r="OV17" s="3">
        <f>ROUND(0.0,2)</f>
        <v/>
      </c>
      <c r="OW17" s="4">
        <f>IFERROR((OQ17/OP17),0)</f>
        <v/>
      </c>
      <c r="OX17" s="4">
        <f>IFERROR(((0+OO11+OO12+OO13+OO14+OO15+OO16+OO17)/T2),0)</f>
        <v/>
      </c>
      <c r="OY17" s="5">
        <f>IFERROR(ROUND(OO17/OQ17,2),0)</f>
        <v/>
      </c>
      <c r="OZ17" s="5">
        <f>IFERROR(ROUND(OO17/OR17,2),0)</f>
        <v/>
      </c>
      <c r="PA17" s="2" t="inlineStr">
        <is>
          <t>2023-09-26</t>
        </is>
      </c>
      <c r="PB17" s="5">
        <f>ROUND(0.01,2)</f>
        <v/>
      </c>
      <c r="PC17" s="3">
        <f>ROUND(29.0,2)</f>
        <v/>
      </c>
      <c r="PD17" s="3">
        <f>ROUND(1.0,2)</f>
        <v/>
      </c>
      <c r="PE17" s="3">
        <f>ROUND(0.0,2)</f>
        <v/>
      </c>
      <c r="PF17" s="3">
        <f>ROUND(0.0,2)</f>
        <v/>
      </c>
      <c r="PG17" s="3">
        <f>ROUND(0.0,2)</f>
        <v/>
      </c>
      <c r="PH17" s="3">
        <f>ROUND(0.0,2)</f>
        <v/>
      </c>
      <c r="PI17" s="3">
        <f>ROUND(0.0,2)</f>
        <v/>
      </c>
      <c r="PJ17" s="4">
        <f>IFERROR((PD17/PC17),0)</f>
        <v/>
      </c>
      <c r="PK17" s="4">
        <f>IFERROR(((0+PB11+PB12+PB13+PB14+PB15+PB16+PB17)/T2),0)</f>
        <v/>
      </c>
      <c r="PL17" s="5">
        <f>IFERROR(ROUND(PB17/PD17,2),0)</f>
        <v/>
      </c>
      <c r="PM17" s="5">
        <f>IFERROR(ROUND(PB17/PE17,2),0)</f>
        <v/>
      </c>
      <c r="PN17" s="2" t="inlineStr">
        <is>
          <t>2023-09-26</t>
        </is>
      </c>
      <c r="PO17" s="5">
        <f>ROUND(0.01,2)</f>
        <v/>
      </c>
      <c r="PP17" s="3">
        <f>ROUND(21.0,2)</f>
        <v/>
      </c>
      <c r="PQ17" s="3">
        <f>ROUND(1.0,2)</f>
        <v/>
      </c>
      <c r="PR17" s="3">
        <f>ROUND(0.0,2)</f>
        <v/>
      </c>
      <c r="PS17" s="3">
        <f>ROUND(0.0,2)</f>
        <v/>
      </c>
      <c r="PT17" s="3">
        <f>ROUND(0.0,2)</f>
        <v/>
      </c>
      <c r="PU17" s="3">
        <f>ROUND(0.0,2)</f>
        <v/>
      </c>
      <c r="PV17" s="3">
        <f>ROUND(0.0,2)</f>
        <v/>
      </c>
      <c r="PW17" s="4">
        <f>IFERROR((PQ17/PP17),0)</f>
        <v/>
      </c>
      <c r="PX17" s="4">
        <f>IFERROR(((0+PO11+PO12+PO13+PO14+PO15+PO16+PO17)/T2),0)</f>
        <v/>
      </c>
      <c r="PY17" s="5">
        <f>IFERROR(ROUND(PO17/PQ17,2),0)</f>
        <v/>
      </c>
      <c r="PZ17" s="5">
        <f>IFERROR(ROUND(PO17/PR17,2),0)</f>
        <v/>
      </c>
      <c r="QA17" s="2" t="inlineStr">
        <is>
          <t>2023-09-26</t>
        </is>
      </c>
      <c r="QB17" s="5">
        <f>ROUND(0.0,2)</f>
        <v/>
      </c>
      <c r="QC17" s="3">
        <f>ROUND(54.0,2)</f>
        <v/>
      </c>
      <c r="QD17" s="3">
        <f>ROUND(0.0,2)</f>
        <v/>
      </c>
      <c r="QE17" s="3">
        <f>ROUND(0.0,2)</f>
        <v/>
      </c>
      <c r="QF17" s="3">
        <f>ROUND(0.0,2)</f>
        <v/>
      </c>
      <c r="QG17" s="3">
        <f>ROUND(0.0,2)</f>
        <v/>
      </c>
      <c r="QH17" s="3">
        <f>ROUND(0.0,2)</f>
        <v/>
      </c>
      <c r="QI17" s="3">
        <f>ROUND(0.0,2)</f>
        <v/>
      </c>
      <c r="QJ17" s="4">
        <f>IFERROR((QD17/QC17),0)</f>
        <v/>
      </c>
      <c r="QK17" s="4">
        <f>IFERROR(((0+QB11+QB12+QB13+QB14+QB15+QB16+QB17)/T2),0)</f>
        <v/>
      </c>
      <c r="QL17" s="5">
        <f>IFERROR(ROUND(QB17/QD17,2),0)</f>
        <v/>
      </c>
      <c r="QM17" s="5">
        <f>IFERROR(ROUND(QB17/QE17,2),0)</f>
        <v/>
      </c>
      <c r="QN17" s="2" t="inlineStr">
        <is>
          <t>2023-09-26</t>
        </is>
      </c>
      <c r="QO17" s="5">
        <f>ROUND(0.02,2)</f>
        <v/>
      </c>
      <c r="QP17" s="3">
        <f>ROUND(113.0,2)</f>
        <v/>
      </c>
      <c r="QQ17" s="3">
        <f>ROUND(2.0,2)</f>
        <v/>
      </c>
      <c r="QR17" s="3">
        <f>ROUND(0.0,2)</f>
        <v/>
      </c>
      <c r="QS17" s="3">
        <f>ROUND(0.0,2)</f>
        <v/>
      </c>
      <c r="QT17" s="3">
        <f>ROUND(0.0,2)</f>
        <v/>
      </c>
      <c r="QU17" s="3">
        <f>ROUND(0.0,2)</f>
        <v/>
      </c>
      <c r="QV17" s="3">
        <f>ROUND(0.0,2)</f>
        <v/>
      </c>
      <c r="QW17" s="4">
        <f>IFERROR((QQ17/QP17),0)</f>
        <v/>
      </c>
      <c r="QX17" s="4">
        <f>IFERROR(((0+QO11+QO12+QO13+QO14+QO15+QO16+QO17)/T2),0)</f>
        <v/>
      </c>
      <c r="QY17" s="5">
        <f>IFERROR(ROUND(QO17/QQ17,2),0)</f>
        <v/>
      </c>
      <c r="QZ17" s="5">
        <f>IFERROR(ROUND(QO17/QR17,2),0)</f>
        <v/>
      </c>
      <c r="RA17" s="2" t="inlineStr">
        <is>
          <t>2023-09-26</t>
        </is>
      </c>
      <c r="RB17" s="5">
        <f>ROUND(1.49,2)</f>
        <v/>
      </c>
      <c r="RC17" s="3">
        <f>ROUND(2743.0,2)</f>
        <v/>
      </c>
      <c r="RD17" s="3">
        <f>ROUND(141.0,2)</f>
        <v/>
      </c>
      <c r="RE17" s="3">
        <f>ROUND(0.0,2)</f>
        <v/>
      </c>
      <c r="RF17" s="3">
        <f>ROUND(0.0,2)</f>
        <v/>
      </c>
      <c r="RG17" s="3">
        <f>ROUND(0.0,2)</f>
        <v/>
      </c>
      <c r="RH17" s="3">
        <f>ROUND(0.0,2)</f>
        <v/>
      </c>
      <c r="RI17" s="3">
        <f>ROUND(0.0,2)</f>
        <v/>
      </c>
      <c r="RJ17" s="4">
        <f>IFERROR((RD17/RC17),0)</f>
        <v/>
      </c>
      <c r="RK17" s="4">
        <f>IFERROR(((0+RB11+RB12+RB13+RB14+RB15+RB16+RB17)/T2),0)</f>
        <v/>
      </c>
      <c r="RL17" s="5">
        <f>IFERROR(ROUND(RB17/RD17,2),0)</f>
        <v/>
      </c>
      <c r="RM17" s="5">
        <f>IFERROR(ROUND(RB17/RE17,2),0)</f>
        <v/>
      </c>
      <c r="RN17" s="2" t="inlineStr">
        <is>
          <t>2023-09-26</t>
        </is>
      </c>
      <c r="RO17" s="5">
        <f>ROUND(0.06,2)</f>
        <v/>
      </c>
      <c r="RP17" s="3">
        <f>ROUND(153.0,2)</f>
        <v/>
      </c>
      <c r="RQ17" s="3">
        <f>ROUND(6.0,2)</f>
        <v/>
      </c>
      <c r="RR17" s="3">
        <f>ROUND(0.0,2)</f>
        <v/>
      </c>
      <c r="RS17" s="3">
        <f>ROUND(0.0,2)</f>
        <v/>
      </c>
      <c r="RT17" s="3">
        <f>ROUND(0.0,2)</f>
        <v/>
      </c>
      <c r="RU17" s="3">
        <f>ROUND(0.0,2)</f>
        <v/>
      </c>
      <c r="RV17" s="3">
        <f>ROUND(0.0,2)</f>
        <v/>
      </c>
      <c r="RW17" s="4">
        <f>IFERROR((RQ17/RP17),0)</f>
        <v/>
      </c>
      <c r="RX17" s="4">
        <f>IFERROR(((0+RO11+RO12+RO13+RO14+RO15+RO16+RO17)/T2),0)</f>
        <v/>
      </c>
      <c r="RY17" s="5">
        <f>IFERROR(ROUND(RO17/RQ17,2),0)</f>
        <v/>
      </c>
      <c r="RZ17" s="5">
        <f>IFERROR(ROUND(RO17/RR17,2),0)</f>
        <v/>
      </c>
      <c r="SA17" s="2" t="inlineStr">
        <is>
          <t>2023-09-26</t>
        </is>
      </c>
      <c r="SB17" s="5">
        <f>ROUND(0.69,2)</f>
        <v/>
      </c>
      <c r="SC17" s="3">
        <f>ROUND(3921.0,2)</f>
        <v/>
      </c>
      <c r="SD17" s="3">
        <f>ROUND(67.0,2)</f>
        <v/>
      </c>
      <c r="SE17" s="3">
        <f>ROUND(0.0,2)</f>
        <v/>
      </c>
      <c r="SF17" s="3">
        <f>ROUND(0.0,2)</f>
        <v/>
      </c>
      <c r="SG17" s="3">
        <f>ROUND(0.0,2)</f>
        <v/>
      </c>
      <c r="SH17" s="3">
        <f>ROUND(0.0,2)</f>
        <v/>
      </c>
      <c r="SI17" s="3">
        <f>ROUND(0.0,2)</f>
        <v/>
      </c>
      <c r="SJ17" s="4">
        <f>IFERROR((SD17/SC17),0)</f>
        <v/>
      </c>
      <c r="SK17" s="4">
        <f>IFERROR(((0+SB11+SB12+SB13+SB14+SB15+SB16+SB17)/T2),0)</f>
        <v/>
      </c>
      <c r="SL17" s="5">
        <f>IFERROR(ROUND(SB17/SD17,2),0)</f>
        <v/>
      </c>
      <c r="SM17" s="5">
        <f>IFERROR(ROUND(SB17/SE17,2),0)</f>
        <v/>
      </c>
      <c r="SN17" s="2" t="inlineStr">
        <is>
          <t>2023-09-26</t>
        </is>
      </c>
      <c r="SO17" s="5">
        <f>ROUND(0.29000000000000004,2)</f>
        <v/>
      </c>
      <c r="SP17" s="3">
        <f>ROUND(1660.0,2)</f>
        <v/>
      </c>
      <c r="SQ17" s="3">
        <f>ROUND(28.0,2)</f>
        <v/>
      </c>
      <c r="SR17" s="3">
        <f>ROUND(0.0,2)</f>
        <v/>
      </c>
      <c r="SS17" s="3">
        <f>ROUND(0.0,2)</f>
        <v/>
      </c>
      <c r="ST17" s="3">
        <f>ROUND(0.0,2)</f>
        <v/>
      </c>
      <c r="SU17" s="3">
        <f>ROUND(0.0,2)</f>
        <v/>
      </c>
      <c r="SV17" s="3">
        <f>ROUND(0.0,2)</f>
        <v/>
      </c>
      <c r="SW17" s="4">
        <f>IFERROR((SQ17/SP17),0)</f>
        <v/>
      </c>
      <c r="SX17" s="4">
        <f>IFERROR(((0+SO11+SO12+SO13+SO14+SO15+SO16+SO17)/T2),0)</f>
        <v/>
      </c>
      <c r="SY17" s="5">
        <f>IFERROR(ROUND(SO17/SQ17,2),0)</f>
        <v/>
      </c>
      <c r="SZ17" s="5">
        <f>IFERROR(ROUND(SO17/SR17,2),0)</f>
        <v/>
      </c>
    </row>
    <row r="18">
      <c r="A18" s="2" t="inlineStr">
        <is>
          <t>1 Weekly Total</t>
        </is>
      </c>
      <c r="B18" s="5">
        <f>ROUND(286.07,2)</f>
        <v/>
      </c>
      <c r="C18" s="3">
        <f>ROUND(803106.0,2)</f>
        <v/>
      </c>
      <c r="D18" s="3">
        <f>ROUND(17160.0,2)</f>
        <v/>
      </c>
      <c r="E18" s="3">
        <f>ROUND(0.0,2)</f>
        <v/>
      </c>
      <c r="F18" s="3">
        <f>ROUND(0.0,2)</f>
        <v/>
      </c>
      <c r="G18" s="3">
        <f>ROUND(0.0,2)</f>
        <v/>
      </c>
      <c r="H18" s="3">
        <f>ROUND(0.0,2)</f>
        <v/>
      </c>
      <c r="I18" s="3">
        <f>ROUND(0.0,2)</f>
        <v/>
      </c>
      <c r="J18" s="4">
        <f>IFERROR((D18/C18),0)</f>
        <v/>
      </c>
      <c r="K18" s="4">
        <f>IFERROR(((0+B11+B12+B13+B14+B15+B16+B17)/T2),0)</f>
        <v/>
      </c>
      <c r="L18" s="5">
        <f>IFERROR(ROUND(B18/D18,2),0)</f>
        <v/>
      </c>
      <c r="M18" s="5">
        <f>IFERROR(ROUND(B18/E18,2),0)</f>
        <v/>
      </c>
      <c r="N18" s="2" t="inlineStr">
        <is>
          <t>1 Weekly Total</t>
        </is>
      </c>
      <c r="O18" s="5">
        <f>ROUND(12.03,2)</f>
        <v/>
      </c>
      <c r="P18" s="3">
        <f>ROUND(16098.0,2)</f>
        <v/>
      </c>
      <c r="Q18" s="3">
        <f>ROUND(663.0,2)</f>
        <v/>
      </c>
      <c r="R18" s="3">
        <f>ROUND(0.0,2)</f>
        <v/>
      </c>
      <c r="S18" s="3">
        <f>ROUND(0.0,2)</f>
        <v/>
      </c>
      <c r="T18" s="3">
        <f>ROUND(0.0,2)</f>
        <v/>
      </c>
      <c r="U18" s="3">
        <f>ROUND(0.0,2)</f>
        <v/>
      </c>
      <c r="V18" s="3">
        <f>ROUND(0.0,2)</f>
        <v/>
      </c>
      <c r="W18" s="4">
        <f>IFERROR((Q18/P18),0)</f>
        <v/>
      </c>
      <c r="X18" s="4">
        <f>IFERROR(((0+O11+O12+O13+O14+O15+O16+O17)/T2),0)</f>
        <v/>
      </c>
      <c r="Y18" s="5">
        <f>IFERROR(ROUND(O18/Q18,2),0)</f>
        <v/>
      </c>
      <c r="Z18" s="5">
        <f>IFERROR(ROUND(O18/R18,2),0)</f>
        <v/>
      </c>
      <c r="AA18" s="2" t="inlineStr">
        <is>
          <t>1 Weekly Total</t>
        </is>
      </c>
      <c r="AB18" s="5">
        <f>ROUND(3.1,2)</f>
        <v/>
      </c>
      <c r="AC18" s="3">
        <f>ROUND(6868.0,2)</f>
        <v/>
      </c>
      <c r="AD18" s="3">
        <f>ROUND(145.0,2)</f>
        <v/>
      </c>
      <c r="AE18" s="3">
        <f>ROUND(0.0,2)</f>
        <v/>
      </c>
      <c r="AF18" s="3">
        <f>ROUND(0.0,2)</f>
        <v/>
      </c>
      <c r="AG18" s="3">
        <f>ROUND(0.0,2)</f>
        <v/>
      </c>
      <c r="AH18" s="3">
        <f>ROUND(0.0,2)</f>
        <v/>
      </c>
      <c r="AI18" s="3">
        <f>ROUND(0.0,2)</f>
        <v/>
      </c>
      <c r="AJ18" s="4">
        <f>IFERROR((AD18/AC18),0)</f>
        <v/>
      </c>
      <c r="AK18" s="4">
        <f>IFERROR(((0+AB11+AB12+AB13+AB14+AB15+AB16+AB17)/T2),0)</f>
        <v/>
      </c>
      <c r="AL18" s="5">
        <f>IFERROR(ROUND(AB18/AD18,2),0)</f>
        <v/>
      </c>
      <c r="AM18" s="5">
        <f>IFERROR(ROUND(AB18/AE18,2),0)</f>
        <v/>
      </c>
      <c r="AN18" s="2" t="inlineStr">
        <is>
          <t>1 Weekly Total</t>
        </is>
      </c>
      <c r="AO18" s="5">
        <f>ROUND(3.59,2)</f>
        <v/>
      </c>
      <c r="AP18" s="3">
        <f>ROUND(15599.0,2)</f>
        <v/>
      </c>
      <c r="AQ18" s="3">
        <f>ROUND(253.0,2)</f>
        <v/>
      </c>
      <c r="AR18" s="3">
        <f>ROUND(0.0,2)</f>
        <v/>
      </c>
      <c r="AS18" s="3">
        <f>ROUND(0.0,2)</f>
        <v/>
      </c>
      <c r="AT18" s="3">
        <f>ROUND(0.0,2)</f>
        <v/>
      </c>
      <c r="AU18" s="3">
        <f>ROUND(0.0,2)</f>
        <v/>
      </c>
      <c r="AV18" s="3">
        <f>ROUND(0.0,2)</f>
        <v/>
      </c>
      <c r="AW18" s="4">
        <f>IFERROR((AQ18/AP18),0)</f>
        <v/>
      </c>
      <c r="AX18" s="4">
        <f>IFERROR(((0+AO11+AO12+AO13+AO14+AO15+AO16+AO17)/T2),0)</f>
        <v/>
      </c>
      <c r="AY18" s="5">
        <f>IFERROR(ROUND(AO18/AQ18,2),0)</f>
        <v/>
      </c>
      <c r="AZ18" s="5">
        <f>IFERROR(ROUND(AO18/AR18,2),0)</f>
        <v/>
      </c>
      <c r="BA18" s="2" t="inlineStr">
        <is>
          <t>1 Weekly Total</t>
        </is>
      </c>
      <c r="BB18" s="5">
        <f>ROUND(5.03,2)</f>
        <v/>
      </c>
      <c r="BC18" s="3">
        <f>ROUND(9198.0,2)</f>
        <v/>
      </c>
      <c r="BD18" s="3">
        <f>ROUND(279.0,2)</f>
        <v/>
      </c>
      <c r="BE18" s="3">
        <f>ROUND(0.0,2)</f>
        <v/>
      </c>
      <c r="BF18" s="3">
        <f>ROUND(0.0,2)</f>
        <v/>
      </c>
      <c r="BG18" s="3">
        <f>ROUND(0.0,2)</f>
        <v/>
      </c>
      <c r="BH18" s="3">
        <f>ROUND(0.0,2)</f>
        <v/>
      </c>
      <c r="BI18" s="3">
        <f>ROUND(0.0,2)</f>
        <v/>
      </c>
      <c r="BJ18" s="4">
        <f>IFERROR((BD18/BC18),0)</f>
        <v/>
      </c>
      <c r="BK18" s="4">
        <f>IFERROR(((0+BB11+BB12+BB13+BB14+BB15+BB16+BB17)/T2),0)</f>
        <v/>
      </c>
      <c r="BL18" s="5">
        <f>IFERROR(ROUND(BB18/BD18,2),0)</f>
        <v/>
      </c>
      <c r="BM18" s="5">
        <f>IFERROR(ROUND(BB18/BE18,2),0)</f>
        <v/>
      </c>
      <c r="BN18" s="2" t="inlineStr">
        <is>
          <t>1 Weekly Total</t>
        </is>
      </c>
      <c r="BO18" s="5">
        <f>ROUND(1.13,2)</f>
        <v/>
      </c>
      <c r="BP18" s="3">
        <f>ROUND(3403.0,2)</f>
        <v/>
      </c>
      <c r="BQ18" s="3">
        <f>ROUND(65.0,2)</f>
        <v/>
      </c>
      <c r="BR18" s="3">
        <f>ROUND(0.0,2)</f>
        <v/>
      </c>
      <c r="BS18" s="3">
        <f>ROUND(0.0,2)</f>
        <v/>
      </c>
      <c r="BT18" s="3">
        <f>ROUND(0.0,2)</f>
        <v/>
      </c>
      <c r="BU18" s="3">
        <f>ROUND(0.0,2)</f>
        <v/>
      </c>
      <c r="BV18" s="3">
        <f>ROUND(0.0,2)</f>
        <v/>
      </c>
      <c r="BW18" s="4">
        <f>IFERROR((BQ18/BP18),0)</f>
        <v/>
      </c>
      <c r="BX18" s="4">
        <f>IFERROR(((0+BO11+BO12+BO13+BO14+BO15+BO16+BO17)/T2),0)</f>
        <v/>
      </c>
      <c r="BY18" s="5">
        <f>IFERROR(ROUND(BO18/BQ18,2),0)</f>
        <v/>
      </c>
      <c r="BZ18" s="5">
        <f>IFERROR(ROUND(BO18/BR18,2),0)</f>
        <v/>
      </c>
      <c r="CA18" s="2" t="inlineStr">
        <is>
          <t>1 Weekly Total</t>
        </is>
      </c>
      <c r="CB18" s="5">
        <f>ROUND(3.87,2)</f>
        <v/>
      </c>
      <c r="CC18" s="3">
        <f>ROUND(6601.0,2)</f>
        <v/>
      </c>
      <c r="CD18" s="3">
        <f>ROUND(210.0,2)</f>
        <v/>
      </c>
      <c r="CE18" s="3">
        <f>ROUND(0.0,2)</f>
        <v/>
      </c>
      <c r="CF18" s="3">
        <f>ROUND(0.0,2)</f>
        <v/>
      </c>
      <c r="CG18" s="3">
        <f>ROUND(0.0,2)</f>
        <v/>
      </c>
      <c r="CH18" s="3">
        <f>ROUND(0.0,2)</f>
        <v/>
      </c>
      <c r="CI18" s="3">
        <f>ROUND(0.0,2)</f>
        <v/>
      </c>
      <c r="CJ18" s="4">
        <f>IFERROR((CD18/CC18),0)</f>
        <v/>
      </c>
      <c r="CK18" s="4">
        <f>IFERROR(((0+CB11+CB12+CB13+CB14+CB15+CB16+CB17)/T2),0)</f>
        <v/>
      </c>
      <c r="CL18" s="5">
        <f>IFERROR(ROUND(CB18/CD18,2),0)</f>
        <v/>
      </c>
      <c r="CM18" s="5">
        <f>IFERROR(ROUND(CB18/CE18,2),0)</f>
        <v/>
      </c>
      <c r="CN18" s="2" t="inlineStr">
        <is>
          <t>1 Weekly Total</t>
        </is>
      </c>
      <c r="CO18" s="5">
        <f>ROUND(14.49,2)</f>
        <v/>
      </c>
      <c r="CP18" s="3">
        <f>ROUND(47386.0,2)</f>
        <v/>
      </c>
      <c r="CQ18" s="3">
        <f>ROUND(894.0,2)</f>
        <v/>
      </c>
      <c r="CR18" s="3">
        <f>ROUND(0.0,2)</f>
        <v/>
      </c>
      <c r="CS18" s="3">
        <f>ROUND(0.0,2)</f>
        <v/>
      </c>
      <c r="CT18" s="3">
        <f>ROUND(0.0,2)</f>
        <v/>
      </c>
      <c r="CU18" s="3">
        <f>ROUND(0.0,2)</f>
        <v/>
      </c>
      <c r="CV18" s="3">
        <f>ROUND(0.0,2)</f>
        <v/>
      </c>
      <c r="CW18" s="4">
        <f>IFERROR((CQ18/CP18),0)</f>
        <v/>
      </c>
      <c r="CX18" s="4">
        <f>IFERROR(((0+CO11+CO12+CO13+CO14+CO15+CO16+CO17)/T2),0)</f>
        <v/>
      </c>
      <c r="CY18" s="5">
        <f>IFERROR(ROUND(CO18/CQ18,2),0)</f>
        <v/>
      </c>
      <c r="CZ18" s="5">
        <f>IFERROR(ROUND(CO18/CR18,2),0)</f>
        <v/>
      </c>
      <c r="DA18" s="2" t="inlineStr">
        <is>
          <t>1 Weekly Total</t>
        </is>
      </c>
      <c r="DB18" s="5">
        <f>ROUND(6.01,2)</f>
        <v/>
      </c>
      <c r="DC18" s="3">
        <f>ROUND(28032.0,2)</f>
        <v/>
      </c>
      <c r="DD18" s="3">
        <f>ROUND(431.0,2)</f>
        <v/>
      </c>
      <c r="DE18" s="3">
        <f>ROUND(0.0,2)</f>
        <v/>
      </c>
      <c r="DF18" s="3">
        <f>ROUND(0.0,2)</f>
        <v/>
      </c>
      <c r="DG18" s="3">
        <f>ROUND(0.0,2)</f>
        <v/>
      </c>
      <c r="DH18" s="3">
        <f>ROUND(0.0,2)</f>
        <v/>
      </c>
      <c r="DI18" s="3">
        <f>ROUND(0.0,2)</f>
        <v/>
      </c>
      <c r="DJ18" s="4">
        <f>IFERROR((DD18/DC18),0)</f>
        <v/>
      </c>
      <c r="DK18" s="4">
        <f>IFERROR(((0+DB11+DB12+DB13+DB14+DB15+DB16+DB17)/T2),0)</f>
        <v/>
      </c>
      <c r="DL18" s="5">
        <f>IFERROR(ROUND(DB18/DD18,2),0)</f>
        <v/>
      </c>
      <c r="DM18" s="5">
        <f>IFERROR(ROUND(DB18/DE18,2),0)</f>
        <v/>
      </c>
      <c r="DN18" s="2" t="inlineStr">
        <is>
          <t>1 Weekly Total</t>
        </is>
      </c>
      <c r="DO18" s="5">
        <f>ROUND(0.74,2)</f>
        <v/>
      </c>
      <c r="DP18" s="3">
        <f>ROUND(3941.0,2)</f>
        <v/>
      </c>
      <c r="DQ18" s="3">
        <f>ROUND(51.0,2)</f>
        <v/>
      </c>
      <c r="DR18" s="3">
        <f>ROUND(0.0,2)</f>
        <v/>
      </c>
      <c r="DS18" s="3">
        <f>ROUND(0.0,2)</f>
        <v/>
      </c>
      <c r="DT18" s="3">
        <f>ROUND(0.0,2)</f>
        <v/>
      </c>
      <c r="DU18" s="3">
        <f>ROUND(0.0,2)</f>
        <v/>
      </c>
      <c r="DV18" s="3">
        <f>ROUND(0.0,2)</f>
        <v/>
      </c>
      <c r="DW18" s="4">
        <f>IFERROR((DQ18/DP18),0)</f>
        <v/>
      </c>
      <c r="DX18" s="4">
        <f>IFERROR(((0+DO11+DO12+DO13+DO14+DO15+DO16+DO17)/T2),0)</f>
        <v/>
      </c>
      <c r="DY18" s="5">
        <f>IFERROR(ROUND(DO18/DQ18,2),0)</f>
        <v/>
      </c>
      <c r="DZ18" s="5">
        <f>IFERROR(ROUND(DO18/DR18,2),0)</f>
        <v/>
      </c>
      <c r="EA18" s="2" t="inlineStr">
        <is>
          <t>1 Weekly Total</t>
        </is>
      </c>
      <c r="EB18" s="5">
        <f>ROUND(27.25,2)</f>
        <v/>
      </c>
      <c r="EC18" s="3">
        <f>ROUND(144504.0,2)</f>
        <v/>
      </c>
      <c r="ED18" s="3">
        <f>ROUND(1860.0,2)</f>
        <v/>
      </c>
      <c r="EE18" s="3">
        <f>ROUND(0.0,2)</f>
        <v/>
      </c>
      <c r="EF18" s="3">
        <f>ROUND(0.0,2)</f>
        <v/>
      </c>
      <c r="EG18" s="3">
        <f>ROUND(0.0,2)</f>
        <v/>
      </c>
      <c r="EH18" s="3">
        <f>ROUND(0.0,2)</f>
        <v/>
      </c>
      <c r="EI18" s="3">
        <f>ROUND(0.0,2)</f>
        <v/>
      </c>
      <c r="EJ18" s="4">
        <f>IFERROR((ED18/EC18),0)</f>
        <v/>
      </c>
      <c r="EK18" s="4">
        <f>IFERROR(((0+EB11+EB12+EB13+EB14+EB15+EB16+EB17)/T2),0)</f>
        <v/>
      </c>
      <c r="EL18" s="5">
        <f>IFERROR(ROUND(EB18/ED18,2),0)</f>
        <v/>
      </c>
      <c r="EM18" s="5">
        <f>IFERROR(ROUND(EB18/EE18,2),0)</f>
        <v/>
      </c>
      <c r="EN18" s="2" t="inlineStr">
        <is>
          <t>1 Weekly Total</t>
        </is>
      </c>
      <c r="EO18" s="5">
        <f>ROUND(3.41,2)</f>
        <v/>
      </c>
      <c r="EP18" s="3">
        <f>ROUND(5455.0,2)</f>
        <v/>
      </c>
      <c r="EQ18" s="3">
        <f>ROUND(194.0,2)</f>
        <v/>
      </c>
      <c r="ER18" s="3">
        <f>ROUND(0.0,2)</f>
        <v/>
      </c>
      <c r="ES18" s="3">
        <f>ROUND(0.0,2)</f>
        <v/>
      </c>
      <c r="ET18" s="3">
        <f>ROUND(0.0,2)</f>
        <v/>
      </c>
      <c r="EU18" s="3">
        <f>ROUND(0.0,2)</f>
        <v/>
      </c>
      <c r="EV18" s="3">
        <f>ROUND(0.0,2)</f>
        <v/>
      </c>
      <c r="EW18" s="4">
        <f>IFERROR((EQ18/EP18),0)</f>
        <v/>
      </c>
      <c r="EX18" s="4">
        <f>IFERROR(((0+EO11+EO12+EO13+EO14+EO15+EO16+EO17)/T2),0)</f>
        <v/>
      </c>
      <c r="EY18" s="5">
        <f>IFERROR(ROUND(EO18/EQ18,2),0)</f>
        <v/>
      </c>
      <c r="EZ18" s="5">
        <f>IFERROR(ROUND(EO18/ER18,2),0)</f>
        <v/>
      </c>
      <c r="FA18" s="2" t="inlineStr">
        <is>
          <t>1 Weekly Total</t>
        </is>
      </c>
      <c r="FB18" s="5">
        <f>ROUND(15.4,2)</f>
        <v/>
      </c>
      <c r="FC18" s="3">
        <f>ROUND(49991.0,2)</f>
        <v/>
      </c>
      <c r="FD18" s="3">
        <f>ROUND(950.0,2)</f>
        <v/>
      </c>
      <c r="FE18" s="3">
        <f>ROUND(0.0,2)</f>
        <v/>
      </c>
      <c r="FF18" s="3">
        <f>ROUND(0.0,2)</f>
        <v/>
      </c>
      <c r="FG18" s="3">
        <f>ROUND(0.0,2)</f>
        <v/>
      </c>
      <c r="FH18" s="3">
        <f>ROUND(0.0,2)</f>
        <v/>
      </c>
      <c r="FI18" s="3">
        <f>ROUND(0.0,2)</f>
        <v/>
      </c>
      <c r="FJ18" s="4">
        <f>IFERROR((FD18/FC18),0)</f>
        <v/>
      </c>
      <c r="FK18" s="4">
        <f>IFERROR(((0+FB11+FB12+FB13+FB14+FB15+FB16+FB17)/T2),0)</f>
        <v/>
      </c>
      <c r="FL18" s="5">
        <f>IFERROR(ROUND(FB18/FD18,2),0)</f>
        <v/>
      </c>
      <c r="FM18" s="5">
        <f>IFERROR(ROUND(FB18/FE18,2),0)</f>
        <v/>
      </c>
      <c r="FN18" s="2" t="inlineStr">
        <is>
          <t>1 Weekly Total</t>
        </is>
      </c>
      <c r="FO18" s="5">
        <f>ROUND(71.72,2)</f>
        <v/>
      </c>
      <c r="FP18" s="3">
        <f>ROUND(121647.0,2)</f>
        <v/>
      </c>
      <c r="FQ18" s="3">
        <f>ROUND(4372.0,2)</f>
        <v/>
      </c>
      <c r="FR18" s="3">
        <f>ROUND(0.0,2)</f>
        <v/>
      </c>
      <c r="FS18" s="3">
        <f>ROUND(0.0,2)</f>
        <v/>
      </c>
      <c r="FT18" s="3">
        <f>ROUND(0.0,2)</f>
        <v/>
      </c>
      <c r="FU18" s="3">
        <f>ROUND(0.0,2)</f>
        <v/>
      </c>
      <c r="FV18" s="3">
        <f>ROUND(0.0,2)</f>
        <v/>
      </c>
      <c r="FW18" s="4">
        <f>IFERROR((FQ18/FP18),0)</f>
        <v/>
      </c>
      <c r="FX18" s="4">
        <f>IFERROR(((0+FO11+FO12+FO13+FO14+FO15+FO16+FO17)/T2),0)</f>
        <v/>
      </c>
      <c r="FY18" s="5">
        <f>IFERROR(ROUND(FO18/FQ18,2),0)</f>
        <v/>
      </c>
      <c r="FZ18" s="5">
        <f>IFERROR(ROUND(FO18/FR18,2),0)</f>
        <v/>
      </c>
      <c r="GA18" s="2" t="inlineStr">
        <is>
          <t>1 Weekly Total</t>
        </is>
      </c>
      <c r="GB18" s="5">
        <f>ROUND(1.31,2)</f>
        <v/>
      </c>
      <c r="GC18" s="3">
        <f>ROUND(2908.0,2)</f>
        <v/>
      </c>
      <c r="GD18" s="3">
        <f>ROUND(88.0,2)</f>
        <v/>
      </c>
      <c r="GE18" s="3">
        <f>ROUND(0.0,2)</f>
        <v/>
      </c>
      <c r="GF18" s="3">
        <f>ROUND(0.0,2)</f>
        <v/>
      </c>
      <c r="GG18" s="3">
        <f>ROUND(0.0,2)</f>
        <v/>
      </c>
      <c r="GH18" s="3">
        <f>ROUND(0.0,2)</f>
        <v/>
      </c>
      <c r="GI18" s="3">
        <f>ROUND(0.0,2)</f>
        <v/>
      </c>
      <c r="GJ18" s="4">
        <f>IFERROR((GD18/GC18),0)</f>
        <v/>
      </c>
      <c r="GK18" s="4">
        <f>IFERROR(((0+GB11+GB12+GB13+GB14+GB15+GB16+GB17)/T2),0)</f>
        <v/>
      </c>
      <c r="GL18" s="5">
        <f>IFERROR(ROUND(GB18/GD18,2),0)</f>
        <v/>
      </c>
      <c r="GM18" s="5">
        <f>IFERROR(ROUND(GB18/GE18,2),0)</f>
        <v/>
      </c>
      <c r="GN18" s="2" t="inlineStr">
        <is>
          <t>1 Weekly Total</t>
        </is>
      </c>
      <c r="GO18" s="5">
        <f>ROUND(15.19,2)</f>
        <v/>
      </c>
      <c r="GP18" s="3">
        <f>ROUND(86969.0,2)</f>
        <v/>
      </c>
      <c r="GQ18" s="3">
        <f>ROUND(1200.0,2)</f>
        <v/>
      </c>
      <c r="GR18" s="3">
        <f>ROUND(0.0,2)</f>
        <v/>
      </c>
      <c r="GS18" s="3">
        <f>ROUND(0.0,2)</f>
        <v/>
      </c>
      <c r="GT18" s="3">
        <f>ROUND(0.0,2)</f>
        <v/>
      </c>
      <c r="GU18" s="3">
        <f>ROUND(0.0,2)</f>
        <v/>
      </c>
      <c r="GV18" s="3">
        <f>ROUND(0.0,2)</f>
        <v/>
      </c>
      <c r="GW18" s="4">
        <f>IFERROR((GQ18/GP18),0)</f>
        <v/>
      </c>
      <c r="GX18" s="4">
        <f>IFERROR(((0+GO11+GO12+GO13+GO14+GO15+GO16+GO17)/T2),0)</f>
        <v/>
      </c>
      <c r="GY18" s="5">
        <f>IFERROR(ROUND(GO18/GQ18,2),0)</f>
        <v/>
      </c>
      <c r="GZ18" s="5">
        <f>IFERROR(ROUND(GO18/GR18,2),0)</f>
        <v/>
      </c>
      <c r="HA18" s="2" t="inlineStr">
        <is>
          <t>1 Weekly Total</t>
        </is>
      </c>
      <c r="HB18" s="5">
        <f>ROUND(9.06,2)</f>
        <v/>
      </c>
      <c r="HC18" s="3">
        <f>ROUND(13416.0,2)</f>
        <v/>
      </c>
      <c r="HD18" s="3">
        <f>ROUND(524.0,2)</f>
        <v/>
      </c>
      <c r="HE18" s="3">
        <f>ROUND(0.0,2)</f>
        <v/>
      </c>
      <c r="HF18" s="3">
        <f>ROUND(0.0,2)</f>
        <v/>
      </c>
      <c r="HG18" s="3">
        <f>ROUND(0.0,2)</f>
        <v/>
      </c>
      <c r="HH18" s="3">
        <f>ROUND(0.0,2)</f>
        <v/>
      </c>
      <c r="HI18" s="3">
        <f>ROUND(0.0,2)</f>
        <v/>
      </c>
      <c r="HJ18" s="4">
        <f>IFERROR((HD18/HC18),0)</f>
        <v/>
      </c>
      <c r="HK18" s="4">
        <f>IFERROR(((0+HB11+HB12+HB13+HB14+HB15+HB16+HB17)/T2),0)</f>
        <v/>
      </c>
      <c r="HL18" s="5">
        <f>IFERROR(ROUND(HB18/HD18,2),0)</f>
        <v/>
      </c>
      <c r="HM18" s="5">
        <f>IFERROR(ROUND(HB18/HE18,2),0)</f>
        <v/>
      </c>
      <c r="HN18" s="2" t="inlineStr">
        <is>
          <t>1 Weekly Total</t>
        </is>
      </c>
      <c r="HO18" s="5">
        <f>ROUND(2.43,2)</f>
        <v/>
      </c>
      <c r="HP18" s="3">
        <f>ROUND(5889.0,2)</f>
        <v/>
      </c>
      <c r="HQ18" s="3">
        <f>ROUND(160.0,2)</f>
        <v/>
      </c>
      <c r="HR18" s="3">
        <f>ROUND(0.0,2)</f>
        <v/>
      </c>
      <c r="HS18" s="3">
        <f>ROUND(0.0,2)</f>
        <v/>
      </c>
      <c r="HT18" s="3">
        <f>ROUND(0.0,2)</f>
        <v/>
      </c>
      <c r="HU18" s="3">
        <f>ROUND(0.0,2)</f>
        <v/>
      </c>
      <c r="HV18" s="3">
        <f>ROUND(0.0,2)</f>
        <v/>
      </c>
      <c r="HW18" s="4">
        <f>IFERROR((HQ18/HP18),0)</f>
        <v/>
      </c>
      <c r="HX18" s="4">
        <f>IFERROR(((0+HO11+HO12+HO13+HO14+HO15+HO16+HO17)/T2),0)</f>
        <v/>
      </c>
      <c r="HY18" s="5">
        <f>IFERROR(ROUND(HO18/HQ18,2),0)</f>
        <v/>
      </c>
      <c r="HZ18" s="5">
        <f>IFERROR(ROUND(HO18/HR18,2),0)</f>
        <v/>
      </c>
      <c r="IA18" s="2" t="inlineStr">
        <is>
          <t>1 Weekly Total</t>
        </is>
      </c>
      <c r="IB18" s="5">
        <f>ROUND(8.61,2)</f>
        <v/>
      </c>
      <c r="IC18" s="3">
        <f>ROUND(13310.0,2)</f>
        <v/>
      </c>
      <c r="ID18" s="3">
        <f>ROUND(436.0,2)</f>
        <v/>
      </c>
      <c r="IE18" s="3">
        <f>ROUND(0.0,2)</f>
        <v/>
      </c>
      <c r="IF18" s="3">
        <f>ROUND(0.0,2)</f>
        <v/>
      </c>
      <c r="IG18" s="3">
        <f>ROUND(0.0,2)</f>
        <v/>
      </c>
      <c r="IH18" s="3">
        <f>ROUND(0.0,2)</f>
        <v/>
      </c>
      <c r="II18" s="3">
        <f>ROUND(0.0,2)</f>
        <v/>
      </c>
      <c r="IJ18" s="4">
        <f>IFERROR((ID18/IC18),0)</f>
        <v/>
      </c>
      <c r="IK18" s="4">
        <f>IFERROR(((0+IB11+IB12+IB13+IB14+IB15+IB16+IB17)/T2),0)</f>
        <v/>
      </c>
      <c r="IL18" s="5">
        <f>IFERROR(ROUND(IB18/ID18,2),0)</f>
        <v/>
      </c>
      <c r="IM18" s="5">
        <f>IFERROR(ROUND(IB18/IE18,2),0)</f>
        <v/>
      </c>
      <c r="IN18" s="2" t="inlineStr">
        <is>
          <t>1 Weekly Total</t>
        </is>
      </c>
      <c r="IO18" s="5">
        <f>ROUND(4.77,2)</f>
        <v/>
      </c>
      <c r="IP18" s="3">
        <f>ROUND(18384.0,2)</f>
        <v/>
      </c>
      <c r="IQ18" s="3">
        <f>ROUND(270.0,2)</f>
        <v/>
      </c>
      <c r="IR18" s="3">
        <f>ROUND(0.0,2)</f>
        <v/>
      </c>
      <c r="IS18" s="3">
        <f>ROUND(0.0,2)</f>
        <v/>
      </c>
      <c r="IT18" s="3">
        <f>ROUND(0.0,2)</f>
        <v/>
      </c>
      <c r="IU18" s="3">
        <f>ROUND(0.0,2)</f>
        <v/>
      </c>
      <c r="IV18" s="3">
        <f>ROUND(0.0,2)</f>
        <v/>
      </c>
      <c r="IW18" s="4">
        <f>IFERROR((IQ18/IP18),0)</f>
        <v/>
      </c>
      <c r="IX18" s="4">
        <f>IFERROR(((0+IO11+IO12+IO13+IO14+IO15+IO16+IO17)/T2),0)</f>
        <v/>
      </c>
      <c r="IY18" s="5">
        <f>IFERROR(ROUND(IO18/IQ18,2),0)</f>
        <v/>
      </c>
      <c r="IZ18" s="5">
        <f>IFERROR(ROUND(IO18/IR18,2),0)</f>
        <v/>
      </c>
      <c r="JA18" s="2" t="inlineStr">
        <is>
          <t>1 Weekly Total</t>
        </is>
      </c>
      <c r="JB18" s="5">
        <f>ROUND(4.2,2)</f>
        <v/>
      </c>
      <c r="JC18" s="3">
        <f>ROUND(8753.0,2)</f>
        <v/>
      </c>
      <c r="JD18" s="3">
        <f>ROUND(227.0,2)</f>
        <v/>
      </c>
      <c r="JE18" s="3">
        <f>ROUND(0.0,2)</f>
        <v/>
      </c>
      <c r="JF18" s="3">
        <f>ROUND(0.0,2)</f>
        <v/>
      </c>
      <c r="JG18" s="3">
        <f>ROUND(0.0,2)</f>
        <v/>
      </c>
      <c r="JH18" s="3">
        <f>ROUND(0.0,2)</f>
        <v/>
      </c>
      <c r="JI18" s="3">
        <f>ROUND(0.0,2)</f>
        <v/>
      </c>
      <c r="JJ18" s="4">
        <f>IFERROR((JD18/JC18),0)</f>
        <v/>
      </c>
      <c r="JK18" s="4">
        <f>IFERROR(((0+JB11+JB12+JB13+JB14+JB15+JB16+JB17)/T2),0)</f>
        <v/>
      </c>
      <c r="JL18" s="5">
        <f>IFERROR(ROUND(JB18/JD18,2),0)</f>
        <v/>
      </c>
      <c r="JM18" s="5">
        <f>IFERROR(ROUND(JB18/JE18,2),0)</f>
        <v/>
      </c>
      <c r="JN18" s="2" t="inlineStr">
        <is>
          <t>1 Weekly Total</t>
        </is>
      </c>
      <c r="JO18" s="5">
        <f>ROUND(1.53,2)</f>
        <v/>
      </c>
      <c r="JP18" s="3">
        <f>ROUND(2654.0,2)</f>
        <v/>
      </c>
      <c r="JQ18" s="3">
        <f>ROUND(61.0,2)</f>
        <v/>
      </c>
      <c r="JR18" s="3">
        <f>ROUND(0.0,2)</f>
        <v/>
      </c>
      <c r="JS18" s="3">
        <f>ROUND(0.0,2)</f>
        <v/>
      </c>
      <c r="JT18" s="3">
        <f>ROUND(0.0,2)</f>
        <v/>
      </c>
      <c r="JU18" s="3">
        <f>ROUND(0.0,2)</f>
        <v/>
      </c>
      <c r="JV18" s="3">
        <f>ROUND(0.0,2)</f>
        <v/>
      </c>
      <c r="JW18" s="4">
        <f>IFERROR((JQ18/JP18),0)</f>
        <v/>
      </c>
      <c r="JX18" s="4">
        <f>IFERROR(((0+JO11+JO12+JO13+JO14+JO15+JO16+JO17)/T2),0)</f>
        <v/>
      </c>
      <c r="JY18" s="5">
        <f>IFERROR(ROUND(JO18/JQ18,2),0)</f>
        <v/>
      </c>
      <c r="JZ18" s="5">
        <f>IFERROR(ROUND(JO18/JR18,2),0)</f>
        <v/>
      </c>
      <c r="KA18" s="2" t="inlineStr">
        <is>
          <t>1 Weekly Total</t>
        </is>
      </c>
      <c r="KB18" s="5">
        <f>ROUND(1.01,2)</f>
        <v/>
      </c>
      <c r="KC18" s="3">
        <f>ROUND(1970.0,2)</f>
        <v/>
      </c>
      <c r="KD18" s="3">
        <f>ROUND(38.0,2)</f>
        <v/>
      </c>
      <c r="KE18" s="3">
        <f>ROUND(0.0,2)</f>
        <v/>
      </c>
      <c r="KF18" s="3">
        <f>ROUND(0.0,2)</f>
        <v/>
      </c>
      <c r="KG18" s="3">
        <f>ROUND(0.0,2)</f>
        <v/>
      </c>
      <c r="KH18" s="3">
        <f>ROUND(0.0,2)</f>
        <v/>
      </c>
      <c r="KI18" s="3">
        <f>ROUND(0.0,2)</f>
        <v/>
      </c>
      <c r="KJ18" s="4">
        <f>IFERROR((KD18/KC18),0)</f>
        <v/>
      </c>
      <c r="KK18" s="4">
        <f>IFERROR(((0+KB11+KB12+KB13+KB14+KB15+KB16+KB17)/T2),0)</f>
        <v/>
      </c>
      <c r="KL18" s="5">
        <f>IFERROR(ROUND(KB18/KD18,2),0)</f>
        <v/>
      </c>
      <c r="KM18" s="5">
        <f>IFERROR(ROUND(KB18/KE18,2),0)</f>
        <v/>
      </c>
      <c r="KN18" s="2" t="inlineStr">
        <is>
          <t>1 Weekly Total</t>
        </is>
      </c>
      <c r="KO18" s="5">
        <f>ROUND(5.64,2)</f>
        <v/>
      </c>
      <c r="KP18" s="3">
        <f>ROUND(30892.0,2)</f>
        <v/>
      </c>
      <c r="KQ18" s="3">
        <f>ROUND(328.0,2)</f>
        <v/>
      </c>
      <c r="KR18" s="3">
        <f>ROUND(0.0,2)</f>
        <v/>
      </c>
      <c r="KS18" s="3">
        <f>ROUND(0.0,2)</f>
        <v/>
      </c>
      <c r="KT18" s="3">
        <f>ROUND(0.0,2)</f>
        <v/>
      </c>
      <c r="KU18" s="3">
        <f>ROUND(0.0,2)</f>
        <v/>
      </c>
      <c r="KV18" s="3">
        <f>ROUND(0.0,2)</f>
        <v/>
      </c>
      <c r="KW18" s="4">
        <f>IFERROR((KQ18/KP18),0)</f>
        <v/>
      </c>
      <c r="KX18" s="4">
        <f>IFERROR(((0+KO11+KO12+KO13+KO14+KO15+KO16+KO17)/T2),0)</f>
        <v/>
      </c>
      <c r="KY18" s="5">
        <f>IFERROR(ROUND(KO18/KQ18,2),0)</f>
        <v/>
      </c>
      <c r="KZ18" s="5">
        <f>IFERROR(ROUND(KO18/KR18,2),0)</f>
        <v/>
      </c>
      <c r="LA18" s="2" t="inlineStr">
        <is>
          <t>1 Weekly Total</t>
        </is>
      </c>
      <c r="LB18" s="5">
        <f>ROUND(7.44,2)</f>
        <v/>
      </c>
      <c r="LC18" s="3">
        <f>ROUND(36567.0,2)</f>
        <v/>
      </c>
      <c r="LD18" s="3">
        <f>ROUND(429.0,2)</f>
        <v/>
      </c>
      <c r="LE18" s="3">
        <f>ROUND(0.0,2)</f>
        <v/>
      </c>
      <c r="LF18" s="3">
        <f>ROUND(0.0,2)</f>
        <v/>
      </c>
      <c r="LG18" s="3">
        <f>ROUND(0.0,2)</f>
        <v/>
      </c>
      <c r="LH18" s="3">
        <f>ROUND(0.0,2)</f>
        <v/>
      </c>
      <c r="LI18" s="3">
        <f>ROUND(0.0,2)</f>
        <v/>
      </c>
      <c r="LJ18" s="4">
        <f>IFERROR((LD18/LC18),0)</f>
        <v/>
      </c>
      <c r="LK18" s="4">
        <f>IFERROR(((0+LB11+LB12+LB13+LB14+LB15+LB16+LB17)/T2),0)</f>
        <v/>
      </c>
      <c r="LL18" s="5">
        <f>IFERROR(ROUND(LB18/LD18,2),0)</f>
        <v/>
      </c>
      <c r="LM18" s="5">
        <f>IFERROR(ROUND(LB18/LE18,2),0)</f>
        <v/>
      </c>
      <c r="LN18" s="2" t="inlineStr">
        <is>
          <t>1 Weekly Total</t>
        </is>
      </c>
      <c r="LO18" s="5">
        <f>ROUND(2.85,2)</f>
        <v/>
      </c>
      <c r="LP18" s="3">
        <f>ROUND(10146.0,2)</f>
        <v/>
      </c>
      <c r="LQ18" s="3">
        <f>ROUND(174.0,2)</f>
        <v/>
      </c>
      <c r="LR18" s="3">
        <f>ROUND(0.0,2)</f>
        <v/>
      </c>
      <c r="LS18" s="3">
        <f>ROUND(0.0,2)</f>
        <v/>
      </c>
      <c r="LT18" s="3">
        <f>ROUND(0.0,2)</f>
        <v/>
      </c>
      <c r="LU18" s="3">
        <f>ROUND(0.0,2)</f>
        <v/>
      </c>
      <c r="LV18" s="3">
        <f>ROUND(0.0,2)</f>
        <v/>
      </c>
      <c r="LW18" s="4">
        <f>IFERROR((LQ18/LP18),0)</f>
        <v/>
      </c>
      <c r="LX18" s="4">
        <f>IFERROR(((0+LO11+LO12+LO13+LO14+LO15+LO16+LO17)/T2),0)</f>
        <v/>
      </c>
      <c r="LY18" s="5">
        <f>IFERROR(ROUND(LO18/LQ18,2),0)</f>
        <v/>
      </c>
      <c r="LZ18" s="5">
        <f>IFERROR(ROUND(LO18/LR18,2),0)</f>
        <v/>
      </c>
      <c r="MA18" s="2" t="inlineStr">
        <is>
          <t>1 Weekly Total</t>
        </is>
      </c>
      <c r="MB18" s="5">
        <f>ROUND(2.34,2)</f>
        <v/>
      </c>
      <c r="MC18" s="3">
        <f>ROUND(9740.0,2)</f>
        <v/>
      </c>
      <c r="MD18" s="3">
        <f>ROUND(131.0,2)</f>
        <v/>
      </c>
      <c r="ME18" s="3">
        <f>ROUND(0.0,2)</f>
        <v/>
      </c>
      <c r="MF18" s="3">
        <f>ROUND(0.0,2)</f>
        <v/>
      </c>
      <c r="MG18" s="3">
        <f>ROUND(0.0,2)</f>
        <v/>
      </c>
      <c r="MH18" s="3">
        <f>ROUND(0.0,2)</f>
        <v/>
      </c>
      <c r="MI18" s="3">
        <f>ROUND(0.0,2)</f>
        <v/>
      </c>
      <c r="MJ18" s="4">
        <f>IFERROR((MD18/MC18),0)</f>
        <v/>
      </c>
      <c r="MK18" s="4">
        <f>IFERROR(((0+MB11+MB12+MB13+MB14+MB15+MB16+MB17)/T2),0)</f>
        <v/>
      </c>
      <c r="ML18" s="5">
        <f>IFERROR(ROUND(MB18/MD18,2),0)</f>
        <v/>
      </c>
      <c r="MM18" s="5">
        <f>IFERROR(ROUND(MB18/ME18,2),0)</f>
        <v/>
      </c>
      <c r="MN18" s="2" t="inlineStr">
        <is>
          <t>1 Weekly Total</t>
        </is>
      </c>
      <c r="MO18" s="5">
        <f>ROUND(18.15,2)</f>
        <v/>
      </c>
      <c r="MP18" s="3">
        <f>ROUND(19941.0,2)</f>
        <v/>
      </c>
      <c r="MQ18" s="3">
        <f>ROUND(1042.0,2)</f>
        <v/>
      </c>
      <c r="MR18" s="3">
        <f>ROUND(0.0,2)</f>
        <v/>
      </c>
      <c r="MS18" s="3">
        <f>ROUND(0.0,2)</f>
        <v/>
      </c>
      <c r="MT18" s="3">
        <f>ROUND(0.0,2)</f>
        <v/>
      </c>
      <c r="MU18" s="3">
        <f>ROUND(0.0,2)</f>
        <v/>
      </c>
      <c r="MV18" s="3">
        <f>ROUND(0.0,2)</f>
        <v/>
      </c>
      <c r="MW18" s="4">
        <f>IFERROR((MQ18/MP18),0)</f>
        <v/>
      </c>
      <c r="MX18" s="4">
        <f>IFERROR(((0+MO11+MO12+MO13+MO14+MO15+MO16+MO17)/T2),0)</f>
        <v/>
      </c>
      <c r="MY18" s="5">
        <f>IFERROR(ROUND(MO18/MQ18,2),0)</f>
        <v/>
      </c>
      <c r="MZ18" s="5">
        <f>IFERROR(ROUND(MO18/MR18,2),0)</f>
        <v/>
      </c>
      <c r="NA18" s="2" t="inlineStr">
        <is>
          <t>1 Weekly Total</t>
        </is>
      </c>
      <c r="NB18" s="5">
        <f>ROUND(3.77,2)</f>
        <v/>
      </c>
      <c r="NC18" s="3">
        <f>ROUND(13215.0,2)</f>
        <v/>
      </c>
      <c r="ND18" s="3">
        <f>ROUND(161.0,2)</f>
        <v/>
      </c>
      <c r="NE18" s="3">
        <f>ROUND(0.0,2)</f>
        <v/>
      </c>
      <c r="NF18" s="3">
        <f>ROUND(0.0,2)</f>
        <v/>
      </c>
      <c r="NG18" s="3">
        <f>ROUND(0.0,2)</f>
        <v/>
      </c>
      <c r="NH18" s="3">
        <f>ROUND(0.0,2)</f>
        <v/>
      </c>
      <c r="NI18" s="3">
        <f>ROUND(0.0,2)</f>
        <v/>
      </c>
      <c r="NJ18" s="4">
        <f>IFERROR((ND18/NC18),0)</f>
        <v/>
      </c>
      <c r="NK18" s="4">
        <f>IFERROR(((0+NB11+NB12+NB13+NB14+NB15+NB16+NB17)/T2),0)</f>
        <v/>
      </c>
      <c r="NL18" s="5">
        <f>IFERROR(ROUND(NB18/ND18,2),0)</f>
        <v/>
      </c>
      <c r="NM18" s="5">
        <f>IFERROR(ROUND(NB18/NE18,2),0)</f>
        <v/>
      </c>
      <c r="NN18" s="2" t="inlineStr">
        <is>
          <t>1 Weekly Total</t>
        </is>
      </c>
      <c r="NO18" s="5">
        <f>ROUND(1.36,2)</f>
        <v/>
      </c>
      <c r="NP18" s="3">
        <f>ROUND(2462.0,2)</f>
        <v/>
      </c>
      <c r="NQ18" s="3">
        <f>ROUND(61.0,2)</f>
        <v/>
      </c>
      <c r="NR18" s="3">
        <f>ROUND(0.0,2)</f>
        <v/>
      </c>
      <c r="NS18" s="3">
        <f>ROUND(0.0,2)</f>
        <v/>
      </c>
      <c r="NT18" s="3">
        <f>ROUND(0.0,2)</f>
        <v/>
      </c>
      <c r="NU18" s="3">
        <f>ROUND(0.0,2)</f>
        <v/>
      </c>
      <c r="NV18" s="3">
        <f>ROUND(0.0,2)</f>
        <v/>
      </c>
      <c r="NW18" s="4">
        <f>IFERROR((NQ18/NP18),0)</f>
        <v/>
      </c>
      <c r="NX18" s="4">
        <f>IFERROR(((0+NO11+NO12+NO13+NO14+NO15+NO16+NO17)/T2),0)</f>
        <v/>
      </c>
      <c r="NY18" s="5">
        <f>IFERROR(ROUND(NO18/NQ18,2),0)</f>
        <v/>
      </c>
      <c r="NZ18" s="5">
        <f>IFERROR(ROUND(NO18/NR18,2),0)</f>
        <v/>
      </c>
      <c r="OA18" s="2" t="inlineStr">
        <is>
          <t>1 Weekly Total</t>
        </is>
      </c>
      <c r="OB18" s="5">
        <f>ROUND(1.12,2)</f>
        <v/>
      </c>
      <c r="OC18" s="3">
        <f>ROUND(4637.0,2)</f>
        <v/>
      </c>
      <c r="OD18" s="3">
        <f>ROUND(71.0,2)</f>
        <v/>
      </c>
      <c r="OE18" s="3">
        <f>ROUND(0.0,2)</f>
        <v/>
      </c>
      <c r="OF18" s="3">
        <f>ROUND(0.0,2)</f>
        <v/>
      </c>
      <c r="OG18" s="3">
        <f>ROUND(0.0,2)</f>
        <v/>
      </c>
      <c r="OH18" s="3">
        <f>ROUND(0.0,2)</f>
        <v/>
      </c>
      <c r="OI18" s="3">
        <f>ROUND(0.0,2)</f>
        <v/>
      </c>
      <c r="OJ18" s="4">
        <f>IFERROR((OD18/OC18),0)</f>
        <v/>
      </c>
      <c r="OK18" s="4">
        <f>IFERROR(((0+OB11+OB12+OB13+OB14+OB15+OB16+OB17)/T2),0)</f>
        <v/>
      </c>
      <c r="OL18" s="5">
        <f>IFERROR(ROUND(OB18/OD18,2),0)</f>
        <v/>
      </c>
      <c r="OM18" s="5">
        <f>IFERROR(ROUND(OB18/OE18,2),0)</f>
        <v/>
      </c>
      <c r="ON18" s="2" t="inlineStr">
        <is>
          <t>1 Weekly Total</t>
        </is>
      </c>
      <c r="OO18" s="5">
        <f>ROUND(1.97,2)</f>
        <v/>
      </c>
      <c r="OP18" s="3">
        <f>ROUND(5845.0,2)</f>
        <v/>
      </c>
      <c r="OQ18" s="3">
        <f>ROUND(113.0,2)</f>
        <v/>
      </c>
      <c r="OR18" s="3">
        <f>ROUND(0.0,2)</f>
        <v/>
      </c>
      <c r="OS18" s="3">
        <f>ROUND(0.0,2)</f>
        <v/>
      </c>
      <c r="OT18" s="3">
        <f>ROUND(0.0,2)</f>
        <v/>
      </c>
      <c r="OU18" s="3">
        <f>ROUND(0.0,2)</f>
        <v/>
      </c>
      <c r="OV18" s="3">
        <f>ROUND(0.0,2)</f>
        <v/>
      </c>
      <c r="OW18" s="4">
        <f>IFERROR((OQ18/OP18),0)</f>
        <v/>
      </c>
      <c r="OX18" s="4">
        <f>IFERROR(((0+OO11+OO12+OO13+OO14+OO15+OO16+OO17)/T2),0)</f>
        <v/>
      </c>
      <c r="OY18" s="5">
        <f>IFERROR(ROUND(OO18/OQ18,2),0)</f>
        <v/>
      </c>
      <c r="OZ18" s="5">
        <f>IFERROR(ROUND(OO18/OR18,2),0)</f>
        <v/>
      </c>
      <c r="PA18" s="2" t="inlineStr">
        <is>
          <t>1 Weekly Total</t>
        </is>
      </c>
      <c r="PB18" s="5">
        <f>ROUND(1.11,2)</f>
        <v/>
      </c>
      <c r="PC18" s="3">
        <f>ROUND(3074.0,2)</f>
        <v/>
      </c>
      <c r="PD18" s="3">
        <f>ROUND(61.0,2)</f>
        <v/>
      </c>
      <c r="PE18" s="3">
        <f>ROUND(0.0,2)</f>
        <v/>
      </c>
      <c r="PF18" s="3">
        <f>ROUND(0.0,2)</f>
        <v/>
      </c>
      <c r="PG18" s="3">
        <f>ROUND(0.0,2)</f>
        <v/>
      </c>
      <c r="PH18" s="3">
        <f>ROUND(0.0,2)</f>
        <v/>
      </c>
      <c r="PI18" s="3">
        <f>ROUND(0.0,2)</f>
        <v/>
      </c>
      <c r="PJ18" s="4">
        <f>IFERROR((PD18/PC18),0)</f>
        <v/>
      </c>
      <c r="PK18" s="4">
        <f>IFERROR(((0+PB11+PB12+PB13+PB14+PB15+PB16+PB17)/T2),0)</f>
        <v/>
      </c>
      <c r="PL18" s="5">
        <f>IFERROR(ROUND(PB18/PD18,2),0)</f>
        <v/>
      </c>
      <c r="PM18" s="5">
        <f>IFERROR(ROUND(PB18/PE18,2),0)</f>
        <v/>
      </c>
      <c r="PN18" s="2" t="inlineStr">
        <is>
          <t>1 Weekly Total</t>
        </is>
      </c>
      <c r="PO18" s="5">
        <f>ROUND(0.71,2)</f>
        <v/>
      </c>
      <c r="PP18" s="3">
        <f>ROUND(2023.0,2)</f>
        <v/>
      </c>
      <c r="PQ18" s="3">
        <f>ROUND(28.0,2)</f>
        <v/>
      </c>
      <c r="PR18" s="3">
        <f>ROUND(0.0,2)</f>
        <v/>
      </c>
      <c r="PS18" s="3">
        <f>ROUND(0.0,2)</f>
        <v/>
      </c>
      <c r="PT18" s="3">
        <f>ROUND(0.0,2)</f>
        <v/>
      </c>
      <c r="PU18" s="3">
        <f>ROUND(0.0,2)</f>
        <v/>
      </c>
      <c r="PV18" s="3">
        <f>ROUND(0.0,2)</f>
        <v/>
      </c>
      <c r="PW18" s="4">
        <f>IFERROR((PQ18/PP18),0)</f>
        <v/>
      </c>
      <c r="PX18" s="4">
        <f>IFERROR(((0+PO11+PO12+PO13+PO14+PO15+PO16+PO17)/T2),0)</f>
        <v/>
      </c>
      <c r="PY18" s="5">
        <f>IFERROR(ROUND(PO18/PQ18,2),0)</f>
        <v/>
      </c>
      <c r="PZ18" s="5">
        <f>IFERROR(ROUND(PO18/PR18,2),0)</f>
        <v/>
      </c>
      <c r="QA18" s="2" t="inlineStr">
        <is>
          <t>1 Weekly Total</t>
        </is>
      </c>
      <c r="QB18" s="5">
        <f>ROUND(1.07,2)</f>
        <v/>
      </c>
      <c r="QC18" s="3">
        <f>ROUND(2100.0,2)</f>
        <v/>
      </c>
      <c r="QD18" s="3">
        <f>ROUND(41.0,2)</f>
        <v/>
      </c>
      <c r="QE18" s="3">
        <f>ROUND(0.0,2)</f>
        <v/>
      </c>
      <c r="QF18" s="3">
        <f>ROUND(0.0,2)</f>
        <v/>
      </c>
      <c r="QG18" s="3">
        <f>ROUND(0.0,2)</f>
        <v/>
      </c>
      <c r="QH18" s="3">
        <f>ROUND(0.0,2)</f>
        <v/>
      </c>
      <c r="QI18" s="3">
        <f>ROUND(0.0,2)</f>
        <v/>
      </c>
      <c r="QJ18" s="4">
        <f>IFERROR((QD18/QC18),0)</f>
        <v/>
      </c>
      <c r="QK18" s="4">
        <f>IFERROR(((0+QB11+QB12+QB13+QB14+QB15+QB16+QB17)/T2),0)</f>
        <v/>
      </c>
      <c r="QL18" s="5">
        <f>IFERROR(ROUND(QB18/QD18,2),0)</f>
        <v/>
      </c>
      <c r="QM18" s="5">
        <f>IFERROR(ROUND(QB18/QE18,2),0)</f>
        <v/>
      </c>
      <c r="QN18" s="2" t="inlineStr">
        <is>
          <t>1 Weekly Total</t>
        </is>
      </c>
      <c r="QO18" s="5">
        <f>ROUND(2.32,2)</f>
        <v/>
      </c>
      <c r="QP18" s="3">
        <f>ROUND(9363.0,2)</f>
        <v/>
      </c>
      <c r="QQ18" s="3">
        <f>ROUND(110.0,2)</f>
        <v/>
      </c>
      <c r="QR18" s="3">
        <f>ROUND(0.0,2)</f>
        <v/>
      </c>
      <c r="QS18" s="3">
        <f>ROUND(0.0,2)</f>
        <v/>
      </c>
      <c r="QT18" s="3">
        <f>ROUND(0.0,2)</f>
        <v/>
      </c>
      <c r="QU18" s="3">
        <f>ROUND(0.0,2)</f>
        <v/>
      </c>
      <c r="QV18" s="3">
        <f>ROUND(0.0,2)</f>
        <v/>
      </c>
      <c r="QW18" s="4">
        <f>IFERROR((QQ18/QP18),0)</f>
        <v/>
      </c>
      <c r="QX18" s="4">
        <f>IFERROR(((0+QO11+QO12+QO13+QO14+QO15+QO16+QO17)/T2),0)</f>
        <v/>
      </c>
      <c r="QY18" s="5">
        <f>IFERROR(ROUND(QO18/QQ18,2),0)</f>
        <v/>
      </c>
      <c r="QZ18" s="5">
        <f>IFERROR(ROUND(QO18/QR18,2),0)</f>
        <v/>
      </c>
      <c r="RA18" s="2" t="inlineStr">
        <is>
          <t>1 Weekly Total</t>
        </is>
      </c>
      <c r="RB18" s="5">
        <f>ROUND(9.95,2)</f>
        <v/>
      </c>
      <c r="RC18" s="3">
        <f>ROUND(14207.0,2)</f>
        <v/>
      </c>
      <c r="RD18" s="3">
        <f>ROUND(517.0,2)</f>
        <v/>
      </c>
      <c r="RE18" s="3">
        <f>ROUND(0.0,2)</f>
        <v/>
      </c>
      <c r="RF18" s="3">
        <f>ROUND(0.0,2)</f>
        <v/>
      </c>
      <c r="RG18" s="3">
        <f>ROUND(0.0,2)</f>
        <v/>
      </c>
      <c r="RH18" s="3">
        <f>ROUND(0.0,2)</f>
        <v/>
      </c>
      <c r="RI18" s="3">
        <f>ROUND(0.0,2)</f>
        <v/>
      </c>
      <c r="RJ18" s="4">
        <f>IFERROR((RD18/RC18),0)</f>
        <v/>
      </c>
      <c r="RK18" s="4">
        <f>IFERROR(((0+RB11+RB12+RB13+RB14+RB15+RB16+RB17)/T2),0)</f>
        <v/>
      </c>
      <c r="RL18" s="5">
        <f>IFERROR(ROUND(RB18/RD18,2),0)</f>
        <v/>
      </c>
      <c r="RM18" s="5">
        <f>IFERROR(ROUND(RB18/RE18,2),0)</f>
        <v/>
      </c>
      <c r="RN18" s="2" t="inlineStr">
        <is>
          <t>1 Weekly Total</t>
        </is>
      </c>
      <c r="RO18" s="5">
        <f>ROUND(3.83,2)</f>
        <v/>
      </c>
      <c r="RP18" s="3">
        <f>ROUND(4226.0,2)</f>
        <v/>
      </c>
      <c r="RQ18" s="3">
        <f>ROUND(160.0,2)</f>
        <v/>
      </c>
      <c r="RR18" s="3">
        <f>ROUND(0.0,2)</f>
        <v/>
      </c>
      <c r="RS18" s="3">
        <f>ROUND(0.0,2)</f>
        <v/>
      </c>
      <c r="RT18" s="3">
        <f>ROUND(0.0,2)</f>
        <v/>
      </c>
      <c r="RU18" s="3">
        <f>ROUND(0.0,2)</f>
        <v/>
      </c>
      <c r="RV18" s="3">
        <f>ROUND(0.0,2)</f>
        <v/>
      </c>
      <c r="RW18" s="4">
        <f>IFERROR((RQ18/RP18),0)</f>
        <v/>
      </c>
      <c r="RX18" s="4">
        <f>IFERROR(((0+RO11+RO12+RO13+RO14+RO15+RO16+RO17)/T2),0)</f>
        <v/>
      </c>
      <c r="RY18" s="5">
        <f>IFERROR(ROUND(RO18/RQ18,2),0)</f>
        <v/>
      </c>
      <c r="RZ18" s="5">
        <f>IFERROR(ROUND(RO18/RR18,2),0)</f>
        <v/>
      </c>
      <c r="SA18" s="2" t="inlineStr">
        <is>
          <t>1 Weekly Total</t>
        </is>
      </c>
      <c r="SB18" s="5">
        <f>ROUND(3.73,2)</f>
        <v/>
      </c>
      <c r="SC18" s="3">
        <f>ROUND(14280.0,2)</f>
        <v/>
      </c>
      <c r="SD18" s="3">
        <f>ROUND(225.0,2)</f>
        <v/>
      </c>
      <c r="SE18" s="3">
        <f>ROUND(0.0,2)</f>
        <v/>
      </c>
      <c r="SF18" s="3">
        <f>ROUND(0.0,2)</f>
        <v/>
      </c>
      <c r="SG18" s="3">
        <f>ROUND(0.0,2)</f>
        <v/>
      </c>
      <c r="SH18" s="3">
        <f>ROUND(0.0,2)</f>
        <v/>
      </c>
      <c r="SI18" s="3">
        <f>ROUND(0.0,2)</f>
        <v/>
      </c>
      <c r="SJ18" s="4">
        <f>IFERROR((SD18/SC18),0)</f>
        <v/>
      </c>
      <c r="SK18" s="4">
        <f>IFERROR(((0+SB11+SB12+SB13+SB14+SB15+SB16+SB17)/T2),0)</f>
        <v/>
      </c>
      <c r="SL18" s="5">
        <f>IFERROR(ROUND(SB18/SD18,2),0)</f>
        <v/>
      </c>
      <c r="SM18" s="5">
        <f>IFERROR(ROUND(SB18/SE18,2),0)</f>
        <v/>
      </c>
      <c r="SN18" s="2" t="inlineStr">
        <is>
          <t>1 Weekly Total</t>
        </is>
      </c>
      <c r="SO18" s="5">
        <f>ROUND(2.83,2)</f>
        <v/>
      </c>
      <c r="SP18" s="3">
        <f>ROUND(7412.0,2)</f>
        <v/>
      </c>
      <c r="SQ18" s="3">
        <f>ROUND(137.0,2)</f>
        <v/>
      </c>
      <c r="SR18" s="3">
        <f>ROUND(0.0,2)</f>
        <v/>
      </c>
      <c r="SS18" s="3">
        <f>ROUND(0.0,2)</f>
        <v/>
      </c>
      <c r="ST18" s="3">
        <f>ROUND(0.0,2)</f>
        <v/>
      </c>
      <c r="SU18" s="3">
        <f>ROUND(0.0,2)</f>
        <v/>
      </c>
      <c r="SV18" s="3">
        <f>ROUND(0.0,2)</f>
        <v/>
      </c>
      <c r="SW18" s="4">
        <f>IFERROR((SQ18/SP18),0)</f>
        <v/>
      </c>
      <c r="SX18" s="4">
        <f>IFERROR(((0+SO11+SO12+SO13+SO14+SO15+SO16+SO17)/T2),0)</f>
        <v/>
      </c>
      <c r="SY18" s="5">
        <f>IFERROR(ROUND(SO18/SQ18,2),0)</f>
        <v/>
      </c>
      <c r="SZ18" s="5">
        <f>IFERROR(ROUND(SO18/SR18,2),0)</f>
        <v/>
      </c>
    </row>
    <row r="19">
      <c r="A19" s="2" t="inlineStr">
        <is>
          <t>2023-09-27</t>
        </is>
      </c>
      <c r="B19" s="5">
        <f>ROUND(44.8,2)</f>
        <v/>
      </c>
      <c r="C19" s="3">
        <f>ROUND(159545.0,2)</f>
        <v/>
      </c>
      <c r="D19" s="3">
        <f>ROUND(4480.0,2)</f>
        <v/>
      </c>
      <c r="E19" s="3">
        <f>ROUND(0.0,2)</f>
        <v/>
      </c>
      <c r="F19" s="3">
        <f>ROUND(0.0,2)</f>
        <v/>
      </c>
      <c r="G19" s="3">
        <f>ROUND(0.0,2)</f>
        <v/>
      </c>
      <c r="H19" s="3">
        <f>ROUND(0.0,2)</f>
        <v/>
      </c>
      <c r="I19" s="3">
        <f>ROUND(0.0,2)</f>
        <v/>
      </c>
      <c r="J19" s="4">
        <f>IFERROR((D19/C19),0)</f>
        <v/>
      </c>
      <c r="K19" s="4">
        <f>IFERROR(((0+B11+B12+B13+B14+B15+B16+B17+B19)/T2),0)</f>
        <v/>
      </c>
      <c r="L19" s="5">
        <f>IFERROR(ROUND(B19/D19,2),0)</f>
        <v/>
      </c>
      <c r="M19" s="5">
        <f>IFERROR(ROUND(B19/E19,2),0)</f>
        <v/>
      </c>
      <c r="N19" s="2" t="inlineStr">
        <is>
          <t>2023-09-27</t>
        </is>
      </c>
      <c r="O19" s="5">
        <f>ROUND(0.8,2)</f>
        <v/>
      </c>
      <c r="P19" s="3">
        <f>ROUND(2058.0,2)</f>
        <v/>
      </c>
      <c r="Q19" s="3">
        <f>ROUND(80.0,2)</f>
        <v/>
      </c>
      <c r="R19" s="3">
        <f>ROUND(0.0,2)</f>
        <v/>
      </c>
      <c r="S19" s="3">
        <f>ROUND(0.0,2)</f>
        <v/>
      </c>
      <c r="T19" s="3">
        <f>ROUND(0.0,2)</f>
        <v/>
      </c>
      <c r="U19" s="3">
        <f>ROUND(0.0,2)</f>
        <v/>
      </c>
      <c r="V19" s="3">
        <f>ROUND(0.0,2)</f>
        <v/>
      </c>
      <c r="W19" s="4">
        <f>IFERROR((Q19/P19),0)</f>
        <v/>
      </c>
      <c r="X19" s="4">
        <f>IFERROR(((0+O11+O12+O13+O14+O15+O16+O17+O19)/T2),0)</f>
        <v/>
      </c>
      <c r="Y19" s="5">
        <f>IFERROR(ROUND(O19/Q19,2),0)</f>
        <v/>
      </c>
      <c r="Z19" s="5">
        <f>IFERROR(ROUND(O19/R19,2),0)</f>
        <v/>
      </c>
      <c r="AA19" s="2" t="inlineStr">
        <is>
          <t>2023-09-27</t>
        </is>
      </c>
      <c r="AB19" s="5">
        <f>ROUND(0.04,2)</f>
        <v/>
      </c>
      <c r="AC19" s="3">
        <f>ROUND(110.0,2)</f>
        <v/>
      </c>
      <c r="AD19" s="3">
        <f>ROUND(4.0,2)</f>
        <v/>
      </c>
      <c r="AE19" s="3">
        <f>ROUND(0.0,2)</f>
        <v/>
      </c>
      <c r="AF19" s="3">
        <f>ROUND(0.0,2)</f>
        <v/>
      </c>
      <c r="AG19" s="3">
        <f>ROUND(0.0,2)</f>
        <v/>
      </c>
      <c r="AH19" s="3">
        <f>ROUND(0.0,2)</f>
        <v/>
      </c>
      <c r="AI19" s="3">
        <f>ROUND(0.0,2)</f>
        <v/>
      </c>
      <c r="AJ19" s="4">
        <f>IFERROR((AD19/AC19),0)</f>
        <v/>
      </c>
      <c r="AK19" s="4">
        <f>IFERROR(((0+AB11+AB12+AB13+AB14+AB15+AB16+AB17+AB19)/T2),0)</f>
        <v/>
      </c>
      <c r="AL19" s="5">
        <f>IFERROR(ROUND(AB19/AD19,2),0)</f>
        <v/>
      </c>
      <c r="AM19" s="5">
        <f>IFERROR(ROUND(AB19/AE19,2),0)</f>
        <v/>
      </c>
      <c r="AN19" s="2" t="inlineStr">
        <is>
          <t>2023-09-27</t>
        </is>
      </c>
      <c r="AO19" s="5">
        <f>ROUND(0.36,2)</f>
        <v/>
      </c>
      <c r="AP19" s="3">
        <f>ROUND(979.0,2)</f>
        <v/>
      </c>
      <c r="AQ19" s="3">
        <f>ROUND(36.0,2)</f>
        <v/>
      </c>
      <c r="AR19" s="3">
        <f>ROUND(0.0,2)</f>
        <v/>
      </c>
      <c r="AS19" s="3">
        <f>ROUND(0.0,2)</f>
        <v/>
      </c>
      <c r="AT19" s="3">
        <f>ROUND(0.0,2)</f>
        <v/>
      </c>
      <c r="AU19" s="3">
        <f>ROUND(0.0,2)</f>
        <v/>
      </c>
      <c r="AV19" s="3">
        <f>ROUND(0.0,2)</f>
        <v/>
      </c>
      <c r="AW19" s="4">
        <f>IFERROR((AQ19/AP19),0)</f>
        <v/>
      </c>
      <c r="AX19" s="4">
        <f>IFERROR(((0+AO11+AO12+AO13+AO14+AO15+AO16+AO17+AO19)/T2),0)</f>
        <v/>
      </c>
      <c r="AY19" s="5">
        <f>IFERROR(ROUND(AO19/AQ19,2),0)</f>
        <v/>
      </c>
      <c r="AZ19" s="5">
        <f>IFERROR(ROUND(AO19/AR19,2),0)</f>
        <v/>
      </c>
      <c r="BA19" s="2" t="inlineStr">
        <is>
          <t>2023-09-27</t>
        </is>
      </c>
      <c r="BB19" s="5">
        <f>ROUND(0.41000000000000003,2)</f>
        <v/>
      </c>
      <c r="BC19" s="3">
        <f>ROUND(917.0,2)</f>
        <v/>
      </c>
      <c r="BD19" s="3">
        <f>ROUND(41.0,2)</f>
        <v/>
      </c>
      <c r="BE19" s="3">
        <f>ROUND(0.0,2)</f>
        <v/>
      </c>
      <c r="BF19" s="3">
        <f>ROUND(0.0,2)</f>
        <v/>
      </c>
      <c r="BG19" s="3">
        <f>ROUND(0.0,2)</f>
        <v/>
      </c>
      <c r="BH19" s="3">
        <f>ROUND(0.0,2)</f>
        <v/>
      </c>
      <c r="BI19" s="3">
        <f>ROUND(0.0,2)</f>
        <v/>
      </c>
      <c r="BJ19" s="4">
        <f>IFERROR((BD19/BC19),0)</f>
        <v/>
      </c>
      <c r="BK19" s="4">
        <f>IFERROR(((0+BB11+BB12+BB13+BB14+BB15+BB16+BB17+BB19)/T2),0)</f>
        <v/>
      </c>
      <c r="BL19" s="5">
        <f>IFERROR(ROUND(BB19/BD19,2),0)</f>
        <v/>
      </c>
      <c r="BM19" s="5">
        <f>IFERROR(ROUND(BB19/BE19,2),0)</f>
        <v/>
      </c>
      <c r="BN19" s="2" t="inlineStr">
        <is>
          <t>2023-09-27</t>
        </is>
      </c>
      <c r="BO19" s="5">
        <f>ROUND(0.43,2)</f>
        <v/>
      </c>
      <c r="BP19" s="3">
        <f>ROUND(718.0,2)</f>
        <v/>
      </c>
      <c r="BQ19" s="3">
        <f>ROUND(43.0,2)</f>
        <v/>
      </c>
      <c r="BR19" s="3">
        <f>ROUND(0.0,2)</f>
        <v/>
      </c>
      <c r="BS19" s="3">
        <f>ROUND(0.0,2)</f>
        <v/>
      </c>
      <c r="BT19" s="3">
        <f>ROUND(0.0,2)</f>
        <v/>
      </c>
      <c r="BU19" s="3">
        <f>ROUND(0.0,2)</f>
        <v/>
      </c>
      <c r="BV19" s="3">
        <f>ROUND(0.0,2)</f>
        <v/>
      </c>
      <c r="BW19" s="4">
        <f>IFERROR((BQ19/BP19),0)</f>
        <v/>
      </c>
      <c r="BX19" s="4">
        <f>IFERROR(((0+BO11+BO12+BO13+BO14+BO15+BO16+BO17+BO19)/T2),0)</f>
        <v/>
      </c>
      <c r="BY19" s="5">
        <f>IFERROR(ROUND(BO19/BQ19,2),0)</f>
        <v/>
      </c>
      <c r="BZ19" s="5">
        <f>IFERROR(ROUND(BO19/BR19,2),0)</f>
        <v/>
      </c>
      <c r="CA19" s="2" t="inlineStr">
        <is>
          <t>2023-09-27</t>
        </is>
      </c>
      <c r="CB19" s="5">
        <f>ROUND(0.06999999999999999,2)</f>
        <v/>
      </c>
      <c r="CC19" s="3">
        <f>ROUND(171.0,2)</f>
        <v/>
      </c>
      <c r="CD19" s="3">
        <f>ROUND(7.0,2)</f>
        <v/>
      </c>
      <c r="CE19" s="3">
        <f>ROUND(0.0,2)</f>
        <v/>
      </c>
      <c r="CF19" s="3">
        <f>ROUND(0.0,2)</f>
        <v/>
      </c>
      <c r="CG19" s="3">
        <f>ROUND(0.0,2)</f>
        <v/>
      </c>
      <c r="CH19" s="3">
        <f>ROUND(0.0,2)</f>
        <v/>
      </c>
      <c r="CI19" s="3">
        <f>ROUND(0.0,2)</f>
        <v/>
      </c>
      <c r="CJ19" s="4">
        <f>IFERROR((CD19/CC19),0)</f>
        <v/>
      </c>
      <c r="CK19" s="4">
        <f>IFERROR(((0+CB11+CB12+CB13+CB14+CB15+CB16+CB17+CB19)/T2),0)</f>
        <v/>
      </c>
      <c r="CL19" s="5">
        <f>IFERROR(ROUND(CB19/CD19,2),0)</f>
        <v/>
      </c>
      <c r="CM19" s="5">
        <f>IFERROR(ROUND(CB19/CE19,2),0)</f>
        <v/>
      </c>
      <c r="CN19" s="2" t="inlineStr">
        <is>
          <t>2023-09-27</t>
        </is>
      </c>
      <c r="CO19" s="5">
        <f>ROUND(1.0899999999999999,2)</f>
        <v/>
      </c>
      <c r="CP19" s="3">
        <f>ROUND(3062.0,2)</f>
        <v/>
      </c>
      <c r="CQ19" s="3">
        <f>ROUND(109.0,2)</f>
        <v/>
      </c>
      <c r="CR19" s="3">
        <f>ROUND(0.0,2)</f>
        <v/>
      </c>
      <c r="CS19" s="3">
        <f>ROUND(0.0,2)</f>
        <v/>
      </c>
      <c r="CT19" s="3">
        <f>ROUND(0.0,2)</f>
        <v/>
      </c>
      <c r="CU19" s="3">
        <f>ROUND(0.0,2)</f>
        <v/>
      </c>
      <c r="CV19" s="3">
        <f>ROUND(0.0,2)</f>
        <v/>
      </c>
      <c r="CW19" s="4">
        <f>IFERROR((CQ19/CP19),0)</f>
        <v/>
      </c>
      <c r="CX19" s="4">
        <f>IFERROR(((0+CO11+CO12+CO13+CO14+CO15+CO16+CO17+CO19)/T2),0)</f>
        <v/>
      </c>
      <c r="CY19" s="5">
        <f>IFERROR(ROUND(CO19/CQ19,2),0)</f>
        <v/>
      </c>
      <c r="CZ19" s="5">
        <f>IFERROR(ROUND(CO19/CR19,2),0)</f>
        <v/>
      </c>
      <c r="DA19" s="2" t="inlineStr">
        <is>
          <t>2023-09-27</t>
        </is>
      </c>
      <c r="DB19" s="5">
        <f>ROUND(1.65,2)</f>
        <v/>
      </c>
      <c r="DC19" s="3">
        <f>ROUND(6739.0,2)</f>
        <v/>
      </c>
      <c r="DD19" s="3">
        <f>ROUND(165.0,2)</f>
        <v/>
      </c>
      <c r="DE19" s="3">
        <f>ROUND(0.0,2)</f>
        <v/>
      </c>
      <c r="DF19" s="3">
        <f>ROUND(0.0,2)</f>
        <v/>
      </c>
      <c r="DG19" s="3">
        <f>ROUND(0.0,2)</f>
        <v/>
      </c>
      <c r="DH19" s="3">
        <f>ROUND(0.0,2)</f>
        <v/>
      </c>
      <c r="DI19" s="3">
        <f>ROUND(0.0,2)</f>
        <v/>
      </c>
      <c r="DJ19" s="4">
        <f>IFERROR((DD19/DC19),0)</f>
        <v/>
      </c>
      <c r="DK19" s="4">
        <f>IFERROR(((0+DB11+DB12+DB13+DB14+DB15+DB16+DB17+DB19)/T2),0)</f>
        <v/>
      </c>
      <c r="DL19" s="5">
        <f>IFERROR(ROUND(DB19/DD19,2),0)</f>
        <v/>
      </c>
      <c r="DM19" s="5">
        <f>IFERROR(ROUND(DB19/DE19,2),0)</f>
        <v/>
      </c>
      <c r="DN19" s="2" t="inlineStr">
        <is>
          <t>2023-09-27</t>
        </is>
      </c>
      <c r="DO19" s="5">
        <f>ROUND(0.02,2)</f>
        <v/>
      </c>
      <c r="DP19" s="3">
        <f>ROUND(47.0,2)</f>
        <v/>
      </c>
      <c r="DQ19" s="3">
        <f>ROUND(2.0,2)</f>
        <v/>
      </c>
      <c r="DR19" s="3">
        <f>ROUND(0.0,2)</f>
        <v/>
      </c>
      <c r="DS19" s="3">
        <f>ROUND(0.0,2)</f>
        <v/>
      </c>
      <c r="DT19" s="3">
        <f>ROUND(0.0,2)</f>
        <v/>
      </c>
      <c r="DU19" s="3">
        <f>ROUND(0.0,2)</f>
        <v/>
      </c>
      <c r="DV19" s="3">
        <f>ROUND(0.0,2)</f>
        <v/>
      </c>
      <c r="DW19" s="4">
        <f>IFERROR((DQ19/DP19),0)</f>
        <v/>
      </c>
      <c r="DX19" s="4">
        <f>IFERROR(((0+DO11+DO12+DO13+DO14+DO15+DO16+DO17+DO19)/T2),0)</f>
        <v/>
      </c>
      <c r="DY19" s="5">
        <f>IFERROR(ROUND(DO19/DQ19,2),0)</f>
        <v/>
      </c>
      <c r="DZ19" s="5">
        <f>IFERROR(ROUND(DO19/DR19,2),0)</f>
        <v/>
      </c>
      <c r="EA19" s="2" t="inlineStr">
        <is>
          <t>2023-09-27</t>
        </is>
      </c>
      <c r="EB19" s="5">
        <f>ROUND(5.22,2)</f>
        <v/>
      </c>
      <c r="EC19" s="3">
        <f>ROUND(36538.0,2)</f>
        <v/>
      </c>
      <c r="ED19" s="3">
        <f>ROUND(522.0,2)</f>
        <v/>
      </c>
      <c r="EE19" s="3">
        <f>ROUND(0.0,2)</f>
        <v/>
      </c>
      <c r="EF19" s="3">
        <f>ROUND(0.0,2)</f>
        <v/>
      </c>
      <c r="EG19" s="3">
        <f>ROUND(0.0,2)</f>
        <v/>
      </c>
      <c r="EH19" s="3">
        <f>ROUND(0.0,2)</f>
        <v/>
      </c>
      <c r="EI19" s="3">
        <f>ROUND(0.0,2)</f>
        <v/>
      </c>
      <c r="EJ19" s="4">
        <f>IFERROR((ED19/EC19),0)</f>
        <v/>
      </c>
      <c r="EK19" s="4">
        <f>IFERROR(((0+EB11+EB12+EB13+EB14+EB15+EB16+EB17+EB19)/T2),0)</f>
        <v/>
      </c>
      <c r="EL19" s="5">
        <f>IFERROR(ROUND(EB19/ED19,2),0)</f>
        <v/>
      </c>
      <c r="EM19" s="5">
        <f>IFERROR(ROUND(EB19/EE19,2),0)</f>
        <v/>
      </c>
      <c r="EN19" s="2" t="inlineStr">
        <is>
          <t>2023-09-27</t>
        </is>
      </c>
      <c r="EO19" s="5">
        <f>ROUND(0.06,2)</f>
        <v/>
      </c>
      <c r="EP19" s="3">
        <f>ROUND(62.0,2)</f>
        <v/>
      </c>
      <c r="EQ19" s="3">
        <f>ROUND(6.0,2)</f>
        <v/>
      </c>
      <c r="ER19" s="3">
        <f>ROUND(0.0,2)</f>
        <v/>
      </c>
      <c r="ES19" s="3">
        <f>ROUND(0.0,2)</f>
        <v/>
      </c>
      <c r="ET19" s="3">
        <f>ROUND(0.0,2)</f>
        <v/>
      </c>
      <c r="EU19" s="3">
        <f>ROUND(0.0,2)</f>
        <v/>
      </c>
      <c r="EV19" s="3">
        <f>ROUND(0.0,2)</f>
        <v/>
      </c>
      <c r="EW19" s="4">
        <f>IFERROR((EQ19/EP19),0)</f>
        <v/>
      </c>
      <c r="EX19" s="4">
        <f>IFERROR(((0+EO11+EO12+EO13+EO14+EO15+EO16+EO17+EO19)/T2),0)</f>
        <v/>
      </c>
      <c r="EY19" s="5">
        <f>IFERROR(ROUND(EO19/EQ19,2),0)</f>
        <v/>
      </c>
      <c r="EZ19" s="5">
        <f>IFERROR(ROUND(EO19/ER19,2),0)</f>
        <v/>
      </c>
      <c r="FA19" s="2" t="inlineStr">
        <is>
          <t>2023-09-27</t>
        </is>
      </c>
      <c r="FB19" s="5">
        <f>ROUND(1.56,2)</f>
        <v/>
      </c>
      <c r="FC19" s="3">
        <f>ROUND(6042.0,2)</f>
        <v/>
      </c>
      <c r="FD19" s="3">
        <f>ROUND(156.0,2)</f>
        <v/>
      </c>
      <c r="FE19" s="3">
        <f>ROUND(0.0,2)</f>
        <v/>
      </c>
      <c r="FF19" s="3">
        <f>ROUND(0.0,2)</f>
        <v/>
      </c>
      <c r="FG19" s="3">
        <f>ROUND(0.0,2)</f>
        <v/>
      </c>
      <c r="FH19" s="3">
        <f>ROUND(0.0,2)</f>
        <v/>
      </c>
      <c r="FI19" s="3">
        <f>ROUND(0.0,2)</f>
        <v/>
      </c>
      <c r="FJ19" s="4">
        <f>IFERROR((FD19/FC19),0)</f>
        <v/>
      </c>
      <c r="FK19" s="4">
        <f>IFERROR(((0+FB11+FB12+FB13+FB14+FB15+FB16+FB17+FB19)/T2),0)</f>
        <v/>
      </c>
      <c r="FL19" s="5">
        <f>IFERROR(ROUND(FB19/FD19,2),0)</f>
        <v/>
      </c>
      <c r="FM19" s="5">
        <f>IFERROR(ROUND(FB19/FE19,2),0)</f>
        <v/>
      </c>
      <c r="FN19" s="2" t="inlineStr">
        <is>
          <t>2023-09-27</t>
        </is>
      </c>
      <c r="FO19" s="5">
        <f>ROUND(15.540000000000001,2)</f>
        <v/>
      </c>
      <c r="FP19" s="3">
        <f>ROUND(41830.0,2)</f>
        <v/>
      </c>
      <c r="FQ19" s="3">
        <f>ROUND(1554.0,2)</f>
        <v/>
      </c>
      <c r="FR19" s="3">
        <f>ROUND(0.0,2)</f>
        <v/>
      </c>
      <c r="FS19" s="3">
        <f>ROUND(0.0,2)</f>
        <v/>
      </c>
      <c r="FT19" s="3">
        <f>ROUND(0.0,2)</f>
        <v/>
      </c>
      <c r="FU19" s="3">
        <f>ROUND(0.0,2)</f>
        <v/>
      </c>
      <c r="FV19" s="3">
        <f>ROUND(0.0,2)</f>
        <v/>
      </c>
      <c r="FW19" s="4">
        <f>IFERROR((FQ19/FP19),0)</f>
        <v/>
      </c>
      <c r="FX19" s="4">
        <f>IFERROR(((0+FO11+FO12+FO13+FO14+FO15+FO16+FO17+FO19)/T2),0)</f>
        <v/>
      </c>
      <c r="FY19" s="5">
        <f>IFERROR(ROUND(FO19/FQ19,2),0)</f>
        <v/>
      </c>
      <c r="FZ19" s="5">
        <f>IFERROR(ROUND(FO19/FR19,2),0)</f>
        <v/>
      </c>
      <c r="GA19" s="2" t="inlineStr">
        <is>
          <t>2023-09-27</t>
        </is>
      </c>
      <c r="GB19" s="5">
        <f>ROUND(0.02,2)</f>
        <v/>
      </c>
      <c r="GC19" s="3">
        <f>ROUND(61.0,2)</f>
        <v/>
      </c>
      <c r="GD19" s="3">
        <f>ROUND(2.0,2)</f>
        <v/>
      </c>
      <c r="GE19" s="3">
        <f>ROUND(0.0,2)</f>
        <v/>
      </c>
      <c r="GF19" s="3">
        <f>ROUND(0.0,2)</f>
        <v/>
      </c>
      <c r="GG19" s="3">
        <f>ROUND(0.0,2)</f>
        <v/>
      </c>
      <c r="GH19" s="3">
        <f>ROUND(0.0,2)</f>
        <v/>
      </c>
      <c r="GI19" s="3">
        <f>ROUND(0.0,2)</f>
        <v/>
      </c>
      <c r="GJ19" s="4">
        <f>IFERROR((GD19/GC19),0)</f>
        <v/>
      </c>
      <c r="GK19" s="4">
        <f>IFERROR(((0+GB11+GB12+GB13+GB14+GB15+GB16+GB17+GB19)/T2),0)</f>
        <v/>
      </c>
      <c r="GL19" s="5">
        <f>IFERROR(ROUND(GB19/GD19,2),0)</f>
        <v/>
      </c>
      <c r="GM19" s="5">
        <f>IFERROR(ROUND(GB19/GE19,2),0)</f>
        <v/>
      </c>
      <c r="GN19" s="2" t="inlineStr">
        <is>
          <t>2023-09-27</t>
        </is>
      </c>
      <c r="GO19" s="5">
        <f>ROUND(0.6699999999999999,2)</f>
        <v/>
      </c>
      <c r="GP19" s="3">
        <f>ROUND(3580.0,2)</f>
        <v/>
      </c>
      <c r="GQ19" s="3">
        <f>ROUND(67.0,2)</f>
        <v/>
      </c>
      <c r="GR19" s="3">
        <f>ROUND(0.0,2)</f>
        <v/>
      </c>
      <c r="GS19" s="3">
        <f>ROUND(0.0,2)</f>
        <v/>
      </c>
      <c r="GT19" s="3">
        <f>ROUND(0.0,2)</f>
        <v/>
      </c>
      <c r="GU19" s="3">
        <f>ROUND(0.0,2)</f>
        <v/>
      </c>
      <c r="GV19" s="3">
        <f>ROUND(0.0,2)</f>
        <v/>
      </c>
      <c r="GW19" s="4">
        <f>IFERROR((GQ19/GP19),0)</f>
        <v/>
      </c>
      <c r="GX19" s="4">
        <f>IFERROR(((0+GO11+GO12+GO13+GO14+GO15+GO16+GO17+GO19)/T2),0)</f>
        <v/>
      </c>
      <c r="GY19" s="5">
        <f>IFERROR(ROUND(GO19/GQ19,2),0)</f>
        <v/>
      </c>
      <c r="GZ19" s="5">
        <f>IFERROR(ROUND(GO19/GR19,2),0)</f>
        <v/>
      </c>
      <c r="HA19" s="2" t="inlineStr">
        <is>
          <t>2023-09-27</t>
        </is>
      </c>
      <c r="HB19" s="5">
        <f>ROUND(0.46,2)</f>
        <v/>
      </c>
      <c r="HC19" s="3">
        <f>ROUND(1776.0,2)</f>
        <v/>
      </c>
      <c r="HD19" s="3">
        <f>ROUND(46.0,2)</f>
        <v/>
      </c>
      <c r="HE19" s="3">
        <f>ROUND(0.0,2)</f>
        <v/>
      </c>
      <c r="HF19" s="3">
        <f>ROUND(0.0,2)</f>
        <v/>
      </c>
      <c r="HG19" s="3">
        <f>ROUND(0.0,2)</f>
        <v/>
      </c>
      <c r="HH19" s="3">
        <f>ROUND(0.0,2)</f>
        <v/>
      </c>
      <c r="HI19" s="3">
        <f>ROUND(0.0,2)</f>
        <v/>
      </c>
      <c r="HJ19" s="4">
        <f>IFERROR((HD19/HC19),0)</f>
        <v/>
      </c>
      <c r="HK19" s="4">
        <f>IFERROR(((0+HB11+HB12+HB13+HB14+HB15+HB16+HB17+HB19)/T2),0)</f>
        <v/>
      </c>
      <c r="HL19" s="5">
        <f>IFERROR(ROUND(HB19/HD19,2),0)</f>
        <v/>
      </c>
      <c r="HM19" s="5">
        <f>IFERROR(ROUND(HB19/HE19,2),0)</f>
        <v/>
      </c>
      <c r="HN19" s="2" t="inlineStr">
        <is>
          <t>2023-09-27</t>
        </is>
      </c>
      <c r="HO19" s="5">
        <f>ROUND(0.0,2)</f>
        <v/>
      </c>
      <c r="HP19" s="3">
        <f>ROUND(42.0,2)</f>
        <v/>
      </c>
      <c r="HQ19" s="3">
        <f>ROUND(0.0,2)</f>
        <v/>
      </c>
      <c r="HR19" s="3">
        <f>ROUND(0.0,2)</f>
        <v/>
      </c>
      <c r="HS19" s="3">
        <f>ROUND(0.0,2)</f>
        <v/>
      </c>
      <c r="HT19" s="3">
        <f>ROUND(0.0,2)</f>
        <v/>
      </c>
      <c r="HU19" s="3">
        <f>ROUND(0.0,2)</f>
        <v/>
      </c>
      <c r="HV19" s="3">
        <f>ROUND(0.0,2)</f>
        <v/>
      </c>
      <c r="HW19" s="4">
        <f>IFERROR((HQ19/HP19),0)</f>
        <v/>
      </c>
      <c r="HX19" s="4">
        <f>IFERROR(((0+HO11+HO12+HO13+HO14+HO15+HO16+HO17+HO19)/T2),0)</f>
        <v/>
      </c>
      <c r="HY19" s="5">
        <f>IFERROR(ROUND(HO19/HQ19,2),0)</f>
        <v/>
      </c>
      <c r="HZ19" s="5">
        <f>IFERROR(ROUND(HO19/HR19,2),0)</f>
        <v/>
      </c>
      <c r="IA19" s="2" t="inlineStr">
        <is>
          <t>2023-09-27</t>
        </is>
      </c>
      <c r="IB19" s="5">
        <f>ROUND(0.12,2)</f>
        <v/>
      </c>
      <c r="IC19" s="3">
        <f>ROUND(205.0,2)</f>
        <v/>
      </c>
      <c r="ID19" s="3">
        <f>ROUND(12.0,2)</f>
        <v/>
      </c>
      <c r="IE19" s="3">
        <f>ROUND(0.0,2)</f>
        <v/>
      </c>
      <c r="IF19" s="3">
        <f>ROUND(0.0,2)</f>
        <v/>
      </c>
      <c r="IG19" s="3">
        <f>ROUND(0.0,2)</f>
        <v/>
      </c>
      <c r="IH19" s="3">
        <f>ROUND(0.0,2)</f>
        <v/>
      </c>
      <c r="II19" s="3">
        <f>ROUND(0.0,2)</f>
        <v/>
      </c>
      <c r="IJ19" s="4">
        <f>IFERROR((ID19/IC19),0)</f>
        <v/>
      </c>
      <c r="IK19" s="4">
        <f>IFERROR(((0+IB11+IB12+IB13+IB14+IB15+IB16+IB17+IB19)/T2),0)</f>
        <v/>
      </c>
      <c r="IL19" s="5">
        <f>IFERROR(ROUND(IB19/ID19,2),0)</f>
        <v/>
      </c>
      <c r="IM19" s="5">
        <f>IFERROR(ROUND(IB19/IE19,2),0)</f>
        <v/>
      </c>
      <c r="IN19" s="2" t="inlineStr">
        <is>
          <t>2023-09-27</t>
        </is>
      </c>
      <c r="IO19" s="5">
        <f>ROUND(1.01,2)</f>
        <v/>
      </c>
      <c r="IP19" s="3">
        <f>ROUND(5580.0,2)</f>
        <v/>
      </c>
      <c r="IQ19" s="3">
        <f>ROUND(101.0,2)</f>
        <v/>
      </c>
      <c r="IR19" s="3">
        <f>ROUND(0.0,2)</f>
        <v/>
      </c>
      <c r="IS19" s="3">
        <f>ROUND(0.0,2)</f>
        <v/>
      </c>
      <c r="IT19" s="3">
        <f>ROUND(0.0,2)</f>
        <v/>
      </c>
      <c r="IU19" s="3">
        <f>ROUND(0.0,2)</f>
        <v/>
      </c>
      <c r="IV19" s="3">
        <f>ROUND(0.0,2)</f>
        <v/>
      </c>
      <c r="IW19" s="4">
        <f>IFERROR((IQ19/IP19),0)</f>
        <v/>
      </c>
      <c r="IX19" s="4">
        <f>IFERROR(((0+IO11+IO12+IO13+IO14+IO15+IO16+IO17+IO19)/T2),0)</f>
        <v/>
      </c>
      <c r="IY19" s="5">
        <f>IFERROR(ROUND(IO19/IQ19,2),0)</f>
        <v/>
      </c>
      <c r="IZ19" s="5">
        <f>IFERROR(ROUND(IO19/IR19,2),0)</f>
        <v/>
      </c>
      <c r="JA19" s="2" t="inlineStr">
        <is>
          <t>2023-09-27</t>
        </is>
      </c>
      <c r="JB19" s="5">
        <f>ROUND(0.32,2)</f>
        <v/>
      </c>
      <c r="JC19" s="3">
        <f>ROUND(835.0,2)</f>
        <v/>
      </c>
      <c r="JD19" s="3">
        <f>ROUND(32.0,2)</f>
        <v/>
      </c>
      <c r="JE19" s="3">
        <f>ROUND(0.0,2)</f>
        <v/>
      </c>
      <c r="JF19" s="3">
        <f>ROUND(0.0,2)</f>
        <v/>
      </c>
      <c r="JG19" s="3">
        <f>ROUND(0.0,2)</f>
        <v/>
      </c>
      <c r="JH19" s="3">
        <f>ROUND(0.0,2)</f>
        <v/>
      </c>
      <c r="JI19" s="3">
        <f>ROUND(0.0,2)</f>
        <v/>
      </c>
      <c r="JJ19" s="4">
        <f>IFERROR((JD19/JC19),0)</f>
        <v/>
      </c>
      <c r="JK19" s="4">
        <f>IFERROR(((0+JB11+JB12+JB13+JB14+JB15+JB16+JB17+JB19)/T2),0)</f>
        <v/>
      </c>
      <c r="JL19" s="5">
        <f>IFERROR(ROUND(JB19/JD19,2),0)</f>
        <v/>
      </c>
      <c r="JM19" s="5">
        <f>IFERROR(ROUND(JB19/JE19,2),0)</f>
        <v/>
      </c>
      <c r="JN19" s="2" t="inlineStr">
        <is>
          <t>2023-09-27</t>
        </is>
      </c>
      <c r="JO19" s="5">
        <f>ROUND(0.060000000000000005,2)</f>
        <v/>
      </c>
      <c r="JP19" s="3">
        <f>ROUND(149.0,2)</f>
        <v/>
      </c>
      <c r="JQ19" s="3">
        <f>ROUND(6.0,2)</f>
        <v/>
      </c>
      <c r="JR19" s="3">
        <f>ROUND(0.0,2)</f>
        <v/>
      </c>
      <c r="JS19" s="3">
        <f>ROUND(0.0,2)</f>
        <v/>
      </c>
      <c r="JT19" s="3">
        <f>ROUND(0.0,2)</f>
        <v/>
      </c>
      <c r="JU19" s="3">
        <f>ROUND(0.0,2)</f>
        <v/>
      </c>
      <c r="JV19" s="3">
        <f>ROUND(0.0,2)</f>
        <v/>
      </c>
      <c r="JW19" s="4">
        <f>IFERROR((JQ19/JP19),0)</f>
        <v/>
      </c>
      <c r="JX19" s="4">
        <f>IFERROR(((0+JO11+JO12+JO13+JO14+JO15+JO16+JO17+JO19)/T2),0)</f>
        <v/>
      </c>
      <c r="JY19" s="5">
        <f>IFERROR(ROUND(JO19/JQ19,2),0)</f>
        <v/>
      </c>
      <c r="JZ19" s="5">
        <f>IFERROR(ROUND(JO19/JR19,2),0)</f>
        <v/>
      </c>
      <c r="KA19" s="2" t="inlineStr">
        <is>
          <t>2023-09-27</t>
        </is>
      </c>
      <c r="KB19" s="5">
        <f>ROUND(0.0,2)</f>
        <v/>
      </c>
      <c r="KC19" s="3">
        <f>ROUND(26.0,2)</f>
        <v/>
      </c>
      <c r="KD19" s="3">
        <f>ROUND(0.0,2)</f>
        <v/>
      </c>
      <c r="KE19" s="3">
        <f>ROUND(0.0,2)</f>
        <v/>
      </c>
      <c r="KF19" s="3">
        <f>ROUND(0.0,2)</f>
        <v/>
      </c>
      <c r="KG19" s="3">
        <f>ROUND(0.0,2)</f>
        <v/>
      </c>
      <c r="KH19" s="3">
        <f>ROUND(0.0,2)</f>
        <v/>
      </c>
      <c r="KI19" s="3">
        <f>ROUND(0.0,2)</f>
        <v/>
      </c>
      <c r="KJ19" s="4">
        <f>IFERROR((KD19/KC19),0)</f>
        <v/>
      </c>
      <c r="KK19" s="4">
        <f>IFERROR(((0+KB11+KB12+KB13+KB14+KB15+KB16+KB17+KB19)/T2),0)</f>
        <v/>
      </c>
      <c r="KL19" s="5">
        <f>IFERROR(ROUND(KB19/KD19,2),0)</f>
        <v/>
      </c>
      <c r="KM19" s="5">
        <f>IFERROR(ROUND(KB19/KE19,2),0)</f>
        <v/>
      </c>
      <c r="KN19" s="2" t="inlineStr">
        <is>
          <t>2023-09-27</t>
        </is>
      </c>
      <c r="KO19" s="5">
        <f>ROUND(1.6700000000000002,2)</f>
        <v/>
      </c>
      <c r="KP19" s="3">
        <f>ROUND(10876.0,2)</f>
        <v/>
      </c>
      <c r="KQ19" s="3">
        <f>ROUND(167.0,2)</f>
        <v/>
      </c>
      <c r="KR19" s="3">
        <f>ROUND(0.0,2)</f>
        <v/>
      </c>
      <c r="KS19" s="3">
        <f>ROUND(0.0,2)</f>
        <v/>
      </c>
      <c r="KT19" s="3">
        <f>ROUND(0.0,2)</f>
        <v/>
      </c>
      <c r="KU19" s="3">
        <f>ROUND(0.0,2)</f>
        <v/>
      </c>
      <c r="KV19" s="3">
        <f>ROUND(0.0,2)</f>
        <v/>
      </c>
      <c r="KW19" s="4">
        <f>IFERROR((KQ19/KP19),0)</f>
        <v/>
      </c>
      <c r="KX19" s="4">
        <f>IFERROR(((0+KO11+KO12+KO13+KO14+KO15+KO16+KO17+KO19)/T2),0)</f>
        <v/>
      </c>
      <c r="KY19" s="5">
        <f>IFERROR(ROUND(KO19/KQ19,2),0)</f>
        <v/>
      </c>
      <c r="KZ19" s="5">
        <f>IFERROR(ROUND(KO19/KR19,2),0)</f>
        <v/>
      </c>
      <c r="LA19" s="2" t="inlineStr">
        <is>
          <t>2023-09-27</t>
        </is>
      </c>
      <c r="LB19" s="5">
        <f>ROUND(1.92,2)</f>
        <v/>
      </c>
      <c r="LC19" s="3">
        <f>ROUND(11174.0,2)</f>
        <v/>
      </c>
      <c r="LD19" s="3">
        <f>ROUND(192.0,2)</f>
        <v/>
      </c>
      <c r="LE19" s="3">
        <f>ROUND(0.0,2)</f>
        <v/>
      </c>
      <c r="LF19" s="3">
        <f>ROUND(0.0,2)</f>
        <v/>
      </c>
      <c r="LG19" s="3">
        <f>ROUND(0.0,2)</f>
        <v/>
      </c>
      <c r="LH19" s="3">
        <f>ROUND(0.0,2)</f>
        <v/>
      </c>
      <c r="LI19" s="3">
        <f>ROUND(0.0,2)</f>
        <v/>
      </c>
      <c r="LJ19" s="4">
        <f>IFERROR((LD19/LC19),0)</f>
        <v/>
      </c>
      <c r="LK19" s="4">
        <f>IFERROR(((0+LB11+LB12+LB13+LB14+LB15+LB16+LB17+LB19)/T2),0)</f>
        <v/>
      </c>
      <c r="LL19" s="5">
        <f>IFERROR(ROUND(LB19/LD19,2),0)</f>
        <v/>
      </c>
      <c r="LM19" s="5">
        <f>IFERROR(ROUND(LB19/LE19,2),0)</f>
        <v/>
      </c>
      <c r="LN19" s="2" t="inlineStr">
        <is>
          <t>2023-09-27</t>
        </is>
      </c>
      <c r="LO19" s="5">
        <f>ROUND(0.68,2)</f>
        <v/>
      </c>
      <c r="LP19" s="3">
        <f>ROUND(966.0,2)</f>
        <v/>
      </c>
      <c r="LQ19" s="3">
        <f>ROUND(68.0,2)</f>
        <v/>
      </c>
      <c r="LR19" s="3">
        <f>ROUND(0.0,2)</f>
        <v/>
      </c>
      <c r="LS19" s="3">
        <f>ROUND(0.0,2)</f>
        <v/>
      </c>
      <c r="LT19" s="3">
        <f>ROUND(0.0,2)</f>
        <v/>
      </c>
      <c r="LU19" s="3">
        <f>ROUND(0.0,2)</f>
        <v/>
      </c>
      <c r="LV19" s="3">
        <f>ROUND(0.0,2)</f>
        <v/>
      </c>
      <c r="LW19" s="4">
        <f>IFERROR((LQ19/LP19),0)</f>
        <v/>
      </c>
      <c r="LX19" s="4">
        <f>IFERROR(((0+LO11+LO12+LO13+LO14+LO15+LO16+LO17+LO19)/T2),0)</f>
        <v/>
      </c>
      <c r="LY19" s="5">
        <f>IFERROR(ROUND(LO19/LQ19,2),0)</f>
        <v/>
      </c>
      <c r="LZ19" s="5">
        <f>IFERROR(ROUND(LO19/LR19,2),0)</f>
        <v/>
      </c>
      <c r="MA19" s="2" t="inlineStr">
        <is>
          <t>2023-09-27</t>
        </is>
      </c>
      <c r="MB19" s="5">
        <f>ROUND(0.71,2)</f>
        <v/>
      </c>
      <c r="MC19" s="3">
        <f>ROUND(3340.0,2)</f>
        <v/>
      </c>
      <c r="MD19" s="3">
        <f>ROUND(71.0,2)</f>
        <v/>
      </c>
      <c r="ME19" s="3">
        <f>ROUND(0.0,2)</f>
        <v/>
      </c>
      <c r="MF19" s="3">
        <f>ROUND(0.0,2)</f>
        <v/>
      </c>
      <c r="MG19" s="3">
        <f>ROUND(0.0,2)</f>
        <v/>
      </c>
      <c r="MH19" s="3">
        <f>ROUND(0.0,2)</f>
        <v/>
      </c>
      <c r="MI19" s="3">
        <f>ROUND(0.0,2)</f>
        <v/>
      </c>
      <c r="MJ19" s="4">
        <f>IFERROR((MD19/MC19),0)</f>
        <v/>
      </c>
      <c r="MK19" s="4">
        <f>IFERROR(((0+MB11+MB12+MB13+MB14+MB15+MB16+MB17+MB19)/T2),0)</f>
        <v/>
      </c>
      <c r="ML19" s="5">
        <f>IFERROR(ROUND(MB19/MD19,2),0)</f>
        <v/>
      </c>
      <c r="MM19" s="5">
        <f>IFERROR(ROUND(MB19/ME19,2),0)</f>
        <v/>
      </c>
      <c r="MN19" s="2" t="inlineStr">
        <is>
          <t>2023-09-27</t>
        </is>
      </c>
      <c r="MO19" s="5">
        <f>ROUND(5.17,2)</f>
        <v/>
      </c>
      <c r="MP19" s="3">
        <f>ROUND(8583.0,2)</f>
        <v/>
      </c>
      <c r="MQ19" s="3">
        <f>ROUND(517.0,2)</f>
        <v/>
      </c>
      <c r="MR19" s="3">
        <f>ROUND(0.0,2)</f>
        <v/>
      </c>
      <c r="MS19" s="3">
        <f>ROUND(0.0,2)</f>
        <v/>
      </c>
      <c r="MT19" s="3">
        <f>ROUND(0.0,2)</f>
        <v/>
      </c>
      <c r="MU19" s="3">
        <f>ROUND(0.0,2)</f>
        <v/>
      </c>
      <c r="MV19" s="3">
        <f>ROUND(0.0,2)</f>
        <v/>
      </c>
      <c r="MW19" s="4">
        <f>IFERROR((MQ19/MP19),0)</f>
        <v/>
      </c>
      <c r="MX19" s="4">
        <f>IFERROR(((0+MO11+MO12+MO13+MO14+MO15+MO16+MO17+MO19)/T2),0)</f>
        <v/>
      </c>
      <c r="MY19" s="5">
        <f>IFERROR(ROUND(MO19/MQ19,2),0)</f>
        <v/>
      </c>
      <c r="MZ19" s="5">
        <f>IFERROR(ROUND(MO19/MR19,2),0)</f>
        <v/>
      </c>
      <c r="NA19" s="2" t="inlineStr">
        <is>
          <t>2023-09-27</t>
        </is>
      </c>
      <c r="NB19" s="5">
        <f>ROUND(0.22,2)</f>
        <v/>
      </c>
      <c r="NC19" s="3">
        <f>ROUND(1139.0,2)</f>
        <v/>
      </c>
      <c r="ND19" s="3">
        <f>ROUND(22.0,2)</f>
        <v/>
      </c>
      <c r="NE19" s="3">
        <f>ROUND(0.0,2)</f>
        <v/>
      </c>
      <c r="NF19" s="3">
        <f>ROUND(0.0,2)</f>
        <v/>
      </c>
      <c r="NG19" s="3">
        <f>ROUND(0.0,2)</f>
        <v/>
      </c>
      <c r="NH19" s="3">
        <f>ROUND(0.0,2)</f>
        <v/>
      </c>
      <c r="NI19" s="3">
        <f>ROUND(0.0,2)</f>
        <v/>
      </c>
      <c r="NJ19" s="4">
        <f>IFERROR((ND19/NC19),0)</f>
        <v/>
      </c>
      <c r="NK19" s="4">
        <f>IFERROR(((0+NB11+NB12+NB13+NB14+NB15+NB16+NB17+NB19)/T2),0)</f>
        <v/>
      </c>
      <c r="NL19" s="5">
        <f>IFERROR(ROUND(NB19/ND19,2),0)</f>
        <v/>
      </c>
      <c r="NM19" s="5">
        <f>IFERROR(ROUND(NB19/NE19,2),0)</f>
        <v/>
      </c>
      <c r="NN19" s="2" t="inlineStr">
        <is>
          <t>2023-09-27</t>
        </is>
      </c>
      <c r="NO19" s="5">
        <f>ROUND(0.04,2)</f>
        <v/>
      </c>
      <c r="NP19" s="3">
        <f>ROUND(135.0,2)</f>
        <v/>
      </c>
      <c r="NQ19" s="3">
        <f>ROUND(4.0,2)</f>
        <v/>
      </c>
      <c r="NR19" s="3">
        <f>ROUND(0.0,2)</f>
        <v/>
      </c>
      <c r="NS19" s="3">
        <f>ROUND(0.0,2)</f>
        <v/>
      </c>
      <c r="NT19" s="3">
        <f>ROUND(0.0,2)</f>
        <v/>
      </c>
      <c r="NU19" s="3">
        <f>ROUND(0.0,2)</f>
        <v/>
      </c>
      <c r="NV19" s="3">
        <f>ROUND(0.0,2)</f>
        <v/>
      </c>
      <c r="NW19" s="4">
        <f>IFERROR((NQ19/NP19),0)</f>
        <v/>
      </c>
      <c r="NX19" s="4">
        <f>IFERROR(((0+NO11+NO12+NO13+NO14+NO15+NO16+NO17+NO19)/T2),0)</f>
        <v/>
      </c>
      <c r="NY19" s="5">
        <f>IFERROR(ROUND(NO19/NQ19,2),0)</f>
        <v/>
      </c>
      <c r="NZ19" s="5">
        <f>IFERROR(ROUND(NO19/NR19,2),0)</f>
        <v/>
      </c>
      <c r="OA19" s="2" t="inlineStr">
        <is>
          <t>2023-09-27</t>
        </is>
      </c>
      <c r="OB19" s="5">
        <f>ROUND(0.17,2)</f>
        <v/>
      </c>
      <c r="OC19" s="3">
        <f>ROUND(750.0,2)</f>
        <v/>
      </c>
      <c r="OD19" s="3">
        <f>ROUND(17.0,2)</f>
        <v/>
      </c>
      <c r="OE19" s="3">
        <f>ROUND(0.0,2)</f>
        <v/>
      </c>
      <c r="OF19" s="3">
        <f>ROUND(0.0,2)</f>
        <v/>
      </c>
      <c r="OG19" s="3">
        <f>ROUND(0.0,2)</f>
        <v/>
      </c>
      <c r="OH19" s="3">
        <f>ROUND(0.0,2)</f>
        <v/>
      </c>
      <c r="OI19" s="3">
        <f>ROUND(0.0,2)</f>
        <v/>
      </c>
      <c r="OJ19" s="4">
        <f>IFERROR((OD19/OC19),0)</f>
        <v/>
      </c>
      <c r="OK19" s="4">
        <f>IFERROR(((0+OB11+OB12+OB13+OB14+OB15+OB16+OB17+OB19)/T2),0)</f>
        <v/>
      </c>
      <c r="OL19" s="5">
        <f>IFERROR(ROUND(OB19/OD19,2),0)</f>
        <v/>
      </c>
      <c r="OM19" s="5">
        <f>IFERROR(ROUND(OB19/OE19,2),0)</f>
        <v/>
      </c>
      <c r="ON19" s="2" t="inlineStr">
        <is>
          <t>2023-09-27</t>
        </is>
      </c>
      <c r="OO19" s="5">
        <f>ROUND(0.12000000000000001,2)</f>
        <v/>
      </c>
      <c r="OP19" s="3">
        <f>ROUND(179.0,2)</f>
        <v/>
      </c>
      <c r="OQ19" s="3">
        <f>ROUND(12.0,2)</f>
        <v/>
      </c>
      <c r="OR19" s="3">
        <f>ROUND(0.0,2)</f>
        <v/>
      </c>
      <c r="OS19" s="3">
        <f>ROUND(0.0,2)</f>
        <v/>
      </c>
      <c r="OT19" s="3">
        <f>ROUND(0.0,2)</f>
        <v/>
      </c>
      <c r="OU19" s="3">
        <f>ROUND(0.0,2)</f>
        <v/>
      </c>
      <c r="OV19" s="3">
        <f>ROUND(0.0,2)</f>
        <v/>
      </c>
      <c r="OW19" s="4">
        <f>IFERROR((OQ19/OP19),0)</f>
        <v/>
      </c>
      <c r="OX19" s="4">
        <f>IFERROR(((0+OO11+OO12+OO13+OO14+OO15+OO16+OO17+OO19)/T2),0)</f>
        <v/>
      </c>
      <c r="OY19" s="5">
        <f>IFERROR(ROUND(OO19/OQ19,2),0)</f>
        <v/>
      </c>
      <c r="OZ19" s="5">
        <f>IFERROR(ROUND(OO19/OR19,2),0)</f>
        <v/>
      </c>
      <c r="PA19" s="2" t="inlineStr">
        <is>
          <t>2023-09-27</t>
        </is>
      </c>
      <c r="PB19" s="5">
        <f>ROUND(0.07,2)</f>
        <v/>
      </c>
      <c r="PC19" s="3">
        <f>ROUND(87.0,2)</f>
        <v/>
      </c>
      <c r="PD19" s="3">
        <f>ROUND(7.0,2)</f>
        <v/>
      </c>
      <c r="PE19" s="3">
        <f>ROUND(0.0,2)</f>
        <v/>
      </c>
      <c r="PF19" s="3">
        <f>ROUND(0.0,2)</f>
        <v/>
      </c>
      <c r="PG19" s="3">
        <f>ROUND(0.0,2)</f>
        <v/>
      </c>
      <c r="PH19" s="3">
        <f>ROUND(0.0,2)</f>
        <v/>
      </c>
      <c r="PI19" s="3">
        <f>ROUND(0.0,2)</f>
        <v/>
      </c>
      <c r="PJ19" s="4">
        <f>IFERROR((PD19/PC19),0)</f>
        <v/>
      </c>
      <c r="PK19" s="4">
        <f>IFERROR(((0+PB11+PB12+PB13+PB14+PB15+PB16+PB17+PB19)/T2),0)</f>
        <v/>
      </c>
      <c r="PL19" s="5">
        <f>IFERROR(ROUND(PB19/PD19,2),0)</f>
        <v/>
      </c>
      <c r="PM19" s="5">
        <f>IFERROR(ROUND(PB19/PE19,2),0)</f>
        <v/>
      </c>
      <c r="PN19" s="2" t="inlineStr">
        <is>
          <t>2023-09-27</t>
        </is>
      </c>
      <c r="PO19" s="5">
        <f>ROUND(0.0,2)</f>
        <v/>
      </c>
      <c r="PP19" s="3">
        <f>ROUND(28.0,2)</f>
        <v/>
      </c>
      <c r="PQ19" s="3">
        <f>ROUND(0.0,2)</f>
        <v/>
      </c>
      <c r="PR19" s="3">
        <f>ROUND(0.0,2)</f>
        <v/>
      </c>
      <c r="PS19" s="3">
        <f>ROUND(0.0,2)</f>
        <v/>
      </c>
      <c r="PT19" s="3">
        <f>ROUND(0.0,2)</f>
        <v/>
      </c>
      <c r="PU19" s="3">
        <f>ROUND(0.0,2)</f>
        <v/>
      </c>
      <c r="PV19" s="3">
        <f>ROUND(0.0,2)</f>
        <v/>
      </c>
      <c r="PW19" s="4">
        <f>IFERROR((PQ19/PP19),0)</f>
        <v/>
      </c>
      <c r="PX19" s="4">
        <f>IFERROR(((0+PO11+PO12+PO13+PO14+PO15+PO16+PO17+PO19)/T2),0)</f>
        <v/>
      </c>
      <c r="PY19" s="5">
        <f>IFERROR(ROUND(PO19/PQ19,2),0)</f>
        <v/>
      </c>
      <c r="PZ19" s="5">
        <f>IFERROR(ROUND(PO19/PR19,2),0)</f>
        <v/>
      </c>
      <c r="QA19" s="2" t="inlineStr">
        <is>
          <t>2023-09-27</t>
        </is>
      </c>
      <c r="QB19" s="5">
        <f>ROUND(0.030000000000000002,2)</f>
        <v/>
      </c>
      <c r="QC19" s="3">
        <f>ROUND(42.0,2)</f>
        <v/>
      </c>
      <c r="QD19" s="3">
        <f>ROUND(3.0,2)</f>
        <v/>
      </c>
      <c r="QE19" s="3">
        <f>ROUND(0.0,2)</f>
        <v/>
      </c>
      <c r="QF19" s="3">
        <f>ROUND(0.0,2)</f>
        <v/>
      </c>
      <c r="QG19" s="3">
        <f>ROUND(0.0,2)</f>
        <v/>
      </c>
      <c r="QH19" s="3">
        <f>ROUND(0.0,2)</f>
        <v/>
      </c>
      <c r="QI19" s="3">
        <f>ROUND(0.0,2)</f>
        <v/>
      </c>
      <c r="QJ19" s="4">
        <f>IFERROR((QD19/QC19),0)</f>
        <v/>
      </c>
      <c r="QK19" s="4">
        <f>IFERROR(((0+QB11+QB12+QB13+QB14+QB15+QB16+QB17+QB19)/T2),0)</f>
        <v/>
      </c>
      <c r="QL19" s="5">
        <f>IFERROR(ROUND(QB19/QD19,2),0)</f>
        <v/>
      </c>
      <c r="QM19" s="5">
        <f>IFERROR(ROUND(QB19/QE19,2),0)</f>
        <v/>
      </c>
      <c r="QN19" s="2" t="inlineStr">
        <is>
          <t>2023-09-27</t>
        </is>
      </c>
      <c r="QO19" s="5">
        <f>ROUND(0.38,2)</f>
        <v/>
      </c>
      <c r="QP19" s="3">
        <f>ROUND(1042.0,2)</f>
        <v/>
      </c>
      <c r="QQ19" s="3">
        <f>ROUND(38.0,2)</f>
        <v/>
      </c>
      <c r="QR19" s="3">
        <f>ROUND(0.0,2)</f>
        <v/>
      </c>
      <c r="QS19" s="3">
        <f>ROUND(0.0,2)</f>
        <v/>
      </c>
      <c r="QT19" s="3">
        <f>ROUND(0.0,2)</f>
        <v/>
      </c>
      <c r="QU19" s="3">
        <f>ROUND(0.0,2)</f>
        <v/>
      </c>
      <c r="QV19" s="3">
        <f>ROUND(0.0,2)</f>
        <v/>
      </c>
      <c r="QW19" s="4">
        <f>IFERROR((QQ19/QP19),0)</f>
        <v/>
      </c>
      <c r="QX19" s="4">
        <f>IFERROR(((0+QO11+QO12+QO13+QO14+QO15+QO16+QO17+QO19)/T2),0)</f>
        <v/>
      </c>
      <c r="QY19" s="5">
        <f>IFERROR(ROUND(QO19/QQ19,2),0)</f>
        <v/>
      </c>
      <c r="QZ19" s="5">
        <f>IFERROR(ROUND(QO19/QR19,2),0)</f>
        <v/>
      </c>
      <c r="RA19" s="2" t="inlineStr">
        <is>
          <t>2023-09-27</t>
        </is>
      </c>
      <c r="RB19" s="5">
        <f>ROUND(0.66,2)</f>
        <v/>
      </c>
      <c r="RC19" s="3">
        <f>ROUND(1116.0,2)</f>
        <v/>
      </c>
      <c r="RD19" s="3">
        <f>ROUND(66.0,2)</f>
        <v/>
      </c>
      <c r="RE19" s="3">
        <f>ROUND(0.0,2)</f>
        <v/>
      </c>
      <c r="RF19" s="3">
        <f>ROUND(0.0,2)</f>
        <v/>
      </c>
      <c r="RG19" s="3">
        <f>ROUND(0.0,2)</f>
        <v/>
      </c>
      <c r="RH19" s="3">
        <f>ROUND(0.0,2)</f>
        <v/>
      </c>
      <c r="RI19" s="3">
        <f>ROUND(0.0,2)</f>
        <v/>
      </c>
      <c r="RJ19" s="4">
        <f>IFERROR((RD19/RC19),0)</f>
        <v/>
      </c>
      <c r="RK19" s="4">
        <f>IFERROR(((0+RB11+RB12+RB13+RB14+RB15+RB16+RB17+RB19)/T2),0)</f>
        <v/>
      </c>
      <c r="RL19" s="5">
        <f>IFERROR(ROUND(RB19/RD19,2),0)</f>
        <v/>
      </c>
      <c r="RM19" s="5">
        <f>IFERROR(ROUND(RB19/RE19,2),0)</f>
        <v/>
      </c>
      <c r="RN19" s="2" t="inlineStr">
        <is>
          <t>2023-09-27</t>
        </is>
      </c>
      <c r="RO19" s="5">
        <f>ROUND(0.05,2)</f>
        <v/>
      </c>
      <c r="RP19" s="3">
        <f>ROUND(138.0,2)</f>
        <v/>
      </c>
      <c r="RQ19" s="3">
        <f>ROUND(5.0,2)</f>
        <v/>
      </c>
      <c r="RR19" s="3">
        <f>ROUND(0.0,2)</f>
        <v/>
      </c>
      <c r="RS19" s="3">
        <f>ROUND(0.0,2)</f>
        <v/>
      </c>
      <c r="RT19" s="3">
        <f>ROUND(0.0,2)</f>
        <v/>
      </c>
      <c r="RU19" s="3">
        <f>ROUND(0.0,2)</f>
        <v/>
      </c>
      <c r="RV19" s="3">
        <f>ROUND(0.0,2)</f>
        <v/>
      </c>
      <c r="RW19" s="4">
        <f>IFERROR((RQ19/RP19),0)</f>
        <v/>
      </c>
      <c r="RX19" s="4">
        <f>IFERROR(((0+RO11+RO12+RO13+RO14+RO15+RO16+RO17+RO19)/T2),0)</f>
        <v/>
      </c>
      <c r="RY19" s="5">
        <f>IFERROR(ROUND(RO19/RQ19,2),0)</f>
        <v/>
      </c>
      <c r="RZ19" s="5">
        <f>IFERROR(ROUND(RO19/RR19,2),0)</f>
        <v/>
      </c>
      <c r="SA19" s="2" t="inlineStr">
        <is>
          <t>2023-09-27</t>
        </is>
      </c>
      <c r="SB19" s="5">
        <f>ROUND(1.16,2)</f>
        <v/>
      </c>
      <c r="SC19" s="3">
        <f>ROUND(4448.0,2)</f>
        <v/>
      </c>
      <c r="SD19" s="3">
        <f>ROUND(116.0,2)</f>
        <v/>
      </c>
      <c r="SE19" s="3">
        <f>ROUND(0.0,2)</f>
        <v/>
      </c>
      <c r="SF19" s="3">
        <f>ROUND(0.0,2)</f>
        <v/>
      </c>
      <c r="SG19" s="3">
        <f>ROUND(0.0,2)</f>
        <v/>
      </c>
      <c r="SH19" s="3">
        <f>ROUND(0.0,2)</f>
        <v/>
      </c>
      <c r="SI19" s="3">
        <f>ROUND(0.0,2)</f>
        <v/>
      </c>
      <c r="SJ19" s="4">
        <f>IFERROR((SD19/SC19),0)</f>
        <v/>
      </c>
      <c r="SK19" s="4">
        <f>IFERROR(((0+SB11+SB12+SB13+SB14+SB15+SB16+SB17+SB19)/T2),0)</f>
        <v/>
      </c>
      <c r="SL19" s="5">
        <f>IFERROR(ROUND(SB19/SD19,2),0)</f>
        <v/>
      </c>
      <c r="SM19" s="5">
        <f>IFERROR(ROUND(SB19/SE19,2),0)</f>
        <v/>
      </c>
      <c r="SN19" s="2" t="inlineStr">
        <is>
          <t>2023-09-27</t>
        </is>
      </c>
      <c r="SO19" s="5">
        <f>ROUND(1.84,2)</f>
        <v/>
      </c>
      <c r="SP19" s="3">
        <f>ROUND(3975.0,2)</f>
        <v/>
      </c>
      <c r="SQ19" s="3">
        <f>ROUND(184.0,2)</f>
        <v/>
      </c>
      <c r="SR19" s="3">
        <f>ROUND(0.0,2)</f>
        <v/>
      </c>
      <c r="SS19" s="3">
        <f>ROUND(0.0,2)</f>
        <v/>
      </c>
      <c r="ST19" s="3">
        <f>ROUND(0.0,2)</f>
        <v/>
      </c>
      <c r="SU19" s="3">
        <f>ROUND(0.0,2)</f>
        <v/>
      </c>
      <c r="SV19" s="3">
        <f>ROUND(0.0,2)</f>
        <v/>
      </c>
      <c r="SW19" s="4">
        <f>IFERROR((SQ19/SP19),0)</f>
        <v/>
      </c>
      <c r="SX19" s="4">
        <f>IFERROR(((0+SO11+SO12+SO13+SO14+SO15+SO16+SO17+SO19)/T2),0)</f>
        <v/>
      </c>
      <c r="SY19" s="5">
        <f>IFERROR(ROUND(SO19/SQ19,2),0)</f>
        <v/>
      </c>
      <c r="SZ19" s="5">
        <f>IFERROR(ROUND(SO19/SR19,2),0)</f>
        <v/>
      </c>
    </row>
    <row r="20">
      <c r="A20" s="2" t="inlineStr">
        <is>
          <t>2023-09-28</t>
        </is>
      </c>
      <c r="B20" s="5">
        <f>ROUND(45.45,2)</f>
        <v/>
      </c>
      <c r="C20" s="3">
        <f>ROUND(132492.0,2)</f>
        <v/>
      </c>
      <c r="D20" s="3">
        <f>ROUND(4545.0,2)</f>
        <v/>
      </c>
      <c r="E20" s="3">
        <f>ROUND(0.0,2)</f>
        <v/>
      </c>
      <c r="F20" s="3">
        <f>ROUND(0.0,2)</f>
        <v/>
      </c>
      <c r="G20" s="3">
        <f>ROUND(0.0,2)</f>
        <v/>
      </c>
      <c r="H20" s="3">
        <f>ROUND(0.0,2)</f>
        <v/>
      </c>
      <c r="I20" s="3">
        <f>ROUND(0.0,2)</f>
        <v/>
      </c>
      <c r="J20" s="4">
        <f>IFERROR((D20/C20),0)</f>
        <v/>
      </c>
      <c r="K20" s="4">
        <f>IFERROR(((0+B11+B12+B13+B14+B15+B16+B17+B19+B20)/T2),0)</f>
        <v/>
      </c>
      <c r="L20" s="5">
        <f>IFERROR(ROUND(B20/D20,2),0)</f>
        <v/>
      </c>
      <c r="M20" s="5">
        <f>IFERROR(ROUND(B20/E20,2),0)</f>
        <v/>
      </c>
      <c r="N20" s="2" t="inlineStr">
        <is>
          <t>2023-09-28</t>
        </is>
      </c>
      <c r="O20" s="5">
        <f>ROUND(1.5799999999999998,2)</f>
        <v/>
      </c>
      <c r="P20" s="3">
        <f>ROUND(3441.0,2)</f>
        <v/>
      </c>
      <c r="Q20" s="3">
        <f>ROUND(158.0,2)</f>
        <v/>
      </c>
      <c r="R20" s="3">
        <f>ROUND(0.0,2)</f>
        <v/>
      </c>
      <c r="S20" s="3">
        <f>ROUND(0.0,2)</f>
        <v/>
      </c>
      <c r="T20" s="3">
        <f>ROUND(0.0,2)</f>
        <v/>
      </c>
      <c r="U20" s="3">
        <f>ROUND(0.0,2)</f>
        <v/>
      </c>
      <c r="V20" s="3">
        <f>ROUND(0.0,2)</f>
        <v/>
      </c>
      <c r="W20" s="4">
        <f>IFERROR((Q20/P20),0)</f>
        <v/>
      </c>
      <c r="X20" s="4">
        <f>IFERROR(((0+O11+O12+O13+O14+O15+O16+O17+O19+O20)/T2),0)</f>
        <v/>
      </c>
      <c r="Y20" s="5">
        <f>IFERROR(ROUND(O20/Q20,2),0)</f>
        <v/>
      </c>
      <c r="Z20" s="5">
        <f>IFERROR(ROUND(O20/R20,2),0)</f>
        <v/>
      </c>
      <c r="AA20" s="2" t="inlineStr">
        <is>
          <t>2023-09-28</t>
        </is>
      </c>
      <c r="AB20" s="5">
        <f>ROUND(0.11,2)</f>
        <v/>
      </c>
      <c r="AC20" s="3">
        <f>ROUND(207.0,2)</f>
        <v/>
      </c>
      <c r="AD20" s="3">
        <f>ROUND(11.0,2)</f>
        <v/>
      </c>
      <c r="AE20" s="3">
        <f>ROUND(0.0,2)</f>
        <v/>
      </c>
      <c r="AF20" s="3">
        <f>ROUND(0.0,2)</f>
        <v/>
      </c>
      <c r="AG20" s="3">
        <f>ROUND(0.0,2)</f>
        <v/>
      </c>
      <c r="AH20" s="3">
        <f>ROUND(0.0,2)</f>
        <v/>
      </c>
      <c r="AI20" s="3">
        <f>ROUND(0.0,2)</f>
        <v/>
      </c>
      <c r="AJ20" s="4">
        <f>IFERROR((AD20/AC20),0)</f>
        <v/>
      </c>
      <c r="AK20" s="4">
        <f>IFERROR(((0+AB11+AB12+AB13+AB14+AB15+AB16+AB17+AB19+AB20)/T2),0)</f>
        <v/>
      </c>
      <c r="AL20" s="5">
        <f>IFERROR(ROUND(AB20/AD20,2),0)</f>
        <v/>
      </c>
      <c r="AM20" s="5">
        <f>IFERROR(ROUND(AB20/AE20,2),0)</f>
        <v/>
      </c>
      <c r="AN20" s="2" t="inlineStr">
        <is>
          <t>2023-09-28</t>
        </is>
      </c>
      <c r="AO20" s="5">
        <f>ROUND(0.68,2)</f>
        <v/>
      </c>
      <c r="AP20" s="3">
        <f>ROUND(1856.0,2)</f>
        <v/>
      </c>
      <c r="AQ20" s="3">
        <f>ROUND(68.0,2)</f>
        <v/>
      </c>
      <c r="AR20" s="3">
        <f>ROUND(0.0,2)</f>
        <v/>
      </c>
      <c r="AS20" s="3">
        <f>ROUND(0.0,2)</f>
        <v/>
      </c>
      <c r="AT20" s="3">
        <f>ROUND(0.0,2)</f>
        <v/>
      </c>
      <c r="AU20" s="3">
        <f>ROUND(0.0,2)</f>
        <v/>
      </c>
      <c r="AV20" s="3">
        <f>ROUND(0.0,2)</f>
        <v/>
      </c>
      <c r="AW20" s="4">
        <f>IFERROR((AQ20/AP20),0)</f>
        <v/>
      </c>
      <c r="AX20" s="4">
        <f>IFERROR(((0+AO11+AO12+AO13+AO14+AO15+AO16+AO17+AO19+AO20)/T2),0)</f>
        <v/>
      </c>
      <c r="AY20" s="5">
        <f>IFERROR(ROUND(AO20/AQ20,2),0)</f>
        <v/>
      </c>
      <c r="AZ20" s="5">
        <f>IFERROR(ROUND(AO20/AR20,2),0)</f>
        <v/>
      </c>
      <c r="BA20" s="2" t="inlineStr">
        <is>
          <t>2023-09-28</t>
        </is>
      </c>
      <c r="BB20" s="5">
        <f>ROUND(0.28,2)</f>
        <v/>
      </c>
      <c r="BC20" s="3">
        <f>ROUND(720.0,2)</f>
        <v/>
      </c>
      <c r="BD20" s="3">
        <f>ROUND(28.0,2)</f>
        <v/>
      </c>
      <c r="BE20" s="3">
        <f>ROUND(0.0,2)</f>
        <v/>
      </c>
      <c r="BF20" s="3">
        <f>ROUND(0.0,2)</f>
        <v/>
      </c>
      <c r="BG20" s="3">
        <f>ROUND(0.0,2)</f>
        <v/>
      </c>
      <c r="BH20" s="3">
        <f>ROUND(0.0,2)</f>
        <v/>
      </c>
      <c r="BI20" s="3">
        <f>ROUND(0.0,2)</f>
        <v/>
      </c>
      <c r="BJ20" s="4">
        <f>IFERROR((BD20/BC20),0)</f>
        <v/>
      </c>
      <c r="BK20" s="4">
        <f>IFERROR(((0+BB11+BB12+BB13+BB14+BB15+BB16+BB17+BB19+BB20)/T2),0)</f>
        <v/>
      </c>
      <c r="BL20" s="5">
        <f>IFERROR(ROUND(BB20/BD20,2),0)</f>
        <v/>
      </c>
      <c r="BM20" s="5">
        <f>IFERROR(ROUND(BB20/BE20,2),0)</f>
        <v/>
      </c>
      <c r="BN20" s="2" t="inlineStr">
        <is>
          <t>2023-09-28</t>
        </is>
      </c>
      <c r="BO20" s="5">
        <f>ROUND(1.16,2)</f>
        <v/>
      </c>
      <c r="BP20" s="3">
        <f>ROUND(1648.0,2)</f>
        <v/>
      </c>
      <c r="BQ20" s="3">
        <f>ROUND(116.0,2)</f>
        <v/>
      </c>
      <c r="BR20" s="3">
        <f>ROUND(0.0,2)</f>
        <v/>
      </c>
      <c r="BS20" s="3">
        <f>ROUND(0.0,2)</f>
        <v/>
      </c>
      <c r="BT20" s="3">
        <f>ROUND(0.0,2)</f>
        <v/>
      </c>
      <c r="BU20" s="3">
        <f>ROUND(0.0,2)</f>
        <v/>
      </c>
      <c r="BV20" s="3">
        <f>ROUND(0.0,2)</f>
        <v/>
      </c>
      <c r="BW20" s="4">
        <f>IFERROR((BQ20/BP20),0)</f>
        <v/>
      </c>
      <c r="BX20" s="4">
        <f>IFERROR(((0+BO11+BO12+BO13+BO14+BO15+BO16+BO17+BO19+BO20)/T2),0)</f>
        <v/>
      </c>
      <c r="BY20" s="5">
        <f>IFERROR(ROUND(BO20/BQ20,2),0)</f>
        <v/>
      </c>
      <c r="BZ20" s="5">
        <f>IFERROR(ROUND(BO20/BR20,2),0)</f>
        <v/>
      </c>
      <c r="CA20" s="2" t="inlineStr">
        <is>
          <t>2023-09-28</t>
        </is>
      </c>
      <c r="CB20" s="5">
        <f>ROUND(0.04,2)</f>
        <v/>
      </c>
      <c r="CC20" s="3">
        <f>ROUND(166.0,2)</f>
        <v/>
      </c>
      <c r="CD20" s="3">
        <f>ROUND(4.0,2)</f>
        <v/>
      </c>
      <c r="CE20" s="3">
        <f>ROUND(0.0,2)</f>
        <v/>
      </c>
      <c r="CF20" s="3">
        <f>ROUND(0.0,2)</f>
        <v/>
      </c>
      <c r="CG20" s="3">
        <f>ROUND(0.0,2)</f>
        <v/>
      </c>
      <c r="CH20" s="3">
        <f>ROUND(0.0,2)</f>
        <v/>
      </c>
      <c r="CI20" s="3">
        <f>ROUND(0.0,2)</f>
        <v/>
      </c>
      <c r="CJ20" s="4">
        <f>IFERROR((CD20/CC20),0)</f>
        <v/>
      </c>
      <c r="CK20" s="4">
        <f>IFERROR(((0+CB11+CB12+CB13+CB14+CB15+CB16+CB17+CB19+CB20)/T2),0)</f>
        <v/>
      </c>
      <c r="CL20" s="5">
        <f>IFERROR(ROUND(CB20/CD20,2),0)</f>
        <v/>
      </c>
      <c r="CM20" s="5">
        <f>IFERROR(ROUND(CB20/CE20,2),0)</f>
        <v/>
      </c>
      <c r="CN20" s="2" t="inlineStr">
        <is>
          <t>2023-09-28</t>
        </is>
      </c>
      <c r="CO20" s="5">
        <f>ROUND(0.37,2)</f>
        <v/>
      </c>
      <c r="CP20" s="3">
        <f>ROUND(1863.0,2)</f>
        <v/>
      </c>
      <c r="CQ20" s="3">
        <f>ROUND(37.0,2)</f>
        <v/>
      </c>
      <c r="CR20" s="3">
        <f>ROUND(0.0,2)</f>
        <v/>
      </c>
      <c r="CS20" s="3">
        <f>ROUND(0.0,2)</f>
        <v/>
      </c>
      <c r="CT20" s="3">
        <f>ROUND(0.0,2)</f>
        <v/>
      </c>
      <c r="CU20" s="3">
        <f>ROUND(0.0,2)</f>
        <v/>
      </c>
      <c r="CV20" s="3">
        <f>ROUND(0.0,2)</f>
        <v/>
      </c>
      <c r="CW20" s="4">
        <f>IFERROR((CQ20/CP20),0)</f>
        <v/>
      </c>
      <c r="CX20" s="4">
        <f>IFERROR(((0+CO11+CO12+CO13+CO14+CO15+CO16+CO17+CO19+CO20)/T2),0)</f>
        <v/>
      </c>
      <c r="CY20" s="5">
        <f>IFERROR(ROUND(CO20/CQ20,2),0)</f>
        <v/>
      </c>
      <c r="CZ20" s="5">
        <f>IFERROR(ROUND(CO20/CR20,2),0)</f>
        <v/>
      </c>
      <c r="DA20" s="2" t="inlineStr">
        <is>
          <t>2023-09-28</t>
        </is>
      </c>
      <c r="DB20" s="5">
        <f>ROUND(1.37,2)</f>
        <v/>
      </c>
      <c r="DC20" s="3">
        <f>ROUND(4019.0,2)</f>
        <v/>
      </c>
      <c r="DD20" s="3">
        <f>ROUND(137.0,2)</f>
        <v/>
      </c>
      <c r="DE20" s="3">
        <f>ROUND(0.0,2)</f>
        <v/>
      </c>
      <c r="DF20" s="3">
        <f>ROUND(0.0,2)</f>
        <v/>
      </c>
      <c r="DG20" s="3">
        <f>ROUND(0.0,2)</f>
        <v/>
      </c>
      <c r="DH20" s="3">
        <f>ROUND(0.0,2)</f>
        <v/>
      </c>
      <c r="DI20" s="3">
        <f>ROUND(0.0,2)</f>
        <v/>
      </c>
      <c r="DJ20" s="4">
        <f>IFERROR((DD20/DC20),0)</f>
        <v/>
      </c>
      <c r="DK20" s="4">
        <f>IFERROR(((0+DB11+DB12+DB13+DB14+DB15+DB16+DB17+DB19+DB20)/T2),0)</f>
        <v/>
      </c>
      <c r="DL20" s="5">
        <f>IFERROR(ROUND(DB20/DD20,2),0)</f>
        <v/>
      </c>
      <c r="DM20" s="5">
        <f>IFERROR(ROUND(DB20/DE20,2),0)</f>
        <v/>
      </c>
      <c r="DN20" s="2" t="inlineStr">
        <is>
          <t>2023-09-28</t>
        </is>
      </c>
      <c r="DO20" s="5">
        <f>ROUND(0.04,2)</f>
        <v/>
      </c>
      <c r="DP20" s="3">
        <f>ROUND(116.0,2)</f>
        <v/>
      </c>
      <c r="DQ20" s="3">
        <f>ROUND(4.0,2)</f>
        <v/>
      </c>
      <c r="DR20" s="3">
        <f>ROUND(0.0,2)</f>
        <v/>
      </c>
      <c r="DS20" s="3">
        <f>ROUND(0.0,2)</f>
        <v/>
      </c>
      <c r="DT20" s="3">
        <f>ROUND(0.0,2)</f>
        <v/>
      </c>
      <c r="DU20" s="3">
        <f>ROUND(0.0,2)</f>
        <v/>
      </c>
      <c r="DV20" s="3">
        <f>ROUND(0.0,2)</f>
        <v/>
      </c>
      <c r="DW20" s="4">
        <f>IFERROR((DQ20/DP20),0)</f>
        <v/>
      </c>
      <c r="DX20" s="4">
        <f>IFERROR(((0+DO11+DO12+DO13+DO14+DO15+DO16+DO17+DO19+DO20)/T2),0)</f>
        <v/>
      </c>
      <c r="DY20" s="5">
        <f>IFERROR(ROUND(DO20/DQ20,2),0)</f>
        <v/>
      </c>
      <c r="DZ20" s="5">
        <f>IFERROR(ROUND(DO20/DR20,2),0)</f>
        <v/>
      </c>
      <c r="EA20" s="2" t="inlineStr">
        <is>
          <t>2023-09-28</t>
        </is>
      </c>
      <c r="EB20" s="5">
        <f>ROUND(2.21,2)</f>
        <v/>
      </c>
      <c r="EC20" s="3">
        <f>ROUND(11634.0,2)</f>
        <v/>
      </c>
      <c r="ED20" s="3">
        <f>ROUND(221.0,2)</f>
        <v/>
      </c>
      <c r="EE20" s="3">
        <f>ROUND(0.0,2)</f>
        <v/>
      </c>
      <c r="EF20" s="3">
        <f>ROUND(0.0,2)</f>
        <v/>
      </c>
      <c r="EG20" s="3">
        <f>ROUND(0.0,2)</f>
        <v/>
      </c>
      <c r="EH20" s="3">
        <f>ROUND(0.0,2)</f>
        <v/>
      </c>
      <c r="EI20" s="3">
        <f>ROUND(0.0,2)</f>
        <v/>
      </c>
      <c r="EJ20" s="4">
        <f>IFERROR((ED20/EC20),0)</f>
        <v/>
      </c>
      <c r="EK20" s="4">
        <f>IFERROR(((0+EB11+EB12+EB13+EB14+EB15+EB16+EB17+EB19+EB20)/T2),0)</f>
        <v/>
      </c>
      <c r="EL20" s="5">
        <f>IFERROR(ROUND(EB20/ED20,2),0)</f>
        <v/>
      </c>
      <c r="EM20" s="5">
        <f>IFERROR(ROUND(EB20/EE20,2),0)</f>
        <v/>
      </c>
      <c r="EN20" s="2" t="inlineStr">
        <is>
          <t>2023-09-28</t>
        </is>
      </c>
      <c r="EO20" s="5">
        <f>ROUND(0.11,2)</f>
        <v/>
      </c>
      <c r="EP20" s="3">
        <f>ROUND(235.0,2)</f>
        <v/>
      </c>
      <c r="EQ20" s="3">
        <f>ROUND(11.0,2)</f>
        <v/>
      </c>
      <c r="ER20" s="3">
        <f>ROUND(0.0,2)</f>
        <v/>
      </c>
      <c r="ES20" s="3">
        <f>ROUND(0.0,2)</f>
        <v/>
      </c>
      <c r="ET20" s="3">
        <f>ROUND(0.0,2)</f>
        <v/>
      </c>
      <c r="EU20" s="3">
        <f>ROUND(0.0,2)</f>
        <v/>
      </c>
      <c r="EV20" s="3">
        <f>ROUND(0.0,2)</f>
        <v/>
      </c>
      <c r="EW20" s="4">
        <f>IFERROR((EQ20/EP20),0)</f>
        <v/>
      </c>
      <c r="EX20" s="4">
        <f>IFERROR(((0+EO11+EO12+EO13+EO14+EO15+EO16+EO17+EO19+EO20)/T2),0)</f>
        <v/>
      </c>
      <c r="EY20" s="5">
        <f>IFERROR(ROUND(EO20/EQ20,2),0)</f>
        <v/>
      </c>
      <c r="EZ20" s="5">
        <f>IFERROR(ROUND(EO20/ER20,2),0)</f>
        <v/>
      </c>
      <c r="FA20" s="2" t="inlineStr">
        <is>
          <t>2023-09-28</t>
        </is>
      </c>
      <c r="FB20" s="5">
        <f>ROUND(4.12,2)</f>
        <v/>
      </c>
      <c r="FC20" s="3">
        <f>ROUND(17910.0,2)</f>
        <v/>
      </c>
      <c r="FD20" s="3">
        <f>ROUND(412.0,2)</f>
        <v/>
      </c>
      <c r="FE20" s="3">
        <f>ROUND(0.0,2)</f>
        <v/>
      </c>
      <c r="FF20" s="3">
        <f>ROUND(0.0,2)</f>
        <v/>
      </c>
      <c r="FG20" s="3">
        <f>ROUND(0.0,2)</f>
        <v/>
      </c>
      <c r="FH20" s="3">
        <f>ROUND(0.0,2)</f>
        <v/>
      </c>
      <c r="FI20" s="3">
        <f>ROUND(0.0,2)</f>
        <v/>
      </c>
      <c r="FJ20" s="4">
        <f>IFERROR((FD20/FC20),0)</f>
        <v/>
      </c>
      <c r="FK20" s="4">
        <f>IFERROR(((0+FB11+FB12+FB13+FB14+FB15+FB16+FB17+FB19+FB20)/T2),0)</f>
        <v/>
      </c>
      <c r="FL20" s="5">
        <f>IFERROR(ROUND(FB20/FD20,2),0)</f>
        <v/>
      </c>
      <c r="FM20" s="5">
        <f>IFERROR(ROUND(FB20/FE20,2),0)</f>
        <v/>
      </c>
      <c r="FN20" s="2" t="inlineStr">
        <is>
          <t>2023-09-28</t>
        </is>
      </c>
      <c r="FO20" s="5">
        <f>ROUND(15.82,2)</f>
        <v/>
      </c>
      <c r="FP20" s="3">
        <f>ROUND(37084.0,2)</f>
        <v/>
      </c>
      <c r="FQ20" s="3">
        <f>ROUND(1582.0,2)</f>
        <v/>
      </c>
      <c r="FR20" s="3">
        <f>ROUND(0.0,2)</f>
        <v/>
      </c>
      <c r="FS20" s="3">
        <f>ROUND(0.0,2)</f>
        <v/>
      </c>
      <c r="FT20" s="3">
        <f>ROUND(0.0,2)</f>
        <v/>
      </c>
      <c r="FU20" s="3">
        <f>ROUND(0.0,2)</f>
        <v/>
      </c>
      <c r="FV20" s="3">
        <f>ROUND(0.0,2)</f>
        <v/>
      </c>
      <c r="FW20" s="4">
        <f>IFERROR((FQ20/FP20),0)</f>
        <v/>
      </c>
      <c r="FX20" s="4">
        <f>IFERROR(((0+FO11+FO12+FO13+FO14+FO15+FO16+FO17+FO19+FO20)/T2),0)</f>
        <v/>
      </c>
      <c r="FY20" s="5">
        <f>IFERROR(ROUND(FO20/FQ20,2),0)</f>
        <v/>
      </c>
      <c r="FZ20" s="5">
        <f>IFERROR(ROUND(FO20/FR20,2),0)</f>
        <v/>
      </c>
      <c r="GA20" s="2" t="inlineStr">
        <is>
          <t>2023-09-28</t>
        </is>
      </c>
      <c r="GB20" s="5">
        <f>ROUND(0.04,2)</f>
        <v/>
      </c>
      <c r="GC20" s="3">
        <f>ROUND(74.0,2)</f>
        <v/>
      </c>
      <c r="GD20" s="3">
        <f>ROUND(4.0,2)</f>
        <v/>
      </c>
      <c r="GE20" s="3">
        <f>ROUND(0.0,2)</f>
        <v/>
      </c>
      <c r="GF20" s="3">
        <f>ROUND(0.0,2)</f>
        <v/>
      </c>
      <c r="GG20" s="3">
        <f>ROUND(0.0,2)</f>
        <v/>
      </c>
      <c r="GH20" s="3">
        <f>ROUND(0.0,2)</f>
        <v/>
      </c>
      <c r="GI20" s="3">
        <f>ROUND(0.0,2)</f>
        <v/>
      </c>
      <c r="GJ20" s="4">
        <f>IFERROR((GD20/GC20),0)</f>
        <v/>
      </c>
      <c r="GK20" s="4">
        <f>IFERROR(((0+GB11+GB12+GB13+GB14+GB15+GB16+GB17+GB19+GB20)/T2),0)</f>
        <v/>
      </c>
      <c r="GL20" s="5">
        <f>IFERROR(ROUND(GB20/GD20,2),0)</f>
        <v/>
      </c>
      <c r="GM20" s="5">
        <f>IFERROR(ROUND(GB20/GE20,2),0)</f>
        <v/>
      </c>
      <c r="GN20" s="2" t="inlineStr">
        <is>
          <t>2023-09-28</t>
        </is>
      </c>
      <c r="GO20" s="5">
        <f>ROUND(0.32,2)</f>
        <v/>
      </c>
      <c r="GP20" s="3">
        <f>ROUND(1085.0,2)</f>
        <v/>
      </c>
      <c r="GQ20" s="3">
        <f>ROUND(32.0,2)</f>
        <v/>
      </c>
      <c r="GR20" s="3">
        <f>ROUND(0.0,2)</f>
        <v/>
      </c>
      <c r="GS20" s="3">
        <f>ROUND(0.0,2)</f>
        <v/>
      </c>
      <c r="GT20" s="3">
        <f>ROUND(0.0,2)</f>
        <v/>
      </c>
      <c r="GU20" s="3">
        <f>ROUND(0.0,2)</f>
        <v/>
      </c>
      <c r="GV20" s="3">
        <f>ROUND(0.0,2)</f>
        <v/>
      </c>
      <c r="GW20" s="4">
        <f>IFERROR((GQ20/GP20),0)</f>
        <v/>
      </c>
      <c r="GX20" s="4">
        <f>IFERROR(((0+GO11+GO12+GO13+GO14+GO15+GO16+GO17+GO19+GO20)/T2),0)</f>
        <v/>
      </c>
      <c r="GY20" s="5">
        <f>IFERROR(ROUND(GO20/GQ20,2),0)</f>
        <v/>
      </c>
      <c r="GZ20" s="5">
        <f>IFERROR(ROUND(GO20/GR20,2),0)</f>
        <v/>
      </c>
      <c r="HA20" s="2" t="inlineStr">
        <is>
          <t>2023-09-28</t>
        </is>
      </c>
      <c r="HB20" s="5">
        <f>ROUND(0.28,2)</f>
        <v/>
      </c>
      <c r="HC20" s="3">
        <f>ROUND(614.0,2)</f>
        <v/>
      </c>
      <c r="HD20" s="3">
        <f>ROUND(28.0,2)</f>
        <v/>
      </c>
      <c r="HE20" s="3">
        <f>ROUND(0.0,2)</f>
        <v/>
      </c>
      <c r="HF20" s="3">
        <f>ROUND(0.0,2)</f>
        <v/>
      </c>
      <c r="HG20" s="3">
        <f>ROUND(0.0,2)</f>
        <v/>
      </c>
      <c r="HH20" s="3">
        <f>ROUND(0.0,2)</f>
        <v/>
      </c>
      <c r="HI20" s="3">
        <f>ROUND(0.0,2)</f>
        <v/>
      </c>
      <c r="HJ20" s="4">
        <f>IFERROR((HD20/HC20),0)</f>
        <v/>
      </c>
      <c r="HK20" s="4">
        <f>IFERROR(((0+HB11+HB12+HB13+HB14+HB15+HB16+HB17+HB19+HB20)/T2),0)</f>
        <v/>
      </c>
      <c r="HL20" s="5">
        <f>IFERROR(ROUND(HB20/HD20,2),0)</f>
        <v/>
      </c>
      <c r="HM20" s="5">
        <f>IFERROR(ROUND(HB20/HE20,2),0)</f>
        <v/>
      </c>
      <c r="HN20" s="2" t="inlineStr">
        <is>
          <t>2023-09-28</t>
        </is>
      </c>
      <c r="HO20" s="5">
        <f>ROUND(0.0,2)</f>
        <v/>
      </c>
      <c r="HP20" s="3">
        <f>ROUND(38.0,2)</f>
        <v/>
      </c>
      <c r="HQ20" s="3">
        <f>ROUND(0.0,2)</f>
        <v/>
      </c>
      <c r="HR20" s="3">
        <f>ROUND(0.0,2)</f>
        <v/>
      </c>
      <c r="HS20" s="3">
        <f>ROUND(0.0,2)</f>
        <v/>
      </c>
      <c r="HT20" s="3">
        <f>ROUND(0.0,2)</f>
        <v/>
      </c>
      <c r="HU20" s="3">
        <f>ROUND(0.0,2)</f>
        <v/>
      </c>
      <c r="HV20" s="3">
        <f>ROUND(0.0,2)</f>
        <v/>
      </c>
      <c r="HW20" s="4">
        <f>IFERROR((HQ20/HP20),0)</f>
        <v/>
      </c>
      <c r="HX20" s="4">
        <f>IFERROR(((0+HO11+HO12+HO13+HO14+HO15+HO16+HO17+HO19+HO20)/T2),0)</f>
        <v/>
      </c>
      <c r="HY20" s="5">
        <f>IFERROR(ROUND(HO20/HQ20,2),0)</f>
        <v/>
      </c>
      <c r="HZ20" s="5">
        <f>IFERROR(ROUND(HO20/HR20,2),0)</f>
        <v/>
      </c>
      <c r="IA20" s="2" t="inlineStr">
        <is>
          <t>2023-09-28</t>
        </is>
      </c>
      <c r="IB20" s="5">
        <f>ROUND(0.6,2)</f>
        <v/>
      </c>
      <c r="IC20" s="3">
        <f>ROUND(564.0,2)</f>
        <v/>
      </c>
      <c r="ID20" s="3">
        <f>ROUND(60.0,2)</f>
        <v/>
      </c>
      <c r="IE20" s="3">
        <f>ROUND(0.0,2)</f>
        <v/>
      </c>
      <c r="IF20" s="3">
        <f>ROUND(0.0,2)</f>
        <v/>
      </c>
      <c r="IG20" s="3">
        <f>ROUND(0.0,2)</f>
        <v/>
      </c>
      <c r="IH20" s="3">
        <f>ROUND(0.0,2)</f>
        <v/>
      </c>
      <c r="II20" s="3">
        <f>ROUND(0.0,2)</f>
        <v/>
      </c>
      <c r="IJ20" s="4">
        <f>IFERROR((ID20/IC20),0)</f>
        <v/>
      </c>
      <c r="IK20" s="4">
        <f>IFERROR(((0+IB11+IB12+IB13+IB14+IB15+IB16+IB17+IB19+IB20)/T2),0)</f>
        <v/>
      </c>
      <c r="IL20" s="5">
        <f>IFERROR(ROUND(IB20/ID20,2),0)</f>
        <v/>
      </c>
      <c r="IM20" s="5">
        <f>IFERROR(ROUND(IB20/IE20,2),0)</f>
        <v/>
      </c>
      <c r="IN20" s="2" t="inlineStr">
        <is>
          <t>2023-09-28</t>
        </is>
      </c>
      <c r="IO20" s="5">
        <f>ROUND(0.77,2)</f>
        <v/>
      </c>
      <c r="IP20" s="3">
        <f>ROUND(3766.0,2)</f>
        <v/>
      </c>
      <c r="IQ20" s="3">
        <f>ROUND(77.0,2)</f>
        <v/>
      </c>
      <c r="IR20" s="3">
        <f>ROUND(0.0,2)</f>
        <v/>
      </c>
      <c r="IS20" s="3">
        <f>ROUND(0.0,2)</f>
        <v/>
      </c>
      <c r="IT20" s="3">
        <f>ROUND(0.0,2)</f>
        <v/>
      </c>
      <c r="IU20" s="3">
        <f>ROUND(0.0,2)</f>
        <v/>
      </c>
      <c r="IV20" s="3">
        <f>ROUND(0.0,2)</f>
        <v/>
      </c>
      <c r="IW20" s="4">
        <f>IFERROR((IQ20/IP20),0)</f>
        <v/>
      </c>
      <c r="IX20" s="4">
        <f>IFERROR(((0+IO11+IO12+IO13+IO14+IO15+IO16+IO17+IO19+IO20)/T2),0)</f>
        <v/>
      </c>
      <c r="IY20" s="5">
        <f>IFERROR(ROUND(IO20/IQ20,2),0)</f>
        <v/>
      </c>
      <c r="IZ20" s="5">
        <f>IFERROR(ROUND(IO20/IR20,2),0)</f>
        <v/>
      </c>
      <c r="JA20" s="2" t="inlineStr">
        <is>
          <t>2023-09-28</t>
        </is>
      </c>
      <c r="JB20" s="5">
        <f>ROUND(0.16,2)</f>
        <v/>
      </c>
      <c r="JC20" s="3">
        <f>ROUND(393.0,2)</f>
        <v/>
      </c>
      <c r="JD20" s="3">
        <f>ROUND(16.0,2)</f>
        <v/>
      </c>
      <c r="JE20" s="3">
        <f>ROUND(0.0,2)</f>
        <v/>
      </c>
      <c r="JF20" s="3">
        <f>ROUND(0.0,2)</f>
        <v/>
      </c>
      <c r="JG20" s="3">
        <f>ROUND(0.0,2)</f>
        <v/>
      </c>
      <c r="JH20" s="3">
        <f>ROUND(0.0,2)</f>
        <v/>
      </c>
      <c r="JI20" s="3">
        <f>ROUND(0.0,2)</f>
        <v/>
      </c>
      <c r="JJ20" s="4">
        <f>IFERROR((JD20/JC20),0)</f>
        <v/>
      </c>
      <c r="JK20" s="4">
        <f>IFERROR(((0+JB11+JB12+JB13+JB14+JB15+JB16+JB17+JB19+JB20)/T2),0)</f>
        <v/>
      </c>
      <c r="JL20" s="5">
        <f>IFERROR(ROUND(JB20/JD20,2),0)</f>
        <v/>
      </c>
      <c r="JM20" s="5">
        <f>IFERROR(ROUND(JB20/JE20,2),0)</f>
        <v/>
      </c>
      <c r="JN20" s="2" t="inlineStr">
        <is>
          <t>2023-09-28</t>
        </is>
      </c>
      <c r="JO20" s="5">
        <f>ROUND(0.04,2)</f>
        <v/>
      </c>
      <c r="JP20" s="3">
        <f>ROUND(158.0,2)</f>
        <v/>
      </c>
      <c r="JQ20" s="3">
        <f>ROUND(4.0,2)</f>
        <v/>
      </c>
      <c r="JR20" s="3">
        <f>ROUND(0.0,2)</f>
        <v/>
      </c>
      <c r="JS20" s="3">
        <f>ROUND(0.0,2)</f>
        <v/>
      </c>
      <c r="JT20" s="3">
        <f>ROUND(0.0,2)</f>
        <v/>
      </c>
      <c r="JU20" s="3">
        <f>ROUND(0.0,2)</f>
        <v/>
      </c>
      <c r="JV20" s="3">
        <f>ROUND(0.0,2)</f>
        <v/>
      </c>
      <c r="JW20" s="4">
        <f>IFERROR((JQ20/JP20),0)</f>
        <v/>
      </c>
      <c r="JX20" s="4">
        <f>IFERROR(((0+JO11+JO12+JO13+JO14+JO15+JO16+JO17+JO19+JO20)/T2),0)</f>
        <v/>
      </c>
      <c r="JY20" s="5">
        <f>IFERROR(ROUND(JO20/JQ20,2),0)</f>
        <v/>
      </c>
      <c r="JZ20" s="5">
        <f>IFERROR(ROUND(JO20/JR20,2),0)</f>
        <v/>
      </c>
      <c r="KA20" s="2" t="inlineStr">
        <is>
          <t>2023-09-28</t>
        </is>
      </c>
      <c r="KB20" s="5">
        <f>ROUND(0.01,2)</f>
        <v/>
      </c>
      <c r="KC20" s="3">
        <f>ROUND(27.0,2)</f>
        <v/>
      </c>
      <c r="KD20" s="3">
        <f>ROUND(1.0,2)</f>
        <v/>
      </c>
      <c r="KE20" s="3">
        <f>ROUND(0.0,2)</f>
        <v/>
      </c>
      <c r="KF20" s="3">
        <f>ROUND(0.0,2)</f>
        <v/>
      </c>
      <c r="KG20" s="3">
        <f>ROUND(0.0,2)</f>
        <v/>
      </c>
      <c r="KH20" s="3">
        <f>ROUND(0.0,2)</f>
        <v/>
      </c>
      <c r="KI20" s="3">
        <f>ROUND(0.0,2)</f>
        <v/>
      </c>
      <c r="KJ20" s="4">
        <f>IFERROR((KD20/KC20),0)</f>
        <v/>
      </c>
      <c r="KK20" s="4">
        <f>IFERROR(((0+KB11+KB12+KB13+KB14+KB15+KB16+KB17+KB19+KB20)/T2),0)</f>
        <v/>
      </c>
      <c r="KL20" s="5">
        <f>IFERROR(ROUND(KB20/KD20,2),0)</f>
        <v/>
      </c>
      <c r="KM20" s="5">
        <f>IFERROR(ROUND(KB20/KE20,2),0)</f>
        <v/>
      </c>
      <c r="KN20" s="2" t="inlineStr">
        <is>
          <t>2023-09-28</t>
        </is>
      </c>
      <c r="KO20" s="5">
        <f>ROUND(1.6600000000000001,2)</f>
        <v/>
      </c>
      <c r="KP20" s="3">
        <f>ROUND(8853.0,2)</f>
        <v/>
      </c>
      <c r="KQ20" s="3">
        <f>ROUND(166.0,2)</f>
        <v/>
      </c>
      <c r="KR20" s="3">
        <f>ROUND(0.0,2)</f>
        <v/>
      </c>
      <c r="KS20" s="3">
        <f>ROUND(0.0,2)</f>
        <v/>
      </c>
      <c r="KT20" s="3">
        <f>ROUND(0.0,2)</f>
        <v/>
      </c>
      <c r="KU20" s="3">
        <f>ROUND(0.0,2)</f>
        <v/>
      </c>
      <c r="KV20" s="3">
        <f>ROUND(0.0,2)</f>
        <v/>
      </c>
      <c r="KW20" s="4">
        <f>IFERROR((KQ20/KP20),0)</f>
        <v/>
      </c>
      <c r="KX20" s="4">
        <f>IFERROR(((0+KO11+KO12+KO13+KO14+KO15+KO16+KO17+KO19+KO20)/T2),0)</f>
        <v/>
      </c>
      <c r="KY20" s="5">
        <f>IFERROR(ROUND(KO20/KQ20,2),0)</f>
        <v/>
      </c>
      <c r="KZ20" s="5">
        <f>IFERROR(ROUND(KO20/KR20,2),0)</f>
        <v/>
      </c>
      <c r="LA20" s="2" t="inlineStr">
        <is>
          <t>2023-09-28</t>
        </is>
      </c>
      <c r="LB20" s="5">
        <f>ROUND(1.46,2)</f>
        <v/>
      </c>
      <c r="LC20" s="3">
        <f>ROUND(9827.0,2)</f>
        <v/>
      </c>
      <c r="LD20" s="3">
        <f>ROUND(146.0,2)</f>
        <v/>
      </c>
      <c r="LE20" s="3">
        <f>ROUND(0.0,2)</f>
        <v/>
      </c>
      <c r="LF20" s="3">
        <f>ROUND(0.0,2)</f>
        <v/>
      </c>
      <c r="LG20" s="3">
        <f>ROUND(0.0,2)</f>
        <v/>
      </c>
      <c r="LH20" s="3">
        <f>ROUND(0.0,2)</f>
        <v/>
      </c>
      <c r="LI20" s="3">
        <f>ROUND(0.0,2)</f>
        <v/>
      </c>
      <c r="LJ20" s="4">
        <f>IFERROR((LD20/LC20),0)</f>
        <v/>
      </c>
      <c r="LK20" s="4">
        <f>IFERROR(((0+LB11+LB12+LB13+LB14+LB15+LB16+LB17+LB19+LB20)/T2),0)</f>
        <v/>
      </c>
      <c r="LL20" s="5">
        <f>IFERROR(ROUND(LB20/LD20,2),0)</f>
        <v/>
      </c>
      <c r="LM20" s="5">
        <f>IFERROR(ROUND(LB20/LE20,2),0)</f>
        <v/>
      </c>
      <c r="LN20" s="2" t="inlineStr">
        <is>
          <t>2023-09-28</t>
        </is>
      </c>
      <c r="LO20" s="5">
        <f>ROUND(0.54,2)</f>
        <v/>
      </c>
      <c r="LP20" s="3">
        <f>ROUND(721.0,2)</f>
        <v/>
      </c>
      <c r="LQ20" s="3">
        <f>ROUND(54.0,2)</f>
        <v/>
      </c>
      <c r="LR20" s="3">
        <f>ROUND(0.0,2)</f>
        <v/>
      </c>
      <c r="LS20" s="3">
        <f>ROUND(0.0,2)</f>
        <v/>
      </c>
      <c r="LT20" s="3">
        <f>ROUND(0.0,2)</f>
        <v/>
      </c>
      <c r="LU20" s="3">
        <f>ROUND(0.0,2)</f>
        <v/>
      </c>
      <c r="LV20" s="3">
        <f>ROUND(0.0,2)</f>
        <v/>
      </c>
      <c r="LW20" s="4">
        <f>IFERROR((LQ20/LP20),0)</f>
        <v/>
      </c>
      <c r="LX20" s="4">
        <f>IFERROR(((0+LO11+LO12+LO13+LO14+LO15+LO16+LO17+LO19+LO20)/T2),0)</f>
        <v/>
      </c>
      <c r="LY20" s="5">
        <f>IFERROR(ROUND(LO20/LQ20,2),0)</f>
        <v/>
      </c>
      <c r="LZ20" s="5">
        <f>IFERROR(ROUND(LO20/LR20,2),0)</f>
        <v/>
      </c>
      <c r="MA20" s="2" t="inlineStr">
        <is>
          <t>2023-09-28</t>
        </is>
      </c>
      <c r="MB20" s="5">
        <f>ROUND(0.6799999999999999,2)</f>
        <v/>
      </c>
      <c r="MC20" s="3">
        <f>ROUND(3181.0,2)</f>
        <v/>
      </c>
      <c r="MD20" s="3">
        <f>ROUND(68.0,2)</f>
        <v/>
      </c>
      <c r="ME20" s="3">
        <f>ROUND(0.0,2)</f>
        <v/>
      </c>
      <c r="MF20" s="3">
        <f>ROUND(0.0,2)</f>
        <v/>
      </c>
      <c r="MG20" s="3">
        <f>ROUND(0.0,2)</f>
        <v/>
      </c>
      <c r="MH20" s="3">
        <f>ROUND(0.0,2)</f>
        <v/>
      </c>
      <c r="MI20" s="3">
        <f>ROUND(0.0,2)</f>
        <v/>
      </c>
      <c r="MJ20" s="4">
        <f>IFERROR((MD20/MC20),0)</f>
        <v/>
      </c>
      <c r="MK20" s="4">
        <f>IFERROR(((0+MB11+MB12+MB13+MB14+MB15+MB16+MB17+MB19+MB20)/T2),0)</f>
        <v/>
      </c>
      <c r="ML20" s="5">
        <f>IFERROR(ROUND(MB20/MD20,2),0)</f>
        <v/>
      </c>
      <c r="MM20" s="5">
        <f>IFERROR(ROUND(MB20/ME20,2),0)</f>
        <v/>
      </c>
      <c r="MN20" s="2" t="inlineStr">
        <is>
          <t>2023-09-28</t>
        </is>
      </c>
      <c r="MO20" s="5">
        <f>ROUND(5.23,2)</f>
        <v/>
      </c>
      <c r="MP20" s="3">
        <f>ROUND(8291.0,2)</f>
        <v/>
      </c>
      <c r="MQ20" s="3">
        <f>ROUND(523.0,2)</f>
        <v/>
      </c>
      <c r="MR20" s="3">
        <f>ROUND(0.0,2)</f>
        <v/>
      </c>
      <c r="MS20" s="3">
        <f>ROUND(0.0,2)</f>
        <v/>
      </c>
      <c r="MT20" s="3">
        <f>ROUND(0.0,2)</f>
        <v/>
      </c>
      <c r="MU20" s="3">
        <f>ROUND(0.0,2)</f>
        <v/>
      </c>
      <c r="MV20" s="3">
        <f>ROUND(0.0,2)</f>
        <v/>
      </c>
      <c r="MW20" s="4">
        <f>IFERROR((MQ20/MP20),0)</f>
        <v/>
      </c>
      <c r="MX20" s="4">
        <f>IFERROR(((0+MO11+MO12+MO13+MO14+MO15+MO16+MO17+MO19+MO20)/T2),0)</f>
        <v/>
      </c>
      <c r="MY20" s="5">
        <f>IFERROR(ROUND(MO20/MQ20,2),0)</f>
        <v/>
      </c>
      <c r="MZ20" s="5">
        <f>IFERROR(ROUND(MO20/MR20,2),0)</f>
        <v/>
      </c>
      <c r="NA20" s="2" t="inlineStr">
        <is>
          <t>2023-09-28</t>
        </is>
      </c>
      <c r="NB20" s="5">
        <f>ROUND(0.2,2)</f>
        <v/>
      </c>
      <c r="NC20" s="3">
        <f>ROUND(1228.0,2)</f>
        <v/>
      </c>
      <c r="ND20" s="3">
        <f>ROUND(20.0,2)</f>
        <v/>
      </c>
      <c r="NE20" s="3">
        <f>ROUND(0.0,2)</f>
        <v/>
      </c>
      <c r="NF20" s="3">
        <f>ROUND(0.0,2)</f>
        <v/>
      </c>
      <c r="NG20" s="3">
        <f>ROUND(0.0,2)</f>
        <v/>
      </c>
      <c r="NH20" s="3">
        <f>ROUND(0.0,2)</f>
        <v/>
      </c>
      <c r="NI20" s="3">
        <f>ROUND(0.0,2)</f>
        <v/>
      </c>
      <c r="NJ20" s="4">
        <f>IFERROR((ND20/NC20),0)</f>
        <v/>
      </c>
      <c r="NK20" s="4">
        <f>IFERROR(((0+NB11+NB12+NB13+NB14+NB15+NB16+NB17+NB19+NB20)/T2),0)</f>
        <v/>
      </c>
      <c r="NL20" s="5">
        <f>IFERROR(ROUND(NB20/ND20,2),0)</f>
        <v/>
      </c>
      <c r="NM20" s="5">
        <f>IFERROR(ROUND(NB20/NE20,2),0)</f>
        <v/>
      </c>
      <c r="NN20" s="2" t="inlineStr">
        <is>
          <t>2023-09-28</t>
        </is>
      </c>
      <c r="NO20" s="5">
        <f>ROUND(0.05,2)</f>
        <v/>
      </c>
      <c r="NP20" s="3">
        <f>ROUND(69.0,2)</f>
        <v/>
      </c>
      <c r="NQ20" s="3">
        <f>ROUND(5.0,2)</f>
        <v/>
      </c>
      <c r="NR20" s="3">
        <f>ROUND(0.0,2)</f>
        <v/>
      </c>
      <c r="NS20" s="3">
        <f>ROUND(0.0,2)</f>
        <v/>
      </c>
      <c r="NT20" s="3">
        <f>ROUND(0.0,2)</f>
        <v/>
      </c>
      <c r="NU20" s="3">
        <f>ROUND(0.0,2)</f>
        <v/>
      </c>
      <c r="NV20" s="3">
        <f>ROUND(0.0,2)</f>
        <v/>
      </c>
      <c r="NW20" s="4">
        <f>IFERROR((NQ20/NP20),0)</f>
        <v/>
      </c>
      <c r="NX20" s="4">
        <f>IFERROR(((0+NO11+NO12+NO13+NO14+NO15+NO16+NO17+NO19+NO20)/T2),0)</f>
        <v/>
      </c>
      <c r="NY20" s="5">
        <f>IFERROR(ROUND(NO20/NQ20,2),0)</f>
        <v/>
      </c>
      <c r="NZ20" s="5">
        <f>IFERROR(ROUND(NO20/NR20,2),0)</f>
        <v/>
      </c>
      <c r="OA20" s="2" t="inlineStr">
        <is>
          <t>2023-09-28</t>
        </is>
      </c>
      <c r="OB20" s="5">
        <f>ROUND(0.060000000000000005,2)</f>
        <v/>
      </c>
      <c r="OC20" s="3">
        <f>ROUND(155.0,2)</f>
        <v/>
      </c>
      <c r="OD20" s="3">
        <f>ROUND(6.0,2)</f>
        <v/>
      </c>
      <c r="OE20" s="3">
        <f>ROUND(0.0,2)</f>
        <v/>
      </c>
      <c r="OF20" s="3">
        <f>ROUND(0.0,2)</f>
        <v/>
      </c>
      <c r="OG20" s="3">
        <f>ROUND(0.0,2)</f>
        <v/>
      </c>
      <c r="OH20" s="3">
        <f>ROUND(0.0,2)</f>
        <v/>
      </c>
      <c r="OI20" s="3">
        <f>ROUND(0.0,2)</f>
        <v/>
      </c>
      <c r="OJ20" s="4">
        <f>IFERROR((OD20/OC20),0)</f>
        <v/>
      </c>
      <c r="OK20" s="4">
        <f>IFERROR(((0+OB11+OB12+OB13+OB14+OB15+OB16+OB17+OB19+OB20)/T2),0)</f>
        <v/>
      </c>
      <c r="OL20" s="5">
        <f>IFERROR(ROUND(OB20/OD20,2),0)</f>
        <v/>
      </c>
      <c r="OM20" s="5">
        <f>IFERROR(ROUND(OB20/OE20,2),0)</f>
        <v/>
      </c>
      <c r="ON20" s="2" t="inlineStr">
        <is>
          <t>2023-09-28</t>
        </is>
      </c>
      <c r="OO20" s="5">
        <f>ROUND(0.35,2)</f>
        <v/>
      </c>
      <c r="OP20" s="3">
        <f>ROUND(1282.0,2)</f>
        <v/>
      </c>
      <c r="OQ20" s="3">
        <f>ROUND(35.0,2)</f>
        <v/>
      </c>
      <c r="OR20" s="3">
        <f>ROUND(0.0,2)</f>
        <v/>
      </c>
      <c r="OS20" s="3">
        <f>ROUND(0.0,2)</f>
        <v/>
      </c>
      <c r="OT20" s="3">
        <f>ROUND(0.0,2)</f>
        <v/>
      </c>
      <c r="OU20" s="3">
        <f>ROUND(0.0,2)</f>
        <v/>
      </c>
      <c r="OV20" s="3">
        <f>ROUND(0.0,2)</f>
        <v/>
      </c>
      <c r="OW20" s="4">
        <f>IFERROR((OQ20/OP20),0)</f>
        <v/>
      </c>
      <c r="OX20" s="4">
        <f>IFERROR(((0+OO11+OO12+OO13+OO14+OO15+OO16+OO17+OO19+OO20)/T2),0)</f>
        <v/>
      </c>
      <c r="OY20" s="5">
        <f>IFERROR(ROUND(OO20/OQ20,2),0)</f>
        <v/>
      </c>
      <c r="OZ20" s="5">
        <f>IFERROR(ROUND(OO20/OR20,2),0)</f>
        <v/>
      </c>
      <c r="PA20" s="2" t="inlineStr">
        <is>
          <t>2023-09-28</t>
        </is>
      </c>
      <c r="PB20" s="5">
        <f>ROUND(0.22,2)</f>
        <v/>
      </c>
      <c r="PC20" s="3">
        <f>ROUND(225.0,2)</f>
        <v/>
      </c>
      <c r="PD20" s="3">
        <f>ROUND(22.0,2)</f>
        <v/>
      </c>
      <c r="PE20" s="3">
        <f>ROUND(0.0,2)</f>
        <v/>
      </c>
      <c r="PF20" s="3">
        <f>ROUND(0.0,2)</f>
        <v/>
      </c>
      <c r="PG20" s="3">
        <f>ROUND(0.0,2)</f>
        <v/>
      </c>
      <c r="PH20" s="3">
        <f>ROUND(0.0,2)</f>
        <v/>
      </c>
      <c r="PI20" s="3">
        <f>ROUND(0.0,2)</f>
        <v/>
      </c>
      <c r="PJ20" s="4">
        <f>IFERROR((PD20/PC20),0)</f>
        <v/>
      </c>
      <c r="PK20" s="4">
        <f>IFERROR(((0+PB11+PB12+PB13+PB14+PB15+PB16+PB17+PB19+PB20)/T2),0)</f>
        <v/>
      </c>
      <c r="PL20" s="5">
        <f>IFERROR(ROUND(PB20/PD20,2),0)</f>
        <v/>
      </c>
      <c r="PM20" s="5">
        <f>IFERROR(ROUND(PB20/PE20,2),0)</f>
        <v/>
      </c>
      <c r="PN20" s="2" t="inlineStr">
        <is>
          <t>2023-09-28</t>
        </is>
      </c>
      <c r="PO20" s="5">
        <f>ROUND(0.02,2)</f>
        <v/>
      </c>
      <c r="PP20" s="3">
        <f>ROUND(26.0,2)</f>
        <v/>
      </c>
      <c r="PQ20" s="3">
        <f>ROUND(2.0,2)</f>
        <v/>
      </c>
      <c r="PR20" s="3">
        <f>ROUND(0.0,2)</f>
        <v/>
      </c>
      <c r="PS20" s="3">
        <f>ROUND(0.0,2)</f>
        <v/>
      </c>
      <c r="PT20" s="3">
        <f>ROUND(0.0,2)</f>
        <v/>
      </c>
      <c r="PU20" s="3">
        <f>ROUND(0.0,2)</f>
        <v/>
      </c>
      <c r="PV20" s="3">
        <f>ROUND(0.0,2)</f>
        <v/>
      </c>
      <c r="PW20" s="4">
        <f>IFERROR((PQ20/PP20),0)</f>
        <v/>
      </c>
      <c r="PX20" s="4">
        <f>IFERROR(((0+PO11+PO12+PO13+PO14+PO15+PO16+PO17+PO19+PO20)/T2),0)</f>
        <v/>
      </c>
      <c r="PY20" s="5">
        <f>IFERROR(ROUND(PO20/PQ20,2),0)</f>
        <v/>
      </c>
      <c r="PZ20" s="5">
        <f>IFERROR(ROUND(PO20/PR20,2),0)</f>
        <v/>
      </c>
      <c r="QA20" s="2" t="inlineStr">
        <is>
          <t>2023-09-28</t>
        </is>
      </c>
      <c r="QB20" s="5">
        <f>ROUND(0.02,2)</f>
        <v/>
      </c>
      <c r="QC20" s="3">
        <f>ROUND(44.0,2)</f>
        <v/>
      </c>
      <c r="QD20" s="3">
        <f>ROUND(2.0,2)</f>
        <v/>
      </c>
      <c r="QE20" s="3">
        <f>ROUND(0.0,2)</f>
        <v/>
      </c>
      <c r="QF20" s="3">
        <f>ROUND(0.0,2)</f>
        <v/>
      </c>
      <c r="QG20" s="3">
        <f>ROUND(0.0,2)</f>
        <v/>
      </c>
      <c r="QH20" s="3">
        <f>ROUND(0.0,2)</f>
        <v/>
      </c>
      <c r="QI20" s="3">
        <f>ROUND(0.0,2)</f>
        <v/>
      </c>
      <c r="QJ20" s="4">
        <f>IFERROR((QD20/QC20),0)</f>
        <v/>
      </c>
      <c r="QK20" s="4">
        <f>IFERROR(((0+QB11+QB12+QB13+QB14+QB15+QB16+QB17+QB19+QB20)/T2),0)</f>
        <v/>
      </c>
      <c r="QL20" s="5">
        <f>IFERROR(ROUND(QB20/QD20,2),0)</f>
        <v/>
      </c>
      <c r="QM20" s="5">
        <f>IFERROR(ROUND(QB20/QE20,2),0)</f>
        <v/>
      </c>
      <c r="QN20" s="2" t="inlineStr">
        <is>
          <t>2023-09-28</t>
        </is>
      </c>
      <c r="QO20" s="5">
        <f>ROUND(0.25,2)</f>
        <v/>
      </c>
      <c r="QP20" s="3">
        <f>ROUND(739.0,2)</f>
        <v/>
      </c>
      <c r="QQ20" s="3">
        <f>ROUND(25.0,2)</f>
        <v/>
      </c>
      <c r="QR20" s="3">
        <f>ROUND(0.0,2)</f>
        <v/>
      </c>
      <c r="QS20" s="3">
        <f>ROUND(0.0,2)</f>
        <v/>
      </c>
      <c r="QT20" s="3">
        <f>ROUND(0.0,2)</f>
        <v/>
      </c>
      <c r="QU20" s="3">
        <f>ROUND(0.0,2)</f>
        <v/>
      </c>
      <c r="QV20" s="3">
        <f>ROUND(0.0,2)</f>
        <v/>
      </c>
      <c r="QW20" s="4">
        <f>IFERROR((QQ20/QP20),0)</f>
        <v/>
      </c>
      <c r="QX20" s="4">
        <f>IFERROR(((0+QO11+QO12+QO13+QO14+QO15+QO16+QO17+QO19+QO20)/T2),0)</f>
        <v/>
      </c>
      <c r="QY20" s="5">
        <f>IFERROR(ROUND(QO20/QQ20,2),0)</f>
        <v/>
      </c>
      <c r="QZ20" s="5">
        <f>IFERROR(ROUND(QO20/QR20,2),0)</f>
        <v/>
      </c>
      <c r="RA20" s="2" t="inlineStr">
        <is>
          <t>2023-09-28</t>
        </is>
      </c>
      <c r="RB20" s="5">
        <f>ROUND(0.63,2)</f>
        <v/>
      </c>
      <c r="RC20" s="3">
        <f>ROUND(730.0,2)</f>
        <v/>
      </c>
      <c r="RD20" s="3">
        <f>ROUND(63.0,2)</f>
        <v/>
      </c>
      <c r="RE20" s="3">
        <f>ROUND(0.0,2)</f>
        <v/>
      </c>
      <c r="RF20" s="3">
        <f>ROUND(0.0,2)</f>
        <v/>
      </c>
      <c r="RG20" s="3">
        <f>ROUND(0.0,2)</f>
        <v/>
      </c>
      <c r="RH20" s="3">
        <f>ROUND(0.0,2)</f>
        <v/>
      </c>
      <c r="RI20" s="3">
        <f>ROUND(0.0,2)</f>
        <v/>
      </c>
      <c r="RJ20" s="4">
        <f>IFERROR((RD20/RC20),0)</f>
        <v/>
      </c>
      <c r="RK20" s="4">
        <f>IFERROR(((0+RB11+RB12+RB13+RB14+RB15+RB16+RB17+RB19+RB20)/T2),0)</f>
        <v/>
      </c>
      <c r="RL20" s="5">
        <f>IFERROR(ROUND(RB20/RD20,2),0)</f>
        <v/>
      </c>
      <c r="RM20" s="5">
        <f>IFERROR(ROUND(RB20/RE20,2),0)</f>
        <v/>
      </c>
      <c r="RN20" s="2" t="inlineStr">
        <is>
          <t>2023-09-28</t>
        </is>
      </c>
      <c r="RO20" s="5">
        <f>ROUND(0.09000000000000001,2)</f>
        <v/>
      </c>
      <c r="RP20" s="3">
        <f>ROUND(134.0,2)</f>
        <v/>
      </c>
      <c r="RQ20" s="3">
        <f>ROUND(9.0,2)</f>
        <v/>
      </c>
      <c r="RR20" s="3">
        <f>ROUND(0.0,2)</f>
        <v/>
      </c>
      <c r="RS20" s="3">
        <f>ROUND(0.0,2)</f>
        <v/>
      </c>
      <c r="RT20" s="3">
        <f>ROUND(0.0,2)</f>
        <v/>
      </c>
      <c r="RU20" s="3">
        <f>ROUND(0.0,2)</f>
        <v/>
      </c>
      <c r="RV20" s="3">
        <f>ROUND(0.0,2)</f>
        <v/>
      </c>
      <c r="RW20" s="4">
        <f>IFERROR((RQ20/RP20),0)</f>
        <v/>
      </c>
      <c r="RX20" s="4">
        <f>IFERROR(((0+RO11+RO12+RO13+RO14+RO15+RO16+RO17+RO19+RO20)/T2),0)</f>
        <v/>
      </c>
      <c r="RY20" s="5">
        <f>IFERROR(ROUND(RO20/RQ20,2),0)</f>
        <v/>
      </c>
      <c r="RZ20" s="5">
        <f>IFERROR(ROUND(RO20/RR20,2),0)</f>
        <v/>
      </c>
      <c r="SA20" s="2" t="inlineStr">
        <is>
          <t>2023-09-28</t>
        </is>
      </c>
      <c r="SB20" s="5">
        <f>ROUND(1.16,2)</f>
        <v/>
      </c>
      <c r="SC20" s="3">
        <f>ROUND(4370.0,2)</f>
        <v/>
      </c>
      <c r="SD20" s="3">
        <f>ROUND(116.0,2)</f>
        <v/>
      </c>
      <c r="SE20" s="3">
        <f>ROUND(0.0,2)</f>
        <v/>
      </c>
      <c r="SF20" s="3">
        <f>ROUND(0.0,2)</f>
        <v/>
      </c>
      <c r="SG20" s="3">
        <f>ROUND(0.0,2)</f>
        <v/>
      </c>
      <c r="SH20" s="3">
        <f>ROUND(0.0,2)</f>
        <v/>
      </c>
      <c r="SI20" s="3">
        <f>ROUND(0.0,2)</f>
        <v/>
      </c>
      <c r="SJ20" s="4">
        <f>IFERROR((SD20/SC20),0)</f>
        <v/>
      </c>
      <c r="SK20" s="4">
        <f>IFERROR(((0+SB11+SB12+SB13+SB14+SB15+SB16+SB17+SB19+SB20)/T2),0)</f>
        <v/>
      </c>
      <c r="SL20" s="5">
        <f>IFERROR(ROUND(SB20/SD20,2),0)</f>
        <v/>
      </c>
      <c r="SM20" s="5">
        <f>IFERROR(ROUND(SB20/SE20,2),0)</f>
        <v/>
      </c>
      <c r="SN20" s="2" t="inlineStr">
        <is>
          <t>2023-09-28</t>
        </is>
      </c>
      <c r="SO20" s="5">
        <f>ROUND(2.72,2)</f>
        <v/>
      </c>
      <c r="SP20" s="3">
        <f>ROUND(4999.0,2)</f>
        <v/>
      </c>
      <c r="SQ20" s="3">
        <f>ROUND(272.0,2)</f>
        <v/>
      </c>
      <c r="SR20" s="3">
        <f>ROUND(0.0,2)</f>
        <v/>
      </c>
      <c r="SS20" s="3">
        <f>ROUND(0.0,2)</f>
        <v/>
      </c>
      <c r="ST20" s="3">
        <f>ROUND(0.0,2)</f>
        <v/>
      </c>
      <c r="SU20" s="3">
        <f>ROUND(0.0,2)</f>
        <v/>
      </c>
      <c r="SV20" s="3">
        <f>ROUND(0.0,2)</f>
        <v/>
      </c>
      <c r="SW20" s="4">
        <f>IFERROR((SQ20/SP20),0)</f>
        <v/>
      </c>
      <c r="SX20" s="4">
        <f>IFERROR(((0+SO11+SO12+SO13+SO14+SO15+SO16+SO17+SO19+SO20)/T2),0)</f>
        <v/>
      </c>
      <c r="SY20" s="5">
        <f>IFERROR(ROUND(SO20/SQ20,2),0)</f>
        <v/>
      </c>
      <c r="SZ20" s="5">
        <f>IFERROR(ROUND(SO20/SR20,2),0)</f>
        <v/>
      </c>
    </row>
    <row r="21">
      <c r="A21" s="2" t="inlineStr">
        <is>
          <t>2023-09-29</t>
        </is>
      </c>
      <c r="B21" s="5">
        <f>ROUND(39.76,2)</f>
        <v/>
      </c>
      <c r="C21" s="3">
        <f>ROUND(110376.0,2)</f>
        <v/>
      </c>
      <c r="D21" s="3">
        <f>ROUND(3976.0,2)</f>
        <v/>
      </c>
      <c r="E21" s="3">
        <f>ROUND(0.0,2)</f>
        <v/>
      </c>
      <c r="F21" s="3">
        <f>ROUND(0.0,2)</f>
        <v/>
      </c>
      <c r="G21" s="3">
        <f>ROUND(0.0,2)</f>
        <v/>
      </c>
      <c r="H21" s="3">
        <f>ROUND(0.0,2)</f>
        <v/>
      </c>
      <c r="I21" s="3">
        <f>ROUND(0.0,2)</f>
        <v/>
      </c>
      <c r="J21" s="4">
        <f>IFERROR((D21/C21),0)</f>
        <v/>
      </c>
      <c r="K21" s="4">
        <f>IFERROR(((0+B11+B12+B13+B14+B15+B16+B17+B19+B20+B21)/T2),0)</f>
        <v/>
      </c>
      <c r="L21" s="5">
        <f>IFERROR(ROUND(B21/D21,2),0)</f>
        <v/>
      </c>
      <c r="M21" s="5">
        <f>IFERROR(ROUND(B21/E21,2),0)</f>
        <v/>
      </c>
      <c r="N21" s="2" t="inlineStr">
        <is>
          <t>2023-09-29</t>
        </is>
      </c>
      <c r="O21" s="5">
        <f>ROUND(2.33,2)</f>
        <v/>
      </c>
      <c r="P21" s="3">
        <f>ROUND(5448.0,2)</f>
        <v/>
      </c>
      <c r="Q21" s="3">
        <f>ROUND(233.0,2)</f>
        <v/>
      </c>
      <c r="R21" s="3">
        <f>ROUND(0.0,2)</f>
        <v/>
      </c>
      <c r="S21" s="3">
        <f>ROUND(0.0,2)</f>
        <v/>
      </c>
      <c r="T21" s="3">
        <f>ROUND(0.0,2)</f>
        <v/>
      </c>
      <c r="U21" s="3">
        <f>ROUND(0.0,2)</f>
        <v/>
      </c>
      <c r="V21" s="3">
        <f>ROUND(0.0,2)</f>
        <v/>
      </c>
      <c r="W21" s="4">
        <f>IFERROR((Q21/P21),0)</f>
        <v/>
      </c>
      <c r="X21" s="4">
        <f>IFERROR(((0+O11+O12+O13+O14+O15+O16+O17+O19+O20+O21)/T2),0)</f>
        <v/>
      </c>
      <c r="Y21" s="5">
        <f>IFERROR(ROUND(O21/Q21,2),0)</f>
        <v/>
      </c>
      <c r="Z21" s="5">
        <f>IFERROR(ROUND(O21/R21,2),0)</f>
        <v/>
      </c>
      <c r="AA21" s="2" t="inlineStr">
        <is>
          <t>2023-09-29</t>
        </is>
      </c>
      <c r="AB21" s="5">
        <f>ROUND(0.01,2)</f>
        <v/>
      </c>
      <c r="AC21" s="3">
        <f>ROUND(52.0,2)</f>
        <v/>
      </c>
      <c r="AD21" s="3">
        <f>ROUND(1.0,2)</f>
        <v/>
      </c>
      <c r="AE21" s="3">
        <f>ROUND(0.0,2)</f>
        <v/>
      </c>
      <c r="AF21" s="3">
        <f>ROUND(0.0,2)</f>
        <v/>
      </c>
      <c r="AG21" s="3">
        <f>ROUND(0.0,2)</f>
        <v/>
      </c>
      <c r="AH21" s="3">
        <f>ROUND(0.0,2)</f>
        <v/>
      </c>
      <c r="AI21" s="3">
        <f>ROUND(0.0,2)</f>
        <v/>
      </c>
      <c r="AJ21" s="4">
        <f>IFERROR((AD21/AC21),0)</f>
        <v/>
      </c>
      <c r="AK21" s="4">
        <f>IFERROR(((0+AB11+AB12+AB13+AB14+AB15+AB16+AB17+AB19+AB20+AB21)/T2),0)</f>
        <v/>
      </c>
      <c r="AL21" s="5">
        <f>IFERROR(ROUND(AB21/AD21,2),0)</f>
        <v/>
      </c>
      <c r="AM21" s="5">
        <f>IFERROR(ROUND(AB21/AE21,2),0)</f>
        <v/>
      </c>
      <c r="AN21" s="2" t="inlineStr">
        <is>
          <t>2023-09-29</t>
        </is>
      </c>
      <c r="AO21" s="5">
        <f>ROUND(0.68,2)</f>
        <v/>
      </c>
      <c r="AP21" s="3">
        <f>ROUND(1809.0,2)</f>
        <v/>
      </c>
      <c r="AQ21" s="3">
        <f>ROUND(68.0,2)</f>
        <v/>
      </c>
      <c r="AR21" s="3">
        <f>ROUND(0.0,2)</f>
        <v/>
      </c>
      <c r="AS21" s="3">
        <f>ROUND(0.0,2)</f>
        <v/>
      </c>
      <c r="AT21" s="3">
        <f>ROUND(0.0,2)</f>
        <v/>
      </c>
      <c r="AU21" s="3">
        <f>ROUND(0.0,2)</f>
        <v/>
      </c>
      <c r="AV21" s="3">
        <f>ROUND(0.0,2)</f>
        <v/>
      </c>
      <c r="AW21" s="4">
        <f>IFERROR((AQ21/AP21),0)</f>
        <v/>
      </c>
      <c r="AX21" s="4">
        <f>IFERROR(((0+AO11+AO12+AO13+AO14+AO15+AO16+AO17+AO19+AO20+AO21)/T2),0)</f>
        <v/>
      </c>
      <c r="AY21" s="5">
        <f>IFERROR(ROUND(AO21/AQ21,2),0)</f>
        <v/>
      </c>
      <c r="AZ21" s="5">
        <f>IFERROR(ROUND(AO21/AR21,2),0)</f>
        <v/>
      </c>
      <c r="BA21" s="2" t="inlineStr">
        <is>
          <t>2023-09-29</t>
        </is>
      </c>
      <c r="BB21" s="5">
        <f>ROUND(0.02,2)</f>
        <v/>
      </c>
      <c r="BC21" s="3">
        <f>ROUND(20.0,2)</f>
        <v/>
      </c>
      <c r="BD21" s="3">
        <f>ROUND(2.0,2)</f>
        <v/>
      </c>
      <c r="BE21" s="3">
        <f>ROUND(0.0,2)</f>
        <v/>
      </c>
      <c r="BF21" s="3">
        <f>ROUND(0.0,2)</f>
        <v/>
      </c>
      <c r="BG21" s="3">
        <f>ROUND(0.0,2)</f>
        <v/>
      </c>
      <c r="BH21" s="3">
        <f>ROUND(0.0,2)</f>
        <v/>
      </c>
      <c r="BI21" s="3">
        <f>ROUND(0.0,2)</f>
        <v/>
      </c>
      <c r="BJ21" s="4">
        <f>IFERROR((BD21/BC21),0)</f>
        <v/>
      </c>
      <c r="BK21" s="4">
        <f>IFERROR(((0+BB11+BB12+BB13+BB14+BB15+BB16+BB17+BB19+BB20+BB21)/T2),0)</f>
        <v/>
      </c>
      <c r="BL21" s="5">
        <f>IFERROR(ROUND(BB21/BD21,2),0)</f>
        <v/>
      </c>
      <c r="BM21" s="5">
        <f>IFERROR(ROUND(BB21/BE21,2),0)</f>
        <v/>
      </c>
      <c r="BN21" s="2" t="inlineStr">
        <is>
          <t>2023-09-29</t>
        </is>
      </c>
      <c r="BO21" s="5">
        <f>ROUND(0.01,2)</f>
        <v/>
      </c>
      <c r="BP21" s="3">
        <f>ROUND(45.0,2)</f>
        <v/>
      </c>
      <c r="BQ21" s="3">
        <f>ROUND(1.0,2)</f>
        <v/>
      </c>
      <c r="BR21" s="3">
        <f>ROUND(0.0,2)</f>
        <v/>
      </c>
      <c r="BS21" s="3">
        <f>ROUND(0.0,2)</f>
        <v/>
      </c>
      <c r="BT21" s="3">
        <f>ROUND(0.0,2)</f>
        <v/>
      </c>
      <c r="BU21" s="3">
        <f>ROUND(0.0,2)</f>
        <v/>
      </c>
      <c r="BV21" s="3">
        <f>ROUND(0.0,2)</f>
        <v/>
      </c>
      <c r="BW21" s="4">
        <f>IFERROR((BQ21/BP21),0)</f>
        <v/>
      </c>
      <c r="BX21" s="4">
        <f>IFERROR(((0+BO11+BO12+BO13+BO14+BO15+BO16+BO17+BO19+BO20+BO21)/T2),0)</f>
        <v/>
      </c>
      <c r="BY21" s="5">
        <f>IFERROR(ROUND(BO21/BQ21,2),0)</f>
        <v/>
      </c>
      <c r="BZ21" s="5">
        <f>IFERROR(ROUND(BO21/BR21,2),0)</f>
        <v/>
      </c>
      <c r="CA21" s="2" t="inlineStr">
        <is>
          <t>2023-09-29</t>
        </is>
      </c>
      <c r="CB21" s="5">
        <f>ROUND(0.09,2)</f>
        <v/>
      </c>
      <c r="CC21" s="3">
        <f>ROUND(125.0,2)</f>
        <v/>
      </c>
      <c r="CD21" s="3">
        <f>ROUND(9.0,2)</f>
        <v/>
      </c>
      <c r="CE21" s="3">
        <f>ROUND(0.0,2)</f>
        <v/>
      </c>
      <c r="CF21" s="3">
        <f>ROUND(0.0,2)</f>
        <v/>
      </c>
      <c r="CG21" s="3">
        <f>ROUND(0.0,2)</f>
        <v/>
      </c>
      <c r="CH21" s="3">
        <f>ROUND(0.0,2)</f>
        <v/>
      </c>
      <c r="CI21" s="3">
        <f>ROUND(0.0,2)</f>
        <v/>
      </c>
      <c r="CJ21" s="4">
        <f>IFERROR((CD21/CC21),0)</f>
        <v/>
      </c>
      <c r="CK21" s="4">
        <f>IFERROR(((0+CB11+CB12+CB13+CB14+CB15+CB16+CB17+CB19+CB20+CB21)/T2),0)</f>
        <v/>
      </c>
      <c r="CL21" s="5">
        <f>IFERROR(ROUND(CB21/CD21,2),0)</f>
        <v/>
      </c>
      <c r="CM21" s="5">
        <f>IFERROR(ROUND(CB21/CE21,2),0)</f>
        <v/>
      </c>
      <c r="CN21" s="2" t="inlineStr">
        <is>
          <t>2023-09-29</t>
        </is>
      </c>
      <c r="CO21" s="5">
        <f>ROUND(0.31000000000000005,2)</f>
        <v/>
      </c>
      <c r="CP21" s="3">
        <f>ROUND(2152.0,2)</f>
        <v/>
      </c>
      <c r="CQ21" s="3">
        <f>ROUND(31.0,2)</f>
        <v/>
      </c>
      <c r="CR21" s="3">
        <f>ROUND(0.0,2)</f>
        <v/>
      </c>
      <c r="CS21" s="3">
        <f>ROUND(0.0,2)</f>
        <v/>
      </c>
      <c r="CT21" s="3">
        <f>ROUND(0.0,2)</f>
        <v/>
      </c>
      <c r="CU21" s="3">
        <f>ROUND(0.0,2)</f>
        <v/>
      </c>
      <c r="CV21" s="3">
        <f>ROUND(0.0,2)</f>
        <v/>
      </c>
      <c r="CW21" s="4">
        <f>IFERROR((CQ21/CP21),0)</f>
        <v/>
      </c>
      <c r="CX21" s="4">
        <f>IFERROR(((0+CO11+CO12+CO13+CO14+CO15+CO16+CO17+CO19+CO20+CO21)/T2),0)</f>
        <v/>
      </c>
      <c r="CY21" s="5">
        <f>IFERROR(ROUND(CO21/CQ21,2),0)</f>
        <v/>
      </c>
      <c r="CZ21" s="5">
        <f>IFERROR(ROUND(CO21/CR21,2),0)</f>
        <v/>
      </c>
      <c r="DA21" s="2" t="inlineStr">
        <is>
          <t>2023-09-29</t>
        </is>
      </c>
      <c r="DB21" s="5">
        <f>ROUND(1.3900000000000001,2)</f>
        <v/>
      </c>
      <c r="DC21" s="3">
        <f>ROUND(3782.0,2)</f>
        <v/>
      </c>
      <c r="DD21" s="3">
        <f>ROUND(139.0,2)</f>
        <v/>
      </c>
      <c r="DE21" s="3">
        <f>ROUND(0.0,2)</f>
        <v/>
      </c>
      <c r="DF21" s="3">
        <f>ROUND(0.0,2)</f>
        <v/>
      </c>
      <c r="DG21" s="3">
        <f>ROUND(0.0,2)</f>
        <v/>
      </c>
      <c r="DH21" s="3">
        <f>ROUND(0.0,2)</f>
        <v/>
      </c>
      <c r="DI21" s="3">
        <f>ROUND(0.0,2)</f>
        <v/>
      </c>
      <c r="DJ21" s="4">
        <f>IFERROR((DD21/DC21),0)</f>
        <v/>
      </c>
      <c r="DK21" s="4">
        <f>IFERROR(((0+DB11+DB12+DB13+DB14+DB15+DB16+DB17+DB19+DB20+DB21)/T2),0)</f>
        <v/>
      </c>
      <c r="DL21" s="5">
        <f>IFERROR(ROUND(DB21/DD21,2),0)</f>
        <v/>
      </c>
      <c r="DM21" s="5">
        <f>IFERROR(ROUND(DB21/DE21,2),0)</f>
        <v/>
      </c>
      <c r="DN21" s="2" t="inlineStr">
        <is>
          <t>2023-09-29</t>
        </is>
      </c>
      <c r="DO21" s="5">
        <f>ROUND(0.02,2)</f>
        <v/>
      </c>
      <c r="DP21" s="3">
        <f>ROUND(24.0,2)</f>
        <v/>
      </c>
      <c r="DQ21" s="3">
        <f>ROUND(2.0,2)</f>
        <v/>
      </c>
      <c r="DR21" s="3">
        <f>ROUND(0.0,2)</f>
        <v/>
      </c>
      <c r="DS21" s="3">
        <f>ROUND(0.0,2)</f>
        <v/>
      </c>
      <c r="DT21" s="3">
        <f>ROUND(0.0,2)</f>
        <v/>
      </c>
      <c r="DU21" s="3">
        <f>ROUND(0.0,2)</f>
        <v/>
      </c>
      <c r="DV21" s="3">
        <f>ROUND(0.0,2)</f>
        <v/>
      </c>
      <c r="DW21" s="4">
        <f>IFERROR((DQ21/DP21),0)</f>
        <v/>
      </c>
      <c r="DX21" s="4">
        <f>IFERROR(((0+DO11+DO12+DO13+DO14+DO15+DO16+DO17+DO19+DO20+DO21)/T2),0)</f>
        <v/>
      </c>
      <c r="DY21" s="5">
        <f>IFERROR(ROUND(DO21/DQ21,2),0)</f>
        <v/>
      </c>
      <c r="DZ21" s="5">
        <f>IFERROR(ROUND(DO21/DR21,2),0)</f>
        <v/>
      </c>
      <c r="EA21" s="2" t="inlineStr">
        <is>
          <t>2023-09-29</t>
        </is>
      </c>
      <c r="EB21" s="5">
        <f>ROUND(0.53,2)</f>
        <v/>
      </c>
      <c r="EC21" s="3">
        <f>ROUND(3039.0,2)</f>
        <v/>
      </c>
      <c r="ED21" s="3">
        <f>ROUND(53.0,2)</f>
        <v/>
      </c>
      <c r="EE21" s="3">
        <f>ROUND(0.0,2)</f>
        <v/>
      </c>
      <c r="EF21" s="3">
        <f>ROUND(0.0,2)</f>
        <v/>
      </c>
      <c r="EG21" s="3">
        <f>ROUND(0.0,2)</f>
        <v/>
      </c>
      <c r="EH21" s="3">
        <f>ROUND(0.0,2)</f>
        <v/>
      </c>
      <c r="EI21" s="3">
        <f>ROUND(0.0,2)</f>
        <v/>
      </c>
      <c r="EJ21" s="4">
        <f>IFERROR((ED21/EC21),0)</f>
        <v/>
      </c>
      <c r="EK21" s="4">
        <f>IFERROR(((0+EB11+EB12+EB13+EB14+EB15+EB16+EB17+EB19+EB20+EB21)/T2),0)</f>
        <v/>
      </c>
      <c r="EL21" s="5">
        <f>IFERROR(ROUND(EB21/ED21,2),0)</f>
        <v/>
      </c>
      <c r="EM21" s="5">
        <f>IFERROR(ROUND(EB21/EE21,2),0)</f>
        <v/>
      </c>
      <c r="EN21" s="2" t="inlineStr">
        <is>
          <t>2023-09-29</t>
        </is>
      </c>
      <c r="EO21" s="5">
        <f>ROUND(1.73,2)</f>
        <v/>
      </c>
      <c r="EP21" s="3">
        <f>ROUND(2432.0,2)</f>
        <v/>
      </c>
      <c r="EQ21" s="3">
        <f>ROUND(173.0,2)</f>
        <v/>
      </c>
      <c r="ER21" s="3">
        <f>ROUND(0.0,2)</f>
        <v/>
      </c>
      <c r="ES21" s="3">
        <f>ROUND(0.0,2)</f>
        <v/>
      </c>
      <c r="ET21" s="3">
        <f>ROUND(0.0,2)</f>
        <v/>
      </c>
      <c r="EU21" s="3">
        <f>ROUND(0.0,2)</f>
        <v/>
      </c>
      <c r="EV21" s="3">
        <f>ROUND(0.0,2)</f>
        <v/>
      </c>
      <c r="EW21" s="4">
        <f>IFERROR((EQ21/EP21),0)</f>
        <v/>
      </c>
      <c r="EX21" s="4">
        <f>IFERROR(((0+EO11+EO12+EO13+EO14+EO15+EO16+EO17+EO19+EO20+EO21)/T2),0)</f>
        <v/>
      </c>
      <c r="EY21" s="5">
        <f>IFERROR(ROUND(EO21/EQ21,2),0)</f>
        <v/>
      </c>
      <c r="EZ21" s="5">
        <f>IFERROR(ROUND(EO21/ER21,2),0)</f>
        <v/>
      </c>
      <c r="FA21" s="2" t="inlineStr">
        <is>
          <t>2023-09-29</t>
        </is>
      </c>
      <c r="FB21" s="5">
        <f>ROUND(4.69,2)</f>
        <v/>
      </c>
      <c r="FC21" s="3">
        <f>ROUND(19755.0,2)</f>
        <v/>
      </c>
      <c r="FD21" s="3">
        <f>ROUND(469.0,2)</f>
        <v/>
      </c>
      <c r="FE21" s="3">
        <f>ROUND(0.0,2)</f>
        <v/>
      </c>
      <c r="FF21" s="3">
        <f>ROUND(0.0,2)</f>
        <v/>
      </c>
      <c r="FG21" s="3">
        <f>ROUND(0.0,2)</f>
        <v/>
      </c>
      <c r="FH21" s="3">
        <f>ROUND(0.0,2)</f>
        <v/>
      </c>
      <c r="FI21" s="3">
        <f>ROUND(0.0,2)</f>
        <v/>
      </c>
      <c r="FJ21" s="4">
        <f>IFERROR((FD21/FC21),0)</f>
        <v/>
      </c>
      <c r="FK21" s="4">
        <f>IFERROR(((0+FB11+FB12+FB13+FB14+FB15+FB16+FB17+FB19+FB20+FB21)/T2),0)</f>
        <v/>
      </c>
      <c r="FL21" s="5">
        <f>IFERROR(ROUND(FB21/FD21,2),0)</f>
        <v/>
      </c>
      <c r="FM21" s="5">
        <f>IFERROR(ROUND(FB21/FE21,2),0)</f>
        <v/>
      </c>
      <c r="FN21" s="2" t="inlineStr">
        <is>
          <t>2023-09-29</t>
        </is>
      </c>
      <c r="FO21" s="5">
        <f>ROUND(11.54,2)</f>
        <v/>
      </c>
      <c r="FP21" s="3">
        <f>ROUND(26993.0,2)</f>
        <v/>
      </c>
      <c r="FQ21" s="3">
        <f>ROUND(1154.0,2)</f>
        <v/>
      </c>
      <c r="FR21" s="3">
        <f>ROUND(0.0,2)</f>
        <v/>
      </c>
      <c r="FS21" s="3">
        <f>ROUND(0.0,2)</f>
        <v/>
      </c>
      <c r="FT21" s="3">
        <f>ROUND(0.0,2)</f>
        <v/>
      </c>
      <c r="FU21" s="3">
        <f>ROUND(0.0,2)</f>
        <v/>
      </c>
      <c r="FV21" s="3">
        <f>ROUND(0.0,2)</f>
        <v/>
      </c>
      <c r="FW21" s="4">
        <f>IFERROR((FQ21/FP21),0)</f>
        <v/>
      </c>
      <c r="FX21" s="4">
        <f>IFERROR(((0+FO11+FO12+FO13+FO14+FO15+FO16+FO17+FO19+FO20+FO21)/T2),0)</f>
        <v/>
      </c>
      <c r="FY21" s="5">
        <f>IFERROR(ROUND(FO21/FQ21,2),0)</f>
        <v/>
      </c>
      <c r="FZ21" s="5">
        <f>IFERROR(ROUND(FO21/FR21,2),0)</f>
        <v/>
      </c>
      <c r="GA21" s="2" t="inlineStr">
        <is>
          <t>2023-09-29</t>
        </is>
      </c>
      <c r="GB21" s="5">
        <f>ROUND(0.01,2)</f>
        <v/>
      </c>
      <c r="GC21" s="3">
        <f>ROUND(31.0,2)</f>
        <v/>
      </c>
      <c r="GD21" s="3">
        <f>ROUND(1.0,2)</f>
        <v/>
      </c>
      <c r="GE21" s="3">
        <f>ROUND(0.0,2)</f>
        <v/>
      </c>
      <c r="GF21" s="3">
        <f>ROUND(0.0,2)</f>
        <v/>
      </c>
      <c r="GG21" s="3">
        <f>ROUND(0.0,2)</f>
        <v/>
      </c>
      <c r="GH21" s="3">
        <f>ROUND(0.0,2)</f>
        <v/>
      </c>
      <c r="GI21" s="3">
        <f>ROUND(0.0,2)</f>
        <v/>
      </c>
      <c r="GJ21" s="4">
        <f>IFERROR((GD21/GC21),0)</f>
        <v/>
      </c>
      <c r="GK21" s="4">
        <f>IFERROR(((0+GB11+GB12+GB13+GB14+GB15+GB16+GB17+GB19+GB20+GB21)/T2),0)</f>
        <v/>
      </c>
      <c r="GL21" s="5">
        <f>IFERROR(ROUND(GB21/GD21,2),0)</f>
        <v/>
      </c>
      <c r="GM21" s="5">
        <f>IFERROR(ROUND(GB21/GE21,2),0)</f>
        <v/>
      </c>
      <c r="GN21" s="2" t="inlineStr">
        <is>
          <t>2023-09-29</t>
        </is>
      </c>
      <c r="GO21" s="5">
        <f>ROUND(0.33999999999999997,2)</f>
        <v/>
      </c>
      <c r="GP21" s="3">
        <f>ROUND(1349.0,2)</f>
        <v/>
      </c>
      <c r="GQ21" s="3">
        <f>ROUND(34.0,2)</f>
        <v/>
      </c>
      <c r="GR21" s="3">
        <f>ROUND(0.0,2)</f>
        <v/>
      </c>
      <c r="GS21" s="3">
        <f>ROUND(0.0,2)</f>
        <v/>
      </c>
      <c r="GT21" s="3">
        <f>ROUND(0.0,2)</f>
        <v/>
      </c>
      <c r="GU21" s="3">
        <f>ROUND(0.0,2)</f>
        <v/>
      </c>
      <c r="GV21" s="3">
        <f>ROUND(0.0,2)</f>
        <v/>
      </c>
      <c r="GW21" s="4">
        <f>IFERROR((GQ21/GP21),0)</f>
        <v/>
      </c>
      <c r="GX21" s="4">
        <f>IFERROR(((0+GO11+GO12+GO13+GO14+GO15+GO16+GO17+GO19+GO20+GO21)/T2),0)</f>
        <v/>
      </c>
      <c r="GY21" s="5">
        <f>IFERROR(ROUND(GO21/GQ21,2),0)</f>
        <v/>
      </c>
      <c r="GZ21" s="5">
        <f>IFERROR(ROUND(GO21/GR21,2),0)</f>
        <v/>
      </c>
      <c r="HA21" s="2" t="inlineStr">
        <is>
          <t>2023-09-29</t>
        </is>
      </c>
      <c r="HB21" s="5">
        <f>ROUND(0.11,2)</f>
        <v/>
      </c>
      <c r="HC21" s="3">
        <f>ROUND(559.0,2)</f>
        <v/>
      </c>
      <c r="HD21" s="3">
        <f>ROUND(11.0,2)</f>
        <v/>
      </c>
      <c r="HE21" s="3">
        <f>ROUND(0.0,2)</f>
        <v/>
      </c>
      <c r="HF21" s="3">
        <f>ROUND(0.0,2)</f>
        <v/>
      </c>
      <c r="HG21" s="3">
        <f>ROUND(0.0,2)</f>
        <v/>
      </c>
      <c r="HH21" s="3">
        <f>ROUND(0.0,2)</f>
        <v/>
      </c>
      <c r="HI21" s="3">
        <f>ROUND(0.0,2)</f>
        <v/>
      </c>
      <c r="HJ21" s="4">
        <f>IFERROR((HD21/HC21),0)</f>
        <v/>
      </c>
      <c r="HK21" s="4">
        <f>IFERROR(((0+HB11+HB12+HB13+HB14+HB15+HB16+HB17+HB19+HB20+HB21)/T2),0)</f>
        <v/>
      </c>
      <c r="HL21" s="5">
        <f>IFERROR(ROUND(HB21/HD21,2),0)</f>
        <v/>
      </c>
      <c r="HM21" s="5">
        <f>IFERROR(ROUND(HB21/HE21,2),0)</f>
        <v/>
      </c>
      <c r="HN21" s="2" t="inlineStr">
        <is>
          <t>2023-09-29</t>
        </is>
      </c>
      <c r="HO21" s="5">
        <f>ROUND(0.03,2)</f>
        <v/>
      </c>
      <c r="HP21" s="3">
        <f>ROUND(24.0,2)</f>
        <v/>
      </c>
      <c r="HQ21" s="3">
        <f>ROUND(3.0,2)</f>
        <v/>
      </c>
      <c r="HR21" s="3">
        <f>ROUND(0.0,2)</f>
        <v/>
      </c>
      <c r="HS21" s="3">
        <f>ROUND(0.0,2)</f>
        <v/>
      </c>
      <c r="HT21" s="3">
        <f>ROUND(0.0,2)</f>
        <v/>
      </c>
      <c r="HU21" s="3">
        <f>ROUND(0.0,2)</f>
        <v/>
      </c>
      <c r="HV21" s="3">
        <f>ROUND(0.0,2)</f>
        <v/>
      </c>
      <c r="HW21" s="4">
        <f>IFERROR((HQ21/HP21),0)</f>
        <v/>
      </c>
      <c r="HX21" s="4">
        <f>IFERROR(((0+HO11+HO12+HO13+HO14+HO15+HO16+HO17+HO19+HO20+HO21)/T2),0)</f>
        <v/>
      </c>
      <c r="HY21" s="5">
        <f>IFERROR(ROUND(HO21/HQ21,2),0)</f>
        <v/>
      </c>
      <c r="HZ21" s="5">
        <f>IFERROR(ROUND(HO21/HR21,2),0)</f>
        <v/>
      </c>
      <c r="IA21" s="2" t="inlineStr">
        <is>
          <t>2023-09-29</t>
        </is>
      </c>
      <c r="IB21" s="5">
        <f>ROUND(0.35000000000000003,2)</f>
        <v/>
      </c>
      <c r="IC21" s="3">
        <f>ROUND(610.0,2)</f>
        <v/>
      </c>
      <c r="ID21" s="3">
        <f>ROUND(35.0,2)</f>
        <v/>
      </c>
      <c r="IE21" s="3">
        <f>ROUND(0.0,2)</f>
        <v/>
      </c>
      <c r="IF21" s="3">
        <f>ROUND(0.0,2)</f>
        <v/>
      </c>
      <c r="IG21" s="3">
        <f>ROUND(0.0,2)</f>
        <v/>
      </c>
      <c r="IH21" s="3">
        <f>ROUND(0.0,2)</f>
        <v/>
      </c>
      <c r="II21" s="3">
        <f>ROUND(0.0,2)</f>
        <v/>
      </c>
      <c r="IJ21" s="4">
        <f>IFERROR((ID21/IC21),0)</f>
        <v/>
      </c>
      <c r="IK21" s="4">
        <f>IFERROR(((0+IB11+IB12+IB13+IB14+IB15+IB16+IB17+IB19+IB20+IB21)/T2),0)</f>
        <v/>
      </c>
      <c r="IL21" s="5">
        <f>IFERROR(ROUND(IB21/ID21,2),0)</f>
        <v/>
      </c>
      <c r="IM21" s="5">
        <f>IFERROR(ROUND(IB21/IE21,2),0)</f>
        <v/>
      </c>
      <c r="IN21" s="2" t="inlineStr">
        <is>
          <t>2023-09-29</t>
        </is>
      </c>
      <c r="IO21" s="5">
        <f>ROUND(0.57,2)</f>
        <v/>
      </c>
      <c r="IP21" s="3">
        <f>ROUND(3221.0,2)</f>
        <v/>
      </c>
      <c r="IQ21" s="3">
        <f>ROUND(57.0,2)</f>
        <v/>
      </c>
      <c r="IR21" s="3">
        <f>ROUND(0.0,2)</f>
        <v/>
      </c>
      <c r="IS21" s="3">
        <f>ROUND(0.0,2)</f>
        <v/>
      </c>
      <c r="IT21" s="3">
        <f>ROUND(0.0,2)</f>
        <v/>
      </c>
      <c r="IU21" s="3">
        <f>ROUND(0.0,2)</f>
        <v/>
      </c>
      <c r="IV21" s="3">
        <f>ROUND(0.0,2)</f>
        <v/>
      </c>
      <c r="IW21" s="4">
        <f>IFERROR((IQ21/IP21),0)</f>
        <v/>
      </c>
      <c r="IX21" s="4">
        <f>IFERROR(((0+IO11+IO12+IO13+IO14+IO15+IO16+IO17+IO19+IO20+IO21)/T2),0)</f>
        <v/>
      </c>
      <c r="IY21" s="5">
        <f>IFERROR(ROUND(IO21/IQ21,2),0)</f>
        <v/>
      </c>
      <c r="IZ21" s="5">
        <f>IFERROR(ROUND(IO21/IR21,2),0)</f>
        <v/>
      </c>
      <c r="JA21" s="2" t="inlineStr">
        <is>
          <t>2023-09-29</t>
        </is>
      </c>
      <c r="JB21" s="5">
        <f>ROUND(0.12,2)</f>
        <v/>
      </c>
      <c r="JC21" s="3">
        <f>ROUND(362.0,2)</f>
        <v/>
      </c>
      <c r="JD21" s="3">
        <f>ROUND(12.0,2)</f>
        <v/>
      </c>
      <c r="JE21" s="3">
        <f>ROUND(0.0,2)</f>
        <v/>
      </c>
      <c r="JF21" s="3">
        <f>ROUND(0.0,2)</f>
        <v/>
      </c>
      <c r="JG21" s="3">
        <f>ROUND(0.0,2)</f>
        <v/>
      </c>
      <c r="JH21" s="3">
        <f>ROUND(0.0,2)</f>
        <v/>
      </c>
      <c r="JI21" s="3">
        <f>ROUND(0.0,2)</f>
        <v/>
      </c>
      <c r="JJ21" s="4">
        <f>IFERROR((JD21/JC21),0)</f>
        <v/>
      </c>
      <c r="JK21" s="4">
        <f>IFERROR(((0+JB11+JB12+JB13+JB14+JB15+JB16+JB17+JB19+JB20+JB21)/T2),0)</f>
        <v/>
      </c>
      <c r="JL21" s="5">
        <f>IFERROR(ROUND(JB21/JD21,2),0)</f>
        <v/>
      </c>
      <c r="JM21" s="5">
        <f>IFERROR(ROUND(JB21/JE21,2),0)</f>
        <v/>
      </c>
      <c r="JN21" s="2" t="inlineStr">
        <is>
          <t>2023-09-29</t>
        </is>
      </c>
      <c r="JO21" s="5">
        <f>ROUND(0.04,2)</f>
        <v/>
      </c>
      <c r="JP21" s="3">
        <f>ROUND(110.0,2)</f>
        <v/>
      </c>
      <c r="JQ21" s="3">
        <f>ROUND(4.0,2)</f>
        <v/>
      </c>
      <c r="JR21" s="3">
        <f>ROUND(0.0,2)</f>
        <v/>
      </c>
      <c r="JS21" s="3">
        <f>ROUND(0.0,2)</f>
        <v/>
      </c>
      <c r="JT21" s="3">
        <f>ROUND(0.0,2)</f>
        <v/>
      </c>
      <c r="JU21" s="3">
        <f>ROUND(0.0,2)</f>
        <v/>
      </c>
      <c r="JV21" s="3">
        <f>ROUND(0.0,2)</f>
        <v/>
      </c>
      <c r="JW21" s="4">
        <f>IFERROR((JQ21/JP21),0)</f>
        <v/>
      </c>
      <c r="JX21" s="4">
        <f>IFERROR(((0+JO11+JO12+JO13+JO14+JO15+JO16+JO17+JO19+JO20+JO21)/T2),0)</f>
        <v/>
      </c>
      <c r="JY21" s="5">
        <f>IFERROR(ROUND(JO21/JQ21,2),0)</f>
        <v/>
      </c>
      <c r="JZ21" s="5">
        <f>IFERROR(ROUND(JO21/JR21,2),0)</f>
        <v/>
      </c>
      <c r="KA21" s="2" t="inlineStr">
        <is>
          <t>2023-09-29</t>
        </is>
      </c>
      <c r="KB21" s="5">
        <f>ROUND(0.0,2)</f>
        <v/>
      </c>
      <c r="KC21" s="3">
        <f>ROUND(34.0,2)</f>
        <v/>
      </c>
      <c r="KD21" s="3">
        <f>ROUND(0.0,2)</f>
        <v/>
      </c>
      <c r="KE21" s="3">
        <f>ROUND(0.0,2)</f>
        <v/>
      </c>
      <c r="KF21" s="3">
        <f>ROUND(0.0,2)</f>
        <v/>
      </c>
      <c r="KG21" s="3">
        <f>ROUND(0.0,2)</f>
        <v/>
      </c>
      <c r="KH21" s="3">
        <f>ROUND(0.0,2)</f>
        <v/>
      </c>
      <c r="KI21" s="3">
        <f>ROUND(0.0,2)</f>
        <v/>
      </c>
      <c r="KJ21" s="4">
        <f>IFERROR((KD21/KC21),0)</f>
        <v/>
      </c>
      <c r="KK21" s="4">
        <f>IFERROR(((0+KB11+KB12+KB13+KB14+KB15+KB16+KB17+KB19+KB20+KB21)/T2),0)</f>
        <v/>
      </c>
      <c r="KL21" s="5">
        <f>IFERROR(ROUND(KB21/KD21,2),0)</f>
        <v/>
      </c>
      <c r="KM21" s="5">
        <f>IFERROR(ROUND(KB21/KE21,2),0)</f>
        <v/>
      </c>
      <c r="KN21" s="2" t="inlineStr">
        <is>
          <t>2023-09-29</t>
        </is>
      </c>
      <c r="KO21" s="5">
        <f>ROUND(0.57,2)</f>
        <v/>
      </c>
      <c r="KP21" s="3">
        <f>ROUND(2556.0,2)</f>
        <v/>
      </c>
      <c r="KQ21" s="3">
        <f>ROUND(57.0,2)</f>
        <v/>
      </c>
      <c r="KR21" s="3">
        <f>ROUND(0.0,2)</f>
        <v/>
      </c>
      <c r="KS21" s="3">
        <f>ROUND(0.0,2)</f>
        <v/>
      </c>
      <c r="KT21" s="3">
        <f>ROUND(0.0,2)</f>
        <v/>
      </c>
      <c r="KU21" s="3">
        <f>ROUND(0.0,2)</f>
        <v/>
      </c>
      <c r="KV21" s="3">
        <f>ROUND(0.0,2)</f>
        <v/>
      </c>
      <c r="KW21" s="4">
        <f>IFERROR((KQ21/KP21),0)</f>
        <v/>
      </c>
      <c r="KX21" s="4">
        <f>IFERROR(((0+KO11+KO12+KO13+KO14+KO15+KO16+KO17+KO19+KO20+KO21)/T2),0)</f>
        <v/>
      </c>
      <c r="KY21" s="5">
        <f>IFERROR(ROUND(KO21/KQ21,2),0)</f>
        <v/>
      </c>
      <c r="KZ21" s="5">
        <f>IFERROR(ROUND(KO21/KR21,2),0)</f>
        <v/>
      </c>
      <c r="LA21" s="2" t="inlineStr">
        <is>
          <t>2023-09-29</t>
        </is>
      </c>
      <c r="LB21" s="5">
        <f>ROUND(0.97,2)</f>
        <v/>
      </c>
      <c r="LC21" s="3">
        <f>ROUND(5968.0,2)</f>
        <v/>
      </c>
      <c r="LD21" s="3">
        <f>ROUND(97.0,2)</f>
        <v/>
      </c>
      <c r="LE21" s="3">
        <f>ROUND(0.0,2)</f>
        <v/>
      </c>
      <c r="LF21" s="3">
        <f>ROUND(0.0,2)</f>
        <v/>
      </c>
      <c r="LG21" s="3">
        <f>ROUND(0.0,2)</f>
        <v/>
      </c>
      <c r="LH21" s="3">
        <f>ROUND(0.0,2)</f>
        <v/>
      </c>
      <c r="LI21" s="3">
        <f>ROUND(0.0,2)</f>
        <v/>
      </c>
      <c r="LJ21" s="4">
        <f>IFERROR((LD21/LC21),0)</f>
        <v/>
      </c>
      <c r="LK21" s="4">
        <f>IFERROR(((0+LB11+LB12+LB13+LB14+LB15+LB16+LB17+LB19+LB20+LB21)/T2),0)</f>
        <v/>
      </c>
      <c r="LL21" s="5">
        <f>IFERROR(ROUND(LB21/LD21,2),0)</f>
        <v/>
      </c>
      <c r="LM21" s="5">
        <f>IFERROR(ROUND(LB21/LE21,2),0)</f>
        <v/>
      </c>
      <c r="LN21" s="2" t="inlineStr">
        <is>
          <t>2023-09-29</t>
        </is>
      </c>
      <c r="LO21" s="5">
        <f>ROUND(0.46,2)</f>
        <v/>
      </c>
      <c r="LP21" s="3">
        <f>ROUND(1356.0,2)</f>
        <v/>
      </c>
      <c r="LQ21" s="3">
        <f>ROUND(46.0,2)</f>
        <v/>
      </c>
      <c r="LR21" s="3">
        <f>ROUND(0.0,2)</f>
        <v/>
      </c>
      <c r="LS21" s="3">
        <f>ROUND(0.0,2)</f>
        <v/>
      </c>
      <c r="LT21" s="3">
        <f>ROUND(0.0,2)</f>
        <v/>
      </c>
      <c r="LU21" s="3">
        <f>ROUND(0.0,2)</f>
        <v/>
      </c>
      <c r="LV21" s="3">
        <f>ROUND(0.0,2)</f>
        <v/>
      </c>
      <c r="LW21" s="4">
        <f>IFERROR((LQ21/LP21),0)</f>
        <v/>
      </c>
      <c r="LX21" s="4">
        <f>IFERROR(((0+LO11+LO12+LO13+LO14+LO15+LO16+LO17+LO19+LO20+LO21)/T2),0)</f>
        <v/>
      </c>
      <c r="LY21" s="5">
        <f>IFERROR(ROUND(LO21/LQ21,2),0)</f>
        <v/>
      </c>
      <c r="LZ21" s="5">
        <f>IFERROR(ROUND(LO21/LR21,2),0)</f>
        <v/>
      </c>
      <c r="MA21" s="2" t="inlineStr">
        <is>
          <t>2023-09-29</t>
        </is>
      </c>
      <c r="MB21" s="5">
        <f>ROUND(1.09,2)</f>
        <v/>
      </c>
      <c r="MC21" s="3">
        <f>ROUND(3887.0,2)</f>
        <v/>
      </c>
      <c r="MD21" s="3">
        <f>ROUND(109.0,2)</f>
        <v/>
      </c>
      <c r="ME21" s="3">
        <f>ROUND(0.0,2)</f>
        <v/>
      </c>
      <c r="MF21" s="3">
        <f>ROUND(0.0,2)</f>
        <v/>
      </c>
      <c r="MG21" s="3">
        <f>ROUND(0.0,2)</f>
        <v/>
      </c>
      <c r="MH21" s="3">
        <f>ROUND(0.0,2)</f>
        <v/>
      </c>
      <c r="MI21" s="3">
        <f>ROUND(0.0,2)</f>
        <v/>
      </c>
      <c r="MJ21" s="4">
        <f>IFERROR((MD21/MC21),0)</f>
        <v/>
      </c>
      <c r="MK21" s="4">
        <f>IFERROR(((0+MB11+MB12+MB13+MB14+MB15+MB16+MB17+MB19+MB20+MB21)/T2),0)</f>
        <v/>
      </c>
      <c r="ML21" s="5">
        <f>IFERROR(ROUND(MB21/MD21,2),0)</f>
        <v/>
      </c>
      <c r="MM21" s="5">
        <f>IFERROR(ROUND(MB21/ME21,2),0)</f>
        <v/>
      </c>
      <c r="MN21" s="2" t="inlineStr">
        <is>
          <t>2023-09-29</t>
        </is>
      </c>
      <c r="MO21" s="5">
        <f>ROUND(4.52,2)</f>
        <v/>
      </c>
      <c r="MP21" s="3">
        <f>ROUND(6443.0,2)</f>
        <v/>
      </c>
      <c r="MQ21" s="3">
        <f>ROUND(452.0,2)</f>
        <v/>
      </c>
      <c r="MR21" s="3">
        <f>ROUND(0.0,2)</f>
        <v/>
      </c>
      <c r="MS21" s="3">
        <f>ROUND(0.0,2)</f>
        <v/>
      </c>
      <c r="MT21" s="3">
        <f>ROUND(0.0,2)</f>
        <v/>
      </c>
      <c r="MU21" s="3">
        <f>ROUND(0.0,2)</f>
        <v/>
      </c>
      <c r="MV21" s="3">
        <f>ROUND(0.0,2)</f>
        <v/>
      </c>
      <c r="MW21" s="4">
        <f>IFERROR((MQ21/MP21),0)</f>
        <v/>
      </c>
      <c r="MX21" s="4">
        <f>IFERROR(((0+MO11+MO12+MO13+MO14+MO15+MO16+MO17+MO19+MO20+MO21)/T2),0)</f>
        <v/>
      </c>
      <c r="MY21" s="5">
        <f>IFERROR(ROUND(MO21/MQ21,2),0)</f>
        <v/>
      </c>
      <c r="MZ21" s="5">
        <f>IFERROR(ROUND(MO21/MR21,2),0)</f>
        <v/>
      </c>
      <c r="NA21" s="2" t="inlineStr">
        <is>
          <t>2023-09-29</t>
        </is>
      </c>
      <c r="NB21" s="5">
        <f>ROUND(1.75,2)</f>
        <v/>
      </c>
      <c r="NC21" s="3">
        <f>ROUND(8137.0,2)</f>
        <v/>
      </c>
      <c r="ND21" s="3">
        <f>ROUND(175.0,2)</f>
        <v/>
      </c>
      <c r="NE21" s="3">
        <f>ROUND(0.0,2)</f>
        <v/>
      </c>
      <c r="NF21" s="3">
        <f>ROUND(0.0,2)</f>
        <v/>
      </c>
      <c r="NG21" s="3">
        <f>ROUND(0.0,2)</f>
        <v/>
      </c>
      <c r="NH21" s="3">
        <f>ROUND(0.0,2)</f>
        <v/>
      </c>
      <c r="NI21" s="3">
        <f>ROUND(0.0,2)</f>
        <v/>
      </c>
      <c r="NJ21" s="4">
        <f>IFERROR((ND21/NC21),0)</f>
        <v/>
      </c>
      <c r="NK21" s="4">
        <f>IFERROR(((0+NB11+NB12+NB13+NB14+NB15+NB16+NB17+NB19+NB20+NB21)/T2),0)</f>
        <v/>
      </c>
      <c r="NL21" s="5">
        <f>IFERROR(ROUND(NB21/ND21,2),0)</f>
        <v/>
      </c>
      <c r="NM21" s="5">
        <f>IFERROR(ROUND(NB21/NE21,2),0)</f>
        <v/>
      </c>
      <c r="NN21" s="2" t="inlineStr">
        <is>
          <t>2023-09-29</t>
        </is>
      </c>
      <c r="NO21" s="5">
        <f>ROUND(0.04,2)</f>
        <v/>
      </c>
      <c r="NP21" s="3">
        <f>ROUND(136.0,2)</f>
        <v/>
      </c>
      <c r="NQ21" s="3">
        <f>ROUND(4.0,2)</f>
        <v/>
      </c>
      <c r="NR21" s="3">
        <f>ROUND(0.0,2)</f>
        <v/>
      </c>
      <c r="NS21" s="3">
        <f>ROUND(0.0,2)</f>
        <v/>
      </c>
      <c r="NT21" s="3">
        <f>ROUND(0.0,2)</f>
        <v/>
      </c>
      <c r="NU21" s="3">
        <f>ROUND(0.0,2)</f>
        <v/>
      </c>
      <c r="NV21" s="3">
        <f>ROUND(0.0,2)</f>
        <v/>
      </c>
      <c r="NW21" s="4">
        <f>IFERROR((NQ21/NP21),0)</f>
        <v/>
      </c>
      <c r="NX21" s="4">
        <f>IFERROR(((0+NO11+NO12+NO13+NO14+NO15+NO16+NO17+NO19+NO20+NO21)/T2),0)</f>
        <v/>
      </c>
      <c r="NY21" s="5">
        <f>IFERROR(ROUND(NO21/NQ21,2),0)</f>
        <v/>
      </c>
      <c r="NZ21" s="5">
        <f>IFERROR(ROUND(NO21/NR21,2),0)</f>
        <v/>
      </c>
      <c r="OA21" s="2" t="inlineStr">
        <is>
          <t>2023-09-29</t>
        </is>
      </c>
      <c r="OB21" s="5">
        <f>ROUND(0.04,2)</f>
        <v/>
      </c>
      <c r="OC21" s="3">
        <f>ROUND(133.0,2)</f>
        <v/>
      </c>
      <c r="OD21" s="3">
        <f>ROUND(4.0,2)</f>
        <v/>
      </c>
      <c r="OE21" s="3">
        <f>ROUND(0.0,2)</f>
        <v/>
      </c>
      <c r="OF21" s="3">
        <f>ROUND(0.0,2)</f>
        <v/>
      </c>
      <c r="OG21" s="3">
        <f>ROUND(0.0,2)</f>
        <v/>
      </c>
      <c r="OH21" s="3">
        <f>ROUND(0.0,2)</f>
        <v/>
      </c>
      <c r="OI21" s="3">
        <f>ROUND(0.0,2)</f>
        <v/>
      </c>
      <c r="OJ21" s="4">
        <f>IFERROR((OD21/OC21),0)</f>
        <v/>
      </c>
      <c r="OK21" s="4">
        <f>IFERROR(((0+OB11+OB12+OB13+OB14+OB15+OB16+OB17+OB19+OB20+OB21)/T2),0)</f>
        <v/>
      </c>
      <c r="OL21" s="5">
        <f>IFERROR(ROUND(OB21/OD21,2),0)</f>
        <v/>
      </c>
      <c r="OM21" s="5">
        <f>IFERROR(ROUND(OB21/OE21,2),0)</f>
        <v/>
      </c>
      <c r="ON21" s="2" t="inlineStr">
        <is>
          <t>2023-09-29</t>
        </is>
      </c>
      <c r="OO21" s="5">
        <f>ROUND(0.22,2)</f>
        <v/>
      </c>
      <c r="OP21" s="3">
        <f>ROUND(644.0,2)</f>
        <v/>
      </c>
      <c r="OQ21" s="3">
        <f>ROUND(22.0,2)</f>
        <v/>
      </c>
      <c r="OR21" s="3">
        <f>ROUND(0.0,2)</f>
        <v/>
      </c>
      <c r="OS21" s="3">
        <f>ROUND(0.0,2)</f>
        <v/>
      </c>
      <c r="OT21" s="3">
        <f>ROUND(0.0,2)</f>
        <v/>
      </c>
      <c r="OU21" s="3">
        <f>ROUND(0.0,2)</f>
        <v/>
      </c>
      <c r="OV21" s="3">
        <f>ROUND(0.0,2)</f>
        <v/>
      </c>
      <c r="OW21" s="4">
        <f>IFERROR((OQ21/OP21),0)</f>
        <v/>
      </c>
      <c r="OX21" s="4">
        <f>IFERROR(((0+OO11+OO12+OO13+OO14+OO15+OO16+OO17+OO19+OO20+OO21)/T2),0)</f>
        <v/>
      </c>
      <c r="OY21" s="5">
        <f>IFERROR(ROUND(OO21/OQ21,2),0)</f>
        <v/>
      </c>
      <c r="OZ21" s="5">
        <f>IFERROR(ROUND(OO21/OR21,2),0)</f>
        <v/>
      </c>
      <c r="PA21" s="2" t="inlineStr">
        <is>
          <t>2023-09-29</t>
        </is>
      </c>
      <c r="PB21" s="5">
        <f>ROUND(2.15,2)</f>
        <v/>
      </c>
      <c r="PC21" s="3">
        <f>ROUND(2620.0,2)</f>
        <v/>
      </c>
      <c r="PD21" s="3">
        <f>ROUND(215.0,2)</f>
        <v/>
      </c>
      <c r="PE21" s="3">
        <f>ROUND(0.0,2)</f>
        <v/>
      </c>
      <c r="PF21" s="3">
        <f>ROUND(0.0,2)</f>
        <v/>
      </c>
      <c r="PG21" s="3">
        <f>ROUND(0.0,2)</f>
        <v/>
      </c>
      <c r="PH21" s="3">
        <f>ROUND(0.0,2)</f>
        <v/>
      </c>
      <c r="PI21" s="3">
        <f>ROUND(0.0,2)</f>
        <v/>
      </c>
      <c r="PJ21" s="4">
        <f>IFERROR((PD21/PC21),0)</f>
        <v/>
      </c>
      <c r="PK21" s="4">
        <f>IFERROR(((0+PB11+PB12+PB13+PB14+PB15+PB16+PB17+PB19+PB20+PB21)/T2),0)</f>
        <v/>
      </c>
      <c r="PL21" s="5">
        <f>IFERROR(ROUND(PB21/PD21,2),0)</f>
        <v/>
      </c>
      <c r="PM21" s="5">
        <f>IFERROR(ROUND(PB21/PE21,2),0)</f>
        <v/>
      </c>
      <c r="PN21" s="2" t="inlineStr">
        <is>
          <t>2023-09-29</t>
        </is>
      </c>
      <c r="PO21" s="5">
        <f>ROUND(0.0,2)</f>
        <v/>
      </c>
      <c r="PP21" s="3">
        <f>ROUND(23.0,2)</f>
        <v/>
      </c>
      <c r="PQ21" s="3">
        <f>ROUND(0.0,2)</f>
        <v/>
      </c>
      <c r="PR21" s="3">
        <f>ROUND(0.0,2)</f>
        <v/>
      </c>
      <c r="PS21" s="3">
        <f>ROUND(0.0,2)</f>
        <v/>
      </c>
      <c r="PT21" s="3">
        <f>ROUND(0.0,2)</f>
        <v/>
      </c>
      <c r="PU21" s="3">
        <f>ROUND(0.0,2)</f>
        <v/>
      </c>
      <c r="PV21" s="3">
        <f>ROUND(0.0,2)</f>
        <v/>
      </c>
      <c r="PW21" s="4">
        <f>IFERROR((PQ21/PP21),0)</f>
        <v/>
      </c>
      <c r="PX21" s="4">
        <f>IFERROR(((0+PO11+PO12+PO13+PO14+PO15+PO16+PO17+PO19+PO20+PO21)/T2),0)</f>
        <v/>
      </c>
      <c r="PY21" s="5">
        <f>IFERROR(ROUND(PO21/PQ21,2),0)</f>
        <v/>
      </c>
      <c r="PZ21" s="5">
        <f>IFERROR(ROUND(PO21/PR21,2),0)</f>
        <v/>
      </c>
      <c r="QA21" s="2" t="inlineStr">
        <is>
          <t>2023-09-29</t>
        </is>
      </c>
      <c r="QB21" s="5">
        <f>ROUND(0.04,2)</f>
        <v/>
      </c>
      <c r="QC21" s="3">
        <f>ROUND(49.0,2)</f>
        <v/>
      </c>
      <c r="QD21" s="3">
        <f>ROUND(4.0,2)</f>
        <v/>
      </c>
      <c r="QE21" s="3">
        <f>ROUND(0.0,2)</f>
        <v/>
      </c>
      <c r="QF21" s="3">
        <f>ROUND(0.0,2)</f>
        <v/>
      </c>
      <c r="QG21" s="3">
        <f>ROUND(0.0,2)</f>
        <v/>
      </c>
      <c r="QH21" s="3">
        <f>ROUND(0.0,2)</f>
        <v/>
      </c>
      <c r="QI21" s="3">
        <f>ROUND(0.0,2)</f>
        <v/>
      </c>
      <c r="QJ21" s="4">
        <f>IFERROR((QD21/QC21),0)</f>
        <v/>
      </c>
      <c r="QK21" s="4">
        <f>IFERROR(((0+QB11+QB12+QB13+QB14+QB15+QB16+QB17+QB19+QB20+QB21)/T2),0)</f>
        <v/>
      </c>
      <c r="QL21" s="5">
        <f>IFERROR(ROUND(QB21/QD21,2),0)</f>
        <v/>
      </c>
      <c r="QM21" s="5">
        <f>IFERROR(ROUND(QB21/QE21,2),0)</f>
        <v/>
      </c>
      <c r="QN21" s="2" t="inlineStr">
        <is>
          <t>2023-09-29</t>
        </is>
      </c>
      <c r="QO21" s="5">
        <f>ROUND(0.03,2)</f>
        <v/>
      </c>
      <c r="QP21" s="3">
        <f>ROUND(118.0,2)</f>
        <v/>
      </c>
      <c r="QQ21" s="3">
        <f>ROUND(3.0,2)</f>
        <v/>
      </c>
      <c r="QR21" s="3">
        <f>ROUND(0.0,2)</f>
        <v/>
      </c>
      <c r="QS21" s="3">
        <f>ROUND(0.0,2)</f>
        <v/>
      </c>
      <c r="QT21" s="3">
        <f>ROUND(0.0,2)</f>
        <v/>
      </c>
      <c r="QU21" s="3">
        <f>ROUND(0.0,2)</f>
        <v/>
      </c>
      <c r="QV21" s="3">
        <f>ROUND(0.0,2)</f>
        <v/>
      </c>
      <c r="QW21" s="4">
        <f>IFERROR((QQ21/QP21),0)</f>
        <v/>
      </c>
      <c r="QX21" s="4">
        <f>IFERROR(((0+QO11+QO12+QO13+QO14+QO15+QO16+QO17+QO19+QO20+QO21)/T2),0)</f>
        <v/>
      </c>
      <c r="QY21" s="5">
        <f>IFERROR(ROUND(QO21/QQ21,2),0)</f>
        <v/>
      </c>
      <c r="QZ21" s="5">
        <f>IFERROR(ROUND(QO21/QR21,2),0)</f>
        <v/>
      </c>
      <c r="RA21" s="2" t="inlineStr">
        <is>
          <t>2023-09-29</t>
        </is>
      </c>
      <c r="RB21" s="5">
        <f>ROUND(0.7200000000000001,2)</f>
        <v/>
      </c>
      <c r="RC21" s="3">
        <f>ROUND(814.0,2)</f>
        <v/>
      </c>
      <c r="RD21" s="3">
        <f>ROUND(72.0,2)</f>
        <v/>
      </c>
      <c r="RE21" s="3">
        <f>ROUND(0.0,2)</f>
        <v/>
      </c>
      <c r="RF21" s="3">
        <f>ROUND(0.0,2)</f>
        <v/>
      </c>
      <c r="RG21" s="3">
        <f>ROUND(0.0,2)</f>
        <v/>
      </c>
      <c r="RH21" s="3">
        <f>ROUND(0.0,2)</f>
        <v/>
      </c>
      <c r="RI21" s="3">
        <f>ROUND(0.0,2)</f>
        <v/>
      </c>
      <c r="RJ21" s="4">
        <f>IFERROR((RD21/RC21),0)</f>
        <v/>
      </c>
      <c r="RK21" s="4">
        <f>IFERROR(((0+RB11+RB12+RB13+RB14+RB15+RB16+RB17+RB19+RB20+RB21)/T2),0)</f>
        <v/>
      </c>
      <c r="RL21" s="5">
        <f>IFERROR(ROUND(RB21/RD21,2),0)</f>
        <v/>
      </c>
      <c r="RM21" s="5">
        <f>IFERROR(ROUND(RB21/RE21,2),0)</f>
        <v/>
      </c>
      <c r="RN21" s="2" t="inlineStr">
        <is>
          <t>2023-09-29</t>
        </is>
      </c>
      <c r="RO21" s="5">
        <f>ROUND(0.89,2)</f>
        <v/>
      </c>
      <c r="RP21" s="3">
        <f>ROUND(1100.0,2)</f>
        <v/>
      </c>
      <c r="RQ21" s="3">
        <f>ROUND(89.0,2)</f>
        <v/>
      </c>
      <c r="RR21" s="3">
        <f>ROUND(0.0,2)</f>
        <v/>
      </c>
      <c r="RS21" s="3">
        <f>ROUND(0.0,2)</f>
        <v/>
      </c>
      <c r="RT21" s="3">
        <f>ROUND(0.0,2)</f>
        <v/>
      </c>
      <c r="RU21" s="3">
        <f>ROUND(0.0,2)</f>
        <v/>
      </c>
      <c r="RV21" s="3">
        <f>ROUND(0.0,2)</f>
        <v/>
      </c>
      <c r="RW21" s="4">
        <f>IFERROR((RQ21/RP21),0)</f>
        <v/>
      </c>
      <c r="RX21" s="4">
        <f>IFERROR(((0+RO11+RO12+RO13+RO14+RO15+RO16+RO17+RO19+RO20+RO21)/T2),0)</f>
        <v/>
      </c>
      <c r="RY21" s="5">
        <f>IFERROR(ROUND(RO21/RQ21,2),0)</f>
        <v/>
      </c>
      <c r="RZ21" s="5">
        <f>IFERROR(ROUND(RO21/RR21,2),0)</f>
        <v/>
      </c>
      <c r="SA21" s="2" t="inlineStr">
        <is>
          <t>2023-09-29</t>
        </is>
      </c>
      <c r="SB21" s="5">
        <f>ROUND(0.9199999999999999,2)</f>
        <v/>
      </c>
      <c r="SC21" s="3">
        <f>ROUND(2971.0,2)</f>
        <v/>
      </c>
      <c r="SD21" s="3">
        <f>ROUND(92.0,2)</f>
        <v/>
      </c>
      <c r="SE21" s="3">
        <f>ROUND(0.0,2)</f>
        <v/>
      </c>
      <c r="SF21" s="3">
        <f>ROUND(0.0,2)</f>
        <v/>
      </c>
      <c r="SG21" s="3">
        <f>ROUND(0.0,2)</f>
        <v/>
      </c>
      <c r="SH21" s="3">
        <f>ROUND(0.0,2)</f>
        <v/>
      </c>
      <c r="SI21" s="3">
        <f>ROUND(0.0,2)</f>
        <v/>
      </c>
      <c r="SJ21" s="4">
        <f>IFERROR((SD21/SC21),0)</f>
        <v/>
      </c>
      <c r="SK21" s="4">
        <f>IFERROR(((0+SB11+SB12+SB13+SB14+SB15+SB16+SB17+SB19+SB20+SB21)/T2),0)</f>
        <v/>
      </c>
      <c r="SL21" s="5">
        <f>IFERROR(ROUND(SB21/SD21,2),0)</f>
        <v/>
      </c>
      <c r="SM21" s="5">
        <f>IFERROR(ROUND(SB21/SE21,2),0)</f>
        <v/>
      </c>
      <c r="SN21" s="2" t="inlineStr">
        <is>
          <t>2023-09-29</t>
        </is>
      </c>
      <c r="SO21" s="5">
        <f>ROUND(0.43,2)</f>
        <v/>
      </c>
      <c r="SP21" s="3">
        <f>ROUND(1445.0,2)</f>
        <v/>
      </c>
      <c r="SQ21" s="3">
        <f>ROUND(43.0,2)</f>
        <v/>
      </c>
      <c r="SR21" s="3">
        <f>ROUND(0.0,2)</f>
        <v/>
      </c>
      <c r="SS21" s="3">
        <f>ROUND(0.0,2)</f>
        <v/>
      </c>
      <c r="ST21" s="3">
        <f>ROUND(0.0,2)</f>
        <v/>
      </c>
      <c r="SU21" s="3">
        <f>ROUND(0.0,2)</f>
        <v/>
      </c>
      <c r="SV21" s="3">
        <f>ROUND(0.0,2)</f>
        <v/>
      </c>
      <c r="SW21" s="4">
        <f>IFERROR((SQ21/SP21),0)</f>
        <v/>
      </c>
      <c r="SX21" s="4">
        <f>IFERROR(((0+SO11+SO12+SO13+SO14+SO15+SO16+SO17+SO19+SO20+SO21)/T2),0)</f>
        <v/>
      </c>
      <c r="SY21" s="5">
        <f>IFERROR(ROUND(SO21/SQ21,2),0)</f>
        <v/>
      </c>
      <c r="SZ21" s="5">
        <f>IFERROR(ROUND(SO21/SR21,2),0)</f>
        <v/>
      </c>
    </row>
    <row r="22">
      <c r="A22" s="2" t="inlineStr">
        <is>
          <t>2023-09-30</t>
        </is>
      </c>
      <c r="B22" s="5">
        <f>ROUND(38.89,2)</f>
        <v/>
      </c>
      <c r="C22" s="3">
        <f>ROUND(111800.0,2)</f>
        <v/>
      </c>
      <c r="D22" s="3">
        <f>ROUND(3889.0,2)</f>
        <v/>
      </c>
      <c r="E22" s="3">
        <f>ROUND(0.0,2)</f>
        <v/>
      </c>
      <c r="F22" s="3">
        <f>ROUND(0.0,2)</f>
        <v/>
      </c>
      <c r="G22" s="3">
        <f>ROUND(0.0,2)</f>
        <v/>
      </c>
      <c r="H22" s="3">
        <f>ROUND(0.0,2)</f>
        <v/>
      </c>
      <c r="I22" s="3">
        <f>ROUND(0.0,2)</f>
        <v/>
      </c>
      <c r="J22" s="4">
        <f>IFERROR((D22/C22),0)</f>
        <v/>
      </c>
      <c r="K22" s="4">
        <f>IFERROR(((0+B11+B12+B13+B14+B15+B16+B17+B19+B20+B21+B22)/T2),0)</f>
        <v/>
      </c>
      <c r="L22" s="5">
        <f>IFERROR(ROUND(B22/D22,2),0)</f>
        <v/>
      </c>
      <c r="M22" s="5">
        <f>IFERROR(ROUND(B22/E22,2),0)</f>
        <v/>
      </c>
      <c r="N22" s="2" t="inlineStr">
        <is>
          <t>2023-09-30</t>
        </is>
      </c>
      <c r="O22" s="5">
        <f>ROUND(7.0,2)</f>
        <v/>
      </c>
      <c r="P22" s="3">
        <f>ROUND(10059.0,2)</f>
        <v/>
      </c>
      <c r="Q22" s="3">
        <f>ROUND(700.0,2)</f>
        <v/>
      </c>
      <c r="R22" s="3">
        <f>ROUND(0.0,2)</f>
        <v/>
      </c>
      <c r="S22" s="3">
        <f>ROUND(0.0,2)</f>
        <v/>
      </c>
      <c r="T22" s="3">
        <f>ROUND(0.0,2)</f>
        <v/>
      </c>
      <c r="U22" s="3">
        <f>ROUND(0.0,2)</f>
        <v/>
      </c>
      <c r="V22" s="3">
        <f>ROUND(0.0,2)</f>
        <v/>
      </c>
      <c r="W22" s="4">
        <f>IFERROR((Q22/P22),0)</f>
        <v/>
      </c>
      <c r="X22" s="4">
        <f>IFERROR(((0+O11+O12+O13+O14+O15+O16+O17+O19+O20+O21+O22)/T2),0)</f>
        <v/>
      </c>
      <c r="Y22" s="5">
        <f>IFERROR(ROUND(O22/Q22,2),0)</f>
        <v/>
      </c>
      <c r="Z22" s="5">
        <f>IFERROR(ROUND(O22/R22,2),0)</f>
        <v/>
      </c>
      <c r="AA22" s="2" t="inlineStr">
        <is>
          <t>2023-09-30</t>
        </is>
      </c>
      <c r="AB22" s="5">
        <f>ROUND(0.0,2)</f>
        <v/>
      </c>
      <c r="AC22" s="3">
        <f>ROUND(41.0,2)</f>
        <v/>
      </c>
      <c r="AD22" s="3">
        <f>ROUND(0.0,2)</f>
        <v/>
      </c>
      <c r="AE22" s="3">
        <f>ROUND(0.0,2)</f>
        <v/>
      </c>
      <c r="AF22" s="3">
        <f>ROUND(0.0,2)</f>
        <v/>
      </c>
      <c r="AG22" s="3">
        <f>ROUND(0.0,2)</f>
        <v/>
      </c>
      <c r="AH22" s="3">
        <f>ROUND(0.0,2)</f>
        <v/>
      </c>
      <c r="AI22" s="3">
        <f>ROUND(0.0,2)</f>
        <v/>
      </c>
      <c r="AJ22" s="4">
        <f>IFERROR((AD22/AC22),0)</f>
        <v/>
      </c>
      <c r="AK22" s="4">
        <f>IFERROR(((0+AB11+AB12+AB13+AB14+AB15+AB16+AB17+AB19+AB20+AB21+AB22)/T2),0)</f>
        <v/>
      </c>
      <c r="AL22" s="5">
        <f>IFERROR(ROUND(AB22/AD22,2),0)</f>
        <v/>
      </c>
      <c r="AM22" s="5">
        <f>IFERROR(ROUND(AB22/AE22,2),0)</f>
        <v/>
      </c>
      <c r="AN22" s="2" t="inlineStr">
        <is>
          <t>2023-09-30</t>
        </is>
      </c>
      <c r="AO22" s="5">
        <f>ROUND(0.6900000000000001,2)</f>
        <v/>
      </c>
      <c r="AP22" s="3">
        <f>ROUND(1972.0,2)</f>
        <v/>
      </c>
      <c r="AQ22" s="3">
        <f>ROUND(69.0,2)</f>
        <v/>
      </c>
      <c r="AR22" s="3">
        <f>ROUND(0.0,2)</f>
        <v/>
      </c>
      <c r="AS22" s="3">
        <f>ROUND(0.0,2)</f>
        <v/>
      </c>
      <c r="AT22" s="3">
        <f>ROUND(0.0,2)</f>
        <v/>
      </c>
      <c r="AU22" s="3">
        <f>ROUND(0.0,2)</f>
        <v/>
      </c>
      <c r="AV22" s="3">
        <f>ROUND(0.0,2)</f>
        <v/>
      </c>
      <c r="AW22" s="4">
        <f>IFERROR((AQ22/AP22),0)</f>
        <v/>
      </c>
      <c r="AX22" s="4">
        <f>IFERROR(((0+AO11+AO12+AO13+AO14+AO15+AO16+AO17+AO19+AO20+AO21+AO22)/T2),0)</f>
        <v/>
      </c>
      <c r="AY22" s="5">
        <f>IFERROR(ROUND(AO22/AQ22,2),0)</f>
        <v/>
      </c>
      <c r="AZ22" s="5">
        <f>IFERROR(ROUND(AO22/AR22,2),0)</f>
        <v/>
      </c>
      <c r="BA22" s="2" t="inlineStr">
        <is>
          <t>2023-09-30</t>
        </is>
      </c>
      <c r="BB22" s="5">
        <f>ROUND(0.0,2)</f>
        <v/>
      </c>
      <c r="BC22" s="3">
        <f>ROUND(18.0,2)</f>
        <v/>
      </c>
      <c r="BD22" s="3">
        <f>ROUND(0.0,2)</f>
        <v/>
      </c>
      <c r="BE22" s="3">
        <f>ROUND(0.0,2)</f>
        <v/>
      </c>
      <c r="BF22" s="3">
        <f>ROUND(0.0,2)</f>
        <v/>
      </c>
      <c r="BG22" s="3">
        <f>ROUND(0.0,2)</f>
        <v/>
      </c>
      <c r="BH22" s="3">
        <f>ROUND(0.0,2)</f>
        <v/>
      </c>
      <c r="BI22" s="3">
        <f>ROUND(0.0,2)</f>
        <v/>
      </c>
      <c r="BJ22" s="4">
        <f>IFERROR((BD22/BC22),0)</f>
        <v/>
      </c>
      <c r="BK22" s="4">
        <f>IFERROR(((0+BB11+BB12+BB13+BB14+BB15+BB16+BB17+BB19+BB20+BB21+BB22)/T2),0)</f>
        <v/>
      </c>
      <c r="BL22" s="5">
        <f>IFERROR(ROUND(BB22/BD22,2),0)</f>
        <v/>
      </c>
      <c r="BM22" s="5">
        <f>IFERROR(ROUND(BB22/BE22,2),0)</f>
        <v/>
      </c>
      <c r="BN22" s="2" t="inlineStr">
        <is>
          <t>2023-09-30</t>
        </is>
      </c>
      <c r="BO22" s="5">
        <f>ROUND(0.01,2)</f>
        <v/>
      </c>
      <c r="BP22" s="3">
        <f>ROUND(77.0,2)</f>
        <v/>
      </c>
      <c r="BQ22" s="3">
        <f>ROUND(1.0,2)</f>
        <v/>
      </c>
      <c r="BR22" s="3">
        <f>ROUND(0.0,2)</f>
        <v/>
      </c>
      <c r="BS22" s="3">
        <f>ROUND(0.0,2)</f>
        <v/>
      </c>
      <c r="BT22" s="3">
        <f>ROUND(0.0,2)</f>
        <v/>
      </c>
      <c r="BU22" s="3">
        <f>ROUND(0.0,2)</f>
        <v/>
      </c>
      <c r="BV22" s="3">
        <f>ROUND(0.0,2)</f>
        <v/>
      </c>
      <c r="BW22" s="4">
        <f>IFERROR((BQ22/BP22),0)</f>
        <v/>
      </c>
      <c r="BX22" s="4">
        <f>IFERROR(((0+BO11+BO12+BO13+BO14+BO15+BO16+BO17+BO19+BO20+BO21+BO22)/T2),0)</f>
        <v/>
      </c>
      <c r="BY22" s="5">
        <f>IFERROR(ROUND(BO22/BQ22,2),0)</f>
        <v/>
      </c>
      <c r="BZ22" s="5">
        <f>IFERROR(ROUND(BO22/BR22,2),0)</f>
        <v/>
      </c>
      <c r="CA22" s="2" t="inlineStr">
        <is>
          <t>2023-09-30</t>
        </is>
      </c>
      <c r="CB22" s="5">
        <f>ROUND(0.52,2)</f>
        <v/>
      </c>
      <c r="CC22" s="3">
        <f>ROUND(1232.0,2)</f>
        <v/>
      </c>
      <c r="CD22" s="3">
        <f>ROUND(52.0,2)</f>
        <v/>
      </c>
      <c r="CE22" s="3">
        <f>ROUND(0.0,2)</f>
        <v/>
      </c>
      <c r="CF22" s="3">
        <f>ROUND(0.0,2)</f>
        <v/>
      </c>
      <c r="CG22" s="3">
        <f>ROUND(0.0,2)</f>
        <v/>
      </c>
      <c r="CH22" s="3">
        <f>ROUND(0.0,2)</f>
        <v/>
      </c>
      <c r="CI22" s="3">
        <f>ROUND(0.0,2)</f>
        <v/>
      </c>
      <c r="CJ22" s="4">
        <f>IFERROR((CD22/CC22),0)</f>
        <v/>
      </c>
      <c r="CK22" s="4">
        <f>IFERROR(((0+CB11+CB12+CB13+CB14+CB15+CB16+CB17+CB19+CB20+CB21+CB22)/T2),0)</f>
        <v/>
      </c>
      <c r="CL22" s="5">
        <f>IFERROR(ROUND(CB22/CD22,2),0)</f>
        <v/>
      </c>
      <c r="CM22" s="5">
        <f>IFERROR(ROUND(CB22/CE22,2),0)</f>
        <v/>
      </c>
      <c r="CN22" s="2" t="inlineStr">
        <is>
          <t>2023-09-30</t>
        </is>
      </c>
      <c r="CO22" s="5">
        <f>ROUND(0.30000000000000004,2)</f>
        <v/>
      </c>
      <c r="CP22" s="3">
        <f>ROUND(1849.0,2)</f>
        <v/>
      </c>
      <c r="CQ22" s="3">
        <f>ROUND(30.0,2)</f>
        <v/>
      </c>
      <c r="CR22" s="3">
        <f>ROUND(0.0,2)</f>
        <v/>
      </c>
      <c r="CS22" s="3">
        <f>ROUND(0.0,2)</f>
        <v/>
      </c>
      <c r="CT22" s="3">
        <f>ROUND(0.0,2)</f>
        <v/>
      </c>
      <c r="CU22" s="3">
        <f>ROUND(0.0,2)</f>
        <v/>
      </c>
      <c r="CV22" s="3">
        <f>ROUND(0.0,2)</f>
        <v/>
      </c>
      <c r="CW22" s="4">
        <f>IFERROR((CQ22/CP22),0)</f>
        <v/>
      </c>
      <c r="CX22" s="4">
        <f>IFERROR(((0+CO11+CO12+CO13+CO14+CO15+CO16+CO17+CO19+CO20+CO21+CO22)/T2),0)</f>
        <v/>
      </c>
      <c r="CY22" s="5">
        <f>IFERROR(ROUND(CO22/CQ22,2),0)</f>
        <v/>
      </c>
      <c r="CZ22" s="5">
        <f>IFERROR(ROUND(CO22/CR22,2),0)</f>
        <v/>
      </c>
      <c r="DA22" s="2" t="inlineStr">
        <is>
          <t>2023-09-30</t>
        </is>
      </c>
      <c r="DB22" s="5">
        <f>ROUND(1.75,2)</f>
        <v/>
      </c>
      <c r="DC22" s="3">
        <f>ROUND(5247.0,2)</f>
        <v/>
      </c>
      <c r="DD22" s="3">
        <f>ROUND(175.0,2)</f>
        <v/>
      </c>
      <c r="DE22" s="3">
        <f>ROUND(0.0,2)</f>
        <v/>
      </c>
      <c r="DF22" s="3">
        <f>ROUND(0.0,2)</f>
        <v/>
      </c>
      <c r="DG22" s="3">
        <f>ROUND(0.0,2)</f>
        <v/>
      </c>
      <c r="DH22" s="3">
        <f>ROUND(0.0,2)</f>
        <v/>
      </c>
      <c r="DI22" s="3">
        <f>ROUND(0.0,2)</f>
        <v/>
      </c>
      <c r="DJ22" s="4">
        <f>IFERROR((DD22/DC22),0)</f>
        <v/>
      </c>
      <c r="DK22" s="4">
        <f>IFERROR(((0+DB11+DB12+DB13+DB14+DB15+DB16+DB17+DB19+DB20+DB21+DB22)/T2),0)</f>
        <v/>
      </c>
      <c r="DL22" s="5">
        <f>IFERROR(ROUND(DB22/DD22,2),0)</f>
        <v/>
      </c>
      <c r="DM22" s="5">
        <f>IFERROR(ROUND(DB22/DE22,2),0)</f>
        <v/>
      </c>
      <c r="DN22" s="2" t="inlineStr">
        <is>
          <t>2023-09-30</t>
        </is>
      </c>
      <c r="DO22" s="5">
        <f>ROUND(0.0,2)</f>
        <v/>
      </c>
      <c r="DP22" s="3">
        <f>ROUND(20.0,2)</f>
        <v/>
      </c>
      <c r="DQ22" s="3">
        <f>ROUND(0.0,2)</f>
        <v/>
      </c>
      <c r="DR22" s="3">
        <f>ROUND(0.0,2)</f>
        <v/>
      </c>
      <c r="DS22" s="3">
        <f>ROUND(0.0,2)</f>
        <v/>
      </c>
      <c r="DT22" s="3">
        <f>ROUND(0.0,2)</f>
        <v/>
      </c>
      <c r="DU22" s="3">
        <f>ROUND(0.0,2)</f>
        <v/>
      </c>
      <c r="DV22" s="3">
        <f>ROUND(0.0,2)</f>
        <v/>
      </c>
      <c r="DW22" s="4">
        <f>IFERROR((DQ22/DP22),0)</f>
        <v/>
      </c>
      <c r="DX22" s="4">
        <f>IFERROR(((0+DO11+DO12+DO13+DO14+DO15+DO16+DO17+DO19+DO20+DO21+DO22)/T2),0)</f>
        <v/>
      </c>
      <c r="DY22" s="5">
        <f>IFERROR(ROUND(DO22/DQ22,2),0)</f>
        <v/>
      </c>
      <c r="DZ22" s="5">
        <f>IFERROR(ROUND(DO22/DR22,2),0)</f>
        <v/>
      </c>
      <c r="EA22" s="2" t="inlineStr">
        <is>
          <t>2023-09-30</t>
        </is>
      </c>
      <c r="EB22" s="5">
        <f>ROUND(3.89,2)</f>
        <v/>
      </c>
      <c r="EC22" s="3">
        <f>ROUND(19848.0,2)</f>
        <v/>
      </c>
      <c r="ED22" s="3">
        <f>ROUND(389.0,2)</f>
        <v/>
      </c>
      <c r="EE22" s="3">
        <f>ROUND(0.0,2)</f>
        <v/>
      </c>
      <c r="EF22" s="3">
        <f>ROUND(0.0,2)</f>
        <v/>
      </c>
      <c r="EG22" s="3">
        <f>ROUND(0.0,2)</f>
        <v/>
      </c>
      <c r="EH22" s="3">
        <f>ROUND(0.0,2)</f>
        <v/>
      </c>
      <c r="EI22" s="3">
        <f>ROUND(0.0,2)</f>
        <v/>
      </c>
      <c r="EJ22" s="4">
        <f>IFERROR((ED22/EC22),0)</f>
        <v/>
      </c>
      <c r="EK22" s="4">
        <f>IFERROR(((0+EB11+EB12+EB13+EB14+EB15+EB16+EB17+EB19+EB20+EB21+EB22)/T2),0)</f>
        <v/>
      </c>
      <c r="EL22" s="5">
        <f>IFERROR(ROUND(EB22/ED22,2),0)</f>
        <v/>
      </c>
      <c r="EM22" s="5">
        <f>IFERROR(ROUND(EB22/EE22,2),0)</f>
        <v/>
      </c>
      <c r="EN22" s="2" t="inlineStr">
        <is>
          <t>2023-09-30</t>
        </is>
      </c>
      <c r="EO22" s="5">
        <f>ROUND(0.06,2)</f>
        <v/>
      </c>
      <c r="EP22" s="3">
        <f>ROUND(123.0,2)</f>
        <v/>
      </c>
      <c r="EQ22" s="3">
        <f>ROUND(6.0,2)</f>
        <v/>
      </c>
      <c r="ER22" s="3">
        <f>ROUND(0.0,2)</f>
        <v/>
      </c>
      <c r="ES22" s="3">
        <f>ROUND(0.0,2)</f>
        <v/>
      </c>
      <c r="ET22" s="3">
        <f>ROUND(0.0,2)</f>
        <v/>
      </c>
      <c r="EU22" s="3">
        <f>ROUND(0.0,2)</f>
        <v/>
      </c>
      <c r="EV22" s="3">
        <f>ROUND(0.0,2)</f>
        <v/>
      </c>
      <c r="EW22" s="4">
        <f>IFERROR((EQ22/EP22),0)</f>
        <v/>
      </c>
      <c r="EX22" s="4">
        <f>IFERROR(((0+EO11+EO12+EO13+EO14+EO15+EO16+EO17+EO19+EO20+EO21+EO22)/T2),0)</f>
        <v/>
      </c>
      <c r="EY22" s="5">
        <f>IFERROR(ROUND(EO22/EQ22,2),0)</f>
        <v/>
      </c>
      <c r="EZ22" s="5">
        <f>IFERROR(ROUND(EO22/ER22,2),0)</f>
        <v/>
      </c>
      <c r="FA22" s="2" t="inlineStr">
        <is>
          <t>2023-09-30</t>
        </is>
      </c>
      <c r="FB22" s="5">
        <f>ROUND(0.77,2)</f>
        <v/>
      </c>
      <c r="FC22" s="3">
        <f>ROUND(3075.0,2)</f>
        <v/>
      </c>
      <c r="FD22" s="3">
        <f>ROUND(77.0,2)</f>
        <v/>
      </c>
      <c r="FE22" s="3">
        <f>ROUND(0.0,2)</f>
        <v/>
      </c>
      <c r="FF22" s="3">
        <f>ROUND(0.0,2)</f>
        <v/>
      </c>
      <c r="FG22" s="3">
        <f>ROUND(0.0,2)</f>
        <v/>
      </c>
      <c r="FH22" s="3">
        <f>ROUND(0.0,2)</f>
        <v/>
      </c>
      <c r="FI22" s="3">
        <f>ROUND(0.0,2)</f>
        <v/>
      </c>
      <c r="FJ22" s="4">
        <f>IFERROR((FD22/FC22),0)</f>
        <v/>
      </c>
      <c r="FK22" s="4">
        <f>IFERROR(((0+FB11+FB12+FB13+FB14+FB15+FB16+FB17+FB19+FB20+FB21+FB22)/T2),0)</f>
        <v/>
      </c>
      <c r="FL22" s="5">
        <f>IFERROR(ROUND(FB22/FD22,2),0)</f>
        <v/>
      </c>
      <c r="FM22" s="5">
        <f>IFERROR(ROUND(FB22/FE22,2),0)</f>
        <v/>
      </c>
      <c r="FN22" s="2" t="inlineStr">
        <is>
          <t>2023-09-30</t>
        </is>
      </c>
      <c r="FO22" s="5">
        <f>ROUND(6.74,2)</f>
        <v/>
      </c>
      <c r="FP22" s="3">
        <f>ROUND(11234.0,2)</f>
        <v/>
      </c>
      <c r="FQ22" s="3">
        <f>ROUND(674.0,2)</f>
        <v/>
      </c>
      <c r="FR22" s="3">
        <f>ROUND(0.0,2)</f>
        <v/>
      </c>
      <c r="FS22" s="3">
        <f>ROUND(0.0,2)</f>
        <v/>
      </c>
      <c r="FT22" s="3">
        <f>ROUND(0.0,2)</f>
        <v/>
      </c>
      <c r="FU22" s="3">
        <f>ROUND(0.0,2)</f>
        <v/>
      </c>
      <c r="FV22" s="3">
        <f>ROUND(0.0,2)</f>
        <v/>
      </c>
      <c r="FW22" s="4">
        <f>IFERROR((FQ22/FP22),0)</f>
        <v/>
      </c>
      <c r="FX22" s="4">
        <f>IFERROR(((0+FO11+FO12+FO13+FO14+FO15+FO16+FO17+FO19+FO20+FO21+FO22)/T2),0)</f>
        <v/>
      </c>
      <c r="FY22" s="5">
        <f>IFERROR(ROUND(FO22/FQ22,2),0)</f>
        <v/>
      </c>
      <c r="FZ22" s="5">
        <f>IFERROR(ROUND(FO22/FR22,2),0)</f>
        <v/>
      </c>
      <c r="GA22" s="2" t="inlineStr">
        <is>
          <t>2023-09-30</t>
        </is>
      </c>
      <c r="GB22" s="5">
        <f>ROUND(0.03,2)</f>
        <v/>
      </c>
      <c r="GC22" s="3">
        <f>ROUND(81.0,2)</f>
        <v/>
      </c>
      <c r="GD22" s="3">
        <f>ROUND(3.0,2)</f>
        <v/>
      </c>
      <c r="GE22" s="3">
        <f>ROUND(0.0,2)</f>
        <v/>
      </c>
      <c r="GF22" s="3">
        <f>ROUND(0.0,2)</f>
        <v/>
      </c>
      <c r="GG22" s="3">
        <f>ROUND(0.0,2)</f>
        <v/>
      </c>
      <c r="GH22" s="3">
        <f>ROUND(0.0,2)</f>
        <v/>
      </c>
      <c r="GI22" s="3">
        <f>ROUND(0.0,2)</f>
        <v/>
      </c>
      <c r="GJ22" s="4">
        <f>IFERROR((GD22/GC22),0)</f>
        <v/>
      </c>
      <c r="GK22" s="4">
        <f>IFERROR(((0+GB11+GB12+GB13+GB14+GB15+GB16+GB17+GB19+GB20+GB21+GB22)/T2),0)</f>
        <v/>
      </c>
      <c r="GL22" s="5">
        <f>IFERROR(ROUND(GB22/GD22,2),0)</f>
        <v/>
      </c>
      <c r="GM22" s="5">
        <f>IFERROR(ROUND(GB22/GE22,2),0)</f>
        <v/>
      </c>
      <c r="GN22" s="2" t="inlineStr">
        <is>
          <t>2023-09-30</t>
        </is>
      </c>
      <c r="GO22" s="5">
        <f>ROUND(2.41,2)</f>
        <v/>
      </c>
      <c r="GP22" s="3">
        <f>ROUND(12255.0,2)</f>
        <v/>
      </c>
      <c r="GQ22" s="3">
        <f>ROUND(241.0,2)</f>
        <v/>
      </c>
      <c r="GR22" s="3">
        <f>ROUND(0.0,2)</f>
        <v/>
      </c>
      <c r="GS22" s="3">
        <f>ROUND(0.0,2)</f>
        <v/>
      </c>
      <c r="GT22" s="3">
        <f>ROUND(0.0,2)</f>
        <v/>
      </c>
      <c r="GU22" s="3">
        <f>ROUND(0.0,2)</f>
        <v/>
      </c>
      <c r="GV22" s="3">
        <f>ROUND(0.0,2)</f>
        <v/>
      </c>
      <c r="GW22" s="4">
        <f>IFERROR((GQ22/GP22),0)</f>
        <v/>
      </c>
      <c r="GX22" s="4">
        <f>IFERROR(((0+GO11+GO12+GO13+GO14+GO15+GO16+GO17+GO19+GO20+GO21+GO22)/T2),0)</f>
        <v/>
      </c>
      <c r="GY22" s="5">
        <f>IFERROR(ROUND(GO22/GQ22,2),0)</f>
        <v/>
      </c>
      <c r="GZ22" s="5">
        <f>IFERROR(ROUND(GO22/GR22,2),0)</f>
        <v/>
      </c>
      <c r="HA22" s="2" t="inlineStr">
        <is>
          <t>2023-09-30</t>
        </is>
      </c>
      <c r="HB22" s="5">
        <f>ROUND(0.33,2)</f>
        <v/>
      </c>
      <c r="HC22" s="3">
        <f>ROUND(771.0,2)</f>
        <v/>
      </c>
      <c r="HD22" s="3">
        <f>ROUND(33.0,2)</f>
        <v/>
      </c>
      <c r="HE22" s="3">
        <f>ROUND(0.0,2)</f>
        <v/>
      </c>
      <c r="HF22" s="3">
        <f>ROUND(0.0,2)</f>
        <v/>
      </c>
      <c r="HG22" s="3">
        <f>ROUND(0.0,2)</f>
        <v/>
      </c>
      <c r="HH22" s="3">
        <f>ROUND(0.0,2)</f>
        <v/>
      </c>
      <c r="HI22" s="3">
        <f>ROUND(0.0,2)</f>
        <v/>
      </c>
      <c r="HJ22" s="4">
        <f>IFERROR((HD22/HC22),0)</f>
        <v/>
      </c>
      <c r="HK22" s="4">
        <f>IFERROR(((0+HB11+HB12+HB13+HB14+HB15+HB16+HB17+HB19+HB20+HB21+HB22)/T2),0)</f>
        <v/>
      </c>
      <c r="HL22" s="5">
        <f>IFERROR(ROUND(HB22/HD22,2),0)</f>
        <v/>
      </c>
      <c r="HM22" s="5">
        <f>IFERROR(ROUND(HB22/HE22,2),0)</f>
        <v/>
      </c>
      <c r="HN22" s="2" t="inlineStr">
        <is>
          <t>2023-09-30</t>
        </is>
      </c>
      <c r="HO22" s="5">
        <f>ROUND(0.0,2)</f>
        <v/>
      </c>
      <c r="HP22" s="3">
        <f>ROUND(34.0,2)</f>
        <v/>
      </c>
      <c r="HQ22" s="3">
        <f>ROUND(0.0,2)</f>
        <v/>
      </c>
      <c r="HR22" s="3">
        <f>ROUND(0.0,2)</f>
        <v/>
      </c>
      <c r="HS22" s="3">
        <f>ROUND(0.0,2)</f>
        <v/>
      </c>
      <c r="HT22" s="3">
        <f>ROUND(0.0,2)</f>
        <v/>
      </c>
      <c r="HU22" s="3">
        <f>ROUND(0.0,2)</f>
        <v/>
      </c>
      <c r="HV22" s="3">
        <f>ROUND(0.0,2)</f>
        <v/>
      </c>
      <c r="HW22" s="4">
        <f>IFERROR((HQ22/HP22),0)</f>
        <v/>
      </c>
      <c r="HX22" s="4">
        <f>IFERROR(((0+HO11+HO12+HO13+HO14+HO15+HO16+HO17+HO19+HO20+HO21+HO22)/T2),0)</f>
        <v/>
      </c>
      <c r="HY22" s="5">
        <f>IFERROR(ROUND(HO22/HQ22,2),0)</f>
        <v/>
      </c>
      <c r="HZ22" s="5">
        <f>IFERROR(ROUND(HO22/HR22,2),0)</f>
        <v/>
      </c>
      <c r="IA22" s="2" t="inlineStr">
        <is>
          <t>2023-09-30</t>
        </is>
      </c>
      <c r="IB22" s="5">
        <f>ROUND(0.08,2)</f>
        <v/>
      </c>
      <c r="IC22" s="3">
        <f>ROUND(159.0,2)</f>
        <v/>
      </c>
      <c r="ID22" s="3">
        <f>ROUND(8.0,2)</f>
        <v/>
      </c>
      <c r="IE22" s="3">
        <f>ROUND(0.0,2)</f>
        <v/>
      </c>
      <c r="IF22" s="3">
        <f>ROUND(0.0,2)</f>
        <v/>
      </c>
      <c r="IG22" s="3">
        <f>ROUND(0.0,2)</f>
        <v/>
      </c>
      <c r="IH22" s="3">
        <f>ROUND(0.0,2)</f>
        <v/>
      </c>
      <c r="II22" s="3">
        <f>ROUND(0.0,2)</f>
        <v/>
      </c>
      <c r="IJ22" s="4">
        <f>IFERROR((ID22/IC22),0)</f>
        <v/>
      </c>
      <c r="IK22" s="4">
        <f>IFERROR(((0+IB11+IB12+IB13+IB14+IB15+IB16+IB17+IB19+IB20+IB21+IB22)/T2),0)</f>
        <v/>
      </c>
      <c r="IL22" s="5">
        <f>IFERROR(ROUND(IB22/ID22,2),0)</f>
        <v/>
      </c>
      <c r="IM22" s="5">
        <f>IFERROR(ROUND(IB22/IE22,2),0)</f>
        <v/>
      </c>
      <c r="IN22" s="2" t="inlineStr">
        <is>
          <t>2023-09-30</t>
        </is>
      </c>
      <c r="IO22" s="5">
        <f>ROUND(0.93,2)</f>
        <v/>
      </c>
      <c r="IP22" s="3">
        <f>ROUND(4687.0,2)</f>
        <v/>
      </c>
      <c r="IQ22" s="3">
        <f>ROUND(93.0,2)</f>
        <v/>
      </c>
      <c r="IR22" s="3">
        <f>ROUND(0.0,2)</f>
        <v/>
      </c>
      <c r="IS22" s="3">
        <f>ROUND(0.0,2)</f>
        <v/>
      </c>
      <c r="IT22" s="3">
        <f>ROUND(0.0,2)</f>
        <v/>
      </c>
      <c r="IU22" s="3">
        <f>ROUND(0.0,2)</f>
        <v/>
      </c>
      <c r="IV22" s="3">
        <f>ROUND(0.0,2)</f>
        <v/>
      </c>
      <c r="IW22" s="4">
        <f>IFERROR((IQ22/IP22),0)</f>
        <v/>
      </c>
      <c r="IX22" s="4">
        <f>IFERROR(((0+IO11+IO12+IO13+IO14+IO15+IO16+IO17+IO19+IO20+IO21+IO22)/T2),0)</f>
        <v/>
      </c>
      <c r="IY22" s="5">
        <f>IFERROR(ROUND(IO22/IQ22,2),0)</f>
        <v/>
      </c>
      <c r="IZ22" s="5">
        <f>IFERROR(ROUND(IO22/IR22,2),0)</f>
        <v/>
      </c>
      <c r="JA22" s="2" t="inlineStr">
        <is>
          <t>2023-09-30</t>
        </is>
      </c>
      <c r="JB22" s="5">
        <f>ROUND(0.09,2)</f>
        <v/>
      </c>
      <c r="JC22" s="3">
        <f>ROUND(214.0,2)</f>
        <v/>
      </c>
      <c r="JD22" s="3">
        <f>ROUND(9.0,2)</f>
        <v/>
      </c>
      <c r="JE22" s="3">
        <f>ROUND(0.0,2)</f>
        <v/>
      </c>
      <c r="JF22" s="3">
        <f>ROUND(0.0,2)</f>
        <v/>
      </c>
      <c r="JG22" s="3">
        <f>ROUND(0.0,2)</f>
        <v/>
      </c>
      <c r="JH22" s="3">
        <f>ROUND(0.0,2)</f>
        <v/>
      </c>
      <c r="JI22" s="3">
        <f>ROUND(0.0,2)</f>
        <v/>
      </c>
      <c r="JJ22" s="4">
        <f>IFERROR((JD22/JC22),0)</f>
        <v/>
      </c>
      <c r="JK22" s="4">
        <f>IFERROR(((0+JB11+JB12+JB13+JB14+JB15+JB16+JB17+JB19+JB20+JB21+JB22)/T2),0)</f>
        <v/>
      </c>
      <c r="JL22" s="5">
        <f>IFERROR(ROUND(JB22/JD22,2),0)</f>
        <v/>
      </c>
      <c r="JM22" s="5">
        <f>IFERROR(ROUND(JB22/JE22,2),0)</f>
        <v/>
      </c>
      <c r="JN22" s="2" t="inlineStr">
        <is>
          <t>2023-09-30</t>
        </is>
      </c>
      <c r="JO22" s="5">
        <f>ROUND(0.9500000000000001,2)</f>
        <v/>
      </c>
      <c r="JP22" s="3">
        <f>ROUND(1247.0,2)</f>
        <v/>
      </c>
      <c r="JQ22" s="3">
        <f>ROUND(95.0,2)</f>
        <v/>
      </c>
      <c r="JR22" s="3">
        <f>ROUND(0.0,2)</f>
        <v/>
      </c>
      <c r="JS22" s="3">
        <f>ROUND(0.0,2)</f>
        <v/>
      </c>
      <c r="JT22" s="3">
        <f>ROUND(0.0,2)</f>
        <v/>
      </c>
      <c r="JU22" s="3">
        <f>ROUND(0.0,2)</f>
        <v/>
      </c>
      <c r="JV22" s="3">
        <f>ROUND(0.0,2)</f>
        <v/>
      </c>
      <c r="JW22" s="4">
        <f>IFERROR((JQ22/JP22),0)</f>
        <v/>
      </c>
      <c r="JX22" s="4">
        <f>IFERROR(((0+JO11+JO12+JO13+JO14+JO15+JO16+JO17+JO19+JO20+JO21+JO22)/T2),0)</f>
        <v/>
      </c>
      <c r="JY22" s="5">
        <f>IFERROR(ROUND(JO22/JQ22,2),0)</f>
        <v/>
      </c>
      <c r="JZ22" s="5">
        <f>IFERROR(ROUND(JO22/JR22,2),0)</f>
        <v/>
      </c>
      <c r="KA22" s="2" t="inlineStr">
        <is>
          <t>2023-09-30</t>
        </is>
      </c>
      <c r="KB22" s="5">
        <f>ROUND(0.03,2)</f>
        <v/>
      </c>
      <c r="KC22" s="3">
        <f>ROUND(25.0,2)</f>
        <v/>
      </c>
      <c r="KD22" s="3">
        <f>ROUND(3.0,2)</f>
        <v/>
      </c>
      <c r="KE22" s="3">
        <f>ROUND(0.0,2)</f>
        <v/>
      </c>
      <c r="KF22" s="3">
        <f>ROUND(0.0,2)</f>
        <v/>
      </c>
      <c r="KG22" s="3">
        <f>ROUND(0.0,2)</f>
        <v/>
      </c>
      <c r="KH22" s="3">
        <f>ROUND(0.0,2)</f>
        <v/>
      </c>
      <c r="KI22" s="3">
        <f>ROUND(0.0,2)</f>
        <v/>
      </c>
      <c r="KJ22" s="4">
        <f>IFERROR((KD22/KC22),0)</f>
        <v/>
      </c>
      <c r="KK22" s="4">
        <f>IFERROR(((0+KB11+KB12+KB13+KB14+KB15+KB16+KB17+KB19+KB20+KB21+KB22)/T2),0)</f>
        <v/>
      </c>
      <c r="KL22" s="5">
        <f>IFERROR(ROUND(KB22/KD22,2),0)</f>
        <v/>
      </c>
      <c r="KM22" s="5">
        <f>IFERROR(ROUND(KB22/KE22,2),0)</f>
        <v/>
      </c>
      <c r="KN22" s="2" t="inlineStr">
        <is>
          <t>2023-09-30</t>
        </is>
      </c>
      <c r="KO22" s="5">
        <f>ROUND(1.3800000000000001,2)</f>
        <v/>
      </c>
      <c r="KP22" s="3">
        <f>ROUND(6720.0,2)</f>
        <v/>
      </c>
      <c r="KQ22" s="3">
        <f>ROUND(138.0,2)</f>
        <v/>
      </c>
      <c r="KR22" s="3">
        <f>ROUND(0.0,2)</f>
        <v/>
      </c>
      <c r="KS22" s="3">
        <f>ROUND(0.0,2)</f>
        <v/>
      </c>
      <c r="KT22" s="3">
        <f>ROUND(0.0,2)</f>
        <v/>
      </c>
      <c r="KU22" s="3">
        <f>ROUND(0.0,2)</f>
        <v/>
      </c>
      <c r="KV22" s="3">
        <f>ROUND(0.0,2)</f>
        <v/>
      </c>
      <c r="KW22" s="4">
        <f>IFERROR((KQ22/KP22),0)</f>
        <v/>
      </c>
      <c r="KX22" s="4">
        <f>IFERROR(((0+KO11+KO12+KO13+KO14+KO15+KO16+KO17+KO19+KO20+KO21+KO22)/T2),0)</f>
        <v/>
      </c>
      <c r="KY22" s="5">
        <f>IFERROR(ROUND(KO22/KQ22,2),0)</f>
        <v/>
      </c>
      <c r="KZ22" s="5">
        <f>IFERROR(ROUND(KO22/KR22,2),0)</f>
        <v/>
      </c>
      <c r="LA22" s="2" t="inlineStr">
        <is>
          <t>2023-09-30</t>
        </is>
      </c>
      <c r="LB22" s="5">
        <f>ROUND(0.6900000000000001,2)</f>
        <v/>
      </c>
      <c r="LC22" s="3">
        <f>ROUND(3156.0,2)</f>
        <v/>
      </c>
      <c r="LD22" s="3">
        <f>ROUND(69.0,2)</f>
        <v/>
      </c>
      <c r="LE22" s="3">
        <f>ROUND(0.0,2)</f>
        <v/>
      </c>
      <c r="LF22" s="3">
        <f>ROUND(0.0,2)</f>
        <v/>
      </c>
      <c r="LG22" s="3">
        <f>ROUND(0.0,2)</f>
        <v/>
      </c>
      <c r="LH22" s="3">
        <f>ROUND(0.0,2)</f>
        <v/>
      </c>
      <c r="LI22" s="3">
        <f>ROUND(0.0,2)</f>
        <v/>
      </c>
      <c r="LJ22" s="4">
        <f>IFERROR((LD22/LC22),0)</f>
        <v/>
      </c>
      <c r="LK22" s="4">
        <f>IFERROR(((0+LB11+LB12+LB13+LB14+LB15+LB16+LB17+LB19+LB20+LB21+LB22)/T2),0)</f>
        <v/>
      </c>
      <c r="LL22" s="5">
        <f>IFERROR(ROUND(LB22/LD22,2),0)</f>
        <v/>
      </c>
      <c r="LM22" s="5">
        <f>IFERROR(ROUND(LB22/LE22,2),0)</f>
        <v/>
      </c>
      <c r="LN22" s="2" t="inlineStr">
        <is>
          <t>2023-09-30</t>
        </is>
      </c>
      <c r="LO22" s="5">
        <f>ROUND(0.33,2)</f>
        <v/>
      </c>
      <c r="LP22" s="3">
        <f>ROUND(568.0,2)</f>
        <v/>
      </c>
      <c r="LQ22" s="3">
        <f>ROUND(33.0,2)</f>
        <v/>
      </c>
      <c r="LR22" s="3">
        <f>ROUND(0.0,2)</f>
        <v/>
      </c>
      <c r="LS22" s="3">
        <f>ROUND(0.0,2)</f>
        <v/>
      </c>
      <c r="LT22" s="3">
        <f>ROUND(0.0,2)</f>
        <v/>
      </c>
      <c r="LU22" s="3">
        <f>ROUND(0.0,2)</f>
        <v/>
      </c>
      <c r="LV22" s="3">
        <f>ROUND(0.0,2)</f>
        <v/>
      </c>
      <c r="LW22" s="4">
        <f>IFERROR((LQ22/LP22),0)</f>
        <v/>
      </c>
      <c r="LX22" s="4">
        <f>IFERROR(((0+LO11+LO12+LO13+LO14+LO15+LO16+LO17+LO19+LO20+LO21+LO22)/T2),0)</f>
        <v/>
      </c>
      <c r="LY22" s="5">
        <f>IFERROR(ROUND(LO22/LQ22,2),0)</f>
        <v/>
      </c>
      <c r="LZ22" s="5">
        <f>IFERROR(ROUND(LO22/LR22,2),0)</f>
        <v/>
      </c>
      <c r="MA22" s="2" t="inlineStr">
        <is>
          <t>2023-09-30</t>
        </is>
      </c>
      <c r="MB22" s="5">
        <f>ROUND(0.19,2)</f>
        <v/>
      </c>
      <c r="MC22" s="3">
        <f>ROUND(1032.0,2)</f>
        <v/>
      </c>
      <c r="MD22" s="3">
        <f>ROUND(19.0,2)</f>
        <v/>
      </c>
      <c r="ME22" s="3">
        <f>ROUND(0.0,2)</f>
        <v/>
      </c>
      <c r="MF22" s="3">
        <f>ROUND(0.0,2)</f>
        <v/>
      </c>
      <c r="MG22" s="3">
        <f>ROUND(0.0,2)</f>
        <v/>
      </c>
      <c r="MH22" s="3">
        <f>ROUND(0.0,2)</f>
        <v/>
      </c>
      <c r="MI22" s="3">
        <f>ROUND(0.0,2)</f>
        <v/>
      </c>
      <c r="MJ22" s="4">
        <f>IFERROR((MD22/MC22),0)</f>
        <v/>
      </c>
      <c r="MK22" s="4">
        <f>IFERROR(((0+MB11+MB12+MB13+MB14+MB15+MB16+MB17+MB19+MB20+MB21+MB22)/T2),0)</f>
        <v/>
      </c>
      <c r="ML22" s="5">
        <f>IFERROR(ROUND(MB22/MD22,2),0)</f>
        <v/>
      </c>
      <c r="MM22" s="5">
        <f>IFERROR(ROUND(MB22/ME22,2),0)</f>
        <v/>
      </c>
      <c r="MN22" s="2" t="inlineStr">
        <is>
          <t>2023-09-30</t>
        </is>
      </c>
      <c r="MO22" s="5">
        <f>ROUND(4.18,2)</f>
        <v/>
      </c>
      <c r="MP22" s="3">
        <f>ROUND(6696.0,2)</f>
        <v/>
      </c>
      <c r="MQ22" s="3">
        <f>ROUND(418.0,2)</f>
        <v/>
      </c>
      <c r="MR22" s="3">
        <f>ROUND(0.0,2)</f>
        <v/>
      </c>
      <c r="MS22" s="3">
        <f>ROUND(0.0,2)</f>
        <v/>
      </c>
      <c r="MT22" s="3">
        <f>ROUND(0.0,2)</f>
        <v/>
      </c>
      <c r="MU22" s="3">
        <f>ROUND(0.0,2)</f>
        <v/>
      </c>
      <c r="MV22" s="3">
        <f>ROUND(0.0,2)</f>
        <v/>
      </c>
      <c r="MW22" s="4">
        <f>IFERROR((MQ22/MP22),0)</f>
        <v/>
      </c>
      <c r="MX22" s="4">
        <f>IFERROR(((0+MO11+MO12+MO13+MO14+MO15+MO16+MO17+MO19+MO20+MO21+MO22)/T2),0)</f>
        <v/>
      </c>
      <c r="MY22" s="5">
        <f>IFERROR(ROUND(MO22/MQ22,2),0)</f>
        <v/>
      </c>
      <c r="MZ22" s="5">
        <f>IFERROR(ROUND(MO22/MR22,2),0)</f>
        <v/>
      </c>
      <c r="NA22" s="2" t="inlineStr">
        <is>
          <t>2023-09-30</t>
        </is>
      </c>
      <c r="NB22" s="5">
        <f>ROUND(1.08,2)</f>
        <v/>
      </c>
      <c r="NC22" s="3">
        <f>ROUND(6880.0,2)</f>
        <v/>
      </c>
      <c r="ND22" s="3">
        <f>ROUND(108.0,2)</f>
        <v/>
      </c>
      <c r="NE22" s="3">
        <f>ROUND(0.0,2)</f>
        <v/>
      </c>
      <c r="NF22" s="3">
        <f>ROUND(0.0,2)</f>
        <v/>
      </c>
      <c r="NG22" s="3">
        <f>ROUND(0.0,2)</f>
        <v/>
      </c>
      <c r="NH22" s="3">
        <f>ROUND(0.0,2)</f>
        <v/>
      </c>
      <c r="NI22" s="3">
        <f>ROUND(0.0,2)</f>
        <v/>
      </c>
      <c r="NJ22" s="4">
        <f>IFERROR((ND22/NC22),0)</f>
        <v/>
      </c>
      <c r="NK22" s="4">
        <f>IFERROR(((0+NB11+NB12+NB13+NB14+NB15+NB16+NB17+NB19+NB20+NB21+NB22)/T2),0)</f>
        <v/>
      </c>
      <c r="NL22" s="5">
        <f>IFERROR(ROUND(NB22/ND22,2),0)</f>
        <v/>
      </c>
      <c r="NM22" s="5">
        <f>IFERROR(ROUND(NB22/NE22,2),0)</f>
        <v/>
      </c>
      <c r="NN22" s="2" t="inlineStr">
        <is>
          <t>2023-09-30</t>
        </is>
      </c>
      <c r="NO22" s="5">
        <f>ROUND(0.01,2)</f>
        <v/>
      </c>
      <c r="NP22" s="3">
        <f>ROUND(46.0,2)</f>
        <v/>
      </c>
      <c r="NQ22" s="3">
        <f>ROUND(1.0,2)</f>
        <v/>
      </c>
      <c r="NR22" s="3">
        <f>ROUND(0.0,2)</f>
        <v/>
      </c>
      <c r="NS22" s="3">
        <f>ROUND(0.0,2)</f>
        <v/>
      </c>
      <c r="NT22" s="3">
        <f>ROUND(0.0,2)</f>
        <v/>
      </c>
      <c r="NU22" s="3">
        <f>ROUND(0.0,2)</f>
        <v/>
      </c>
      <c r="NV22" s="3">
        <f>ROUND(0.0,2)</f>
        <v/>
      </c>
      <c r="NW22" s="4">
        <f>IFERROR((NQ22/NP22),0)</f>
        <v/>
      </c>
      <c r="NX22" s="4">
        <f>IFERROR(((0+NO11+NO12+NO13+NO14+NO15+NO16+NO17+NO19+NO20+NO21+NO22)/T2),0)</f>
        <v/>
      </c>
      <c r="NY22" s="5">
        <f>IFERROR(ROUND(NO22/NQ22,2),0)</f>
        <v/>
      </c>
      <c r="NZ22" s="5">
        <f>IFERROR(ROUND(NO22/NR22,2),0)</f>
        <v/>
      </c>
      <c r="OA22" s="2" t="inlineStr">
        <is>
          <t>2023-09-30</t>
        </is>
      </c>
      <c r="OB22" s="5">
        <f>ROUND(0.05,2)</f>
        <v/>
      </c>
      <c r="OC22" s="3">
        <f>ROUND(117.0,2)</f>
        <v/>
      </c>
      <c r="OD22" s="3">
        <f>ROUND(5.0,2)</f>
        <v/>
      </c>
      <c r="OE22" s="3">
        <f>ROUND(0.0,2)</f>
        <v/>
      </c>
      <c r="OF22" s="3">
        <f>ROUND(0.0,2)</f>
        <v/>
      </c>
      <c r="OG22" s="3">
        <f>ROUND(0.0,2)</f>
        <v/>
      </c>
      <c r="OH22" s="3">
        <f>ROUND(0.0,2)</f>
        <v/>
      </c>
      <c r="OI22" s="3">
        <f>ROUND(0.0,2)</f>
        <v/>
      </c>
      <c r="OJ22" s="4">
        <f>IFERROR((OD22/OC22),0)</f>
        <v/>
      </c>
      <c r="OK22" s="4">
        <f>IFERROR(((0+OB11+OB12+OB13+OB14+OB15+OB16+OB17+OB19+OB20+OB21+OB22)/T2),0)</f>
        <v/>
      </c>
      <c r="OL22" s="5">
        <f>IFERROR(ROUND(OB22/OD22,2),0)</f>
        <v/>
      </c>
      <c r="OM22" s="5">
        <f>IFERROR(ROUND(OB22/OE22,2),0)</f>
        <v/>
      </c>
      <c r="ON22" s="2" t="inlineStr">
        <is>
          <t>2023-09-30</t>
        </is>
      </c>
      <c r="OO22" s="5">
        <f>ROUND(0.44,2)</f>
        <v/>
      </c>
      <c r="OP22" s="3">
        <f>ROUND(1364.0,2)</f>
        <v/>
      </c>
      <c r="OQ22" s="3">
        <f>ROUND(44.0,2)</f>
        <v/>
      </c>
      <c r="OR22" s="3">
        <f>ROUND(0.0,2)</f>
        <v/>
      </c>
      <c r="OS22" s="3">
        <f>ROUND(0.0,2)</f>
        <v/>
      </c>
      <c r="OT22" s="3">
        <f>ROUND(0.0,2)</f>
        <v/>
      </c>
      <c r="OU22" s="3">
        <f>ROUND(0.0,2)</f>
        <v/>
      </c>
      <c r="OV22" s="3">
        <f>ROUND(0.0,2)</f>
        <v/>
      </c>
      <c r="OW22" s="4">
        <f>IFERROR((OQ22/OP22),0)</f>
        <v/>
      </c>
      <c r="OX22" s="4">
        <f>IFERROR(((0+OO11+OO12+OO13+OO14+OO15+OO16+OO17+OO19+OO20+OO21+OO22)/T2),0)</f>
        <v/>
      </c>
      <c r="OY22" s="5">
        <f>IFERROR(ROUND(OO22/OQ22,2),0)</f>
        <v/>
      </c>
      <c r="OZ22" s="5">
        <f>IFERROR(ROUND(OO22/OR22,2),0)</f>
        <v/>
      </c>
      <c r="PA22" s="2" t="inlineStr">
        <is>
          <t>2023-09-30</t>
        </is>
      </c>
      <c r="PB22" s="5">
        <f>ROUND(1.09,2)</f>
        <v/>
      </c>
      <c r="PC22" s="3">
        <f>ROUND(1653.0,2)</f>
        <v/>
      </c>
      <c r="PD22" s="3">
        <f>ROUND(109.0,2)</f>
        <v/>
      </c>
      <c r="PE22" s="3">
        <f>ROUND(0.0,2)</f>
        <v/>
      </c>
      <c r="PF22" s="3">
        <f>ROUND(0.0,2)</f>
        <v/>
      </c>
      <c r="PG22" s="3">
        <f>ROUND(0.0,2)</f>
        <v/>
      </c>
      <c r="PH22" s="3">
        <f>ROUND(0.0,2)</f>
        <v/>
      </c>
      <c r="PI22" s="3">
        <f>ROUND(0.0,2)</f>
        <v/>
      </c>
      <c r="PJ22" s="4">
        <f>IFERROR((PD22/PC22),0)</f>
        <v/>
      </c>
      <c r="PK22" s="4">
        <f>IFERROR(((0+PB11+PB12+PB13+PB14+PB15+PB16+PB17+PB19+PB20+PB21+PB22)/T2),0)</f>
        <v/>
      </c>
      <c r="PL22" s="5">
        <f>IFERROR(ROUND(PB22/PD22,2),0)</f>
        <v/>
      </c>
      <c r="PM22" s="5">
        <f>IFERROR(ROUND(PB22/PE22,2),0)</f>
        <v/>
      </c>
      <c r="PN22" s="2" t="inlineStr">
        <is>
          <t>2023-09-30</t>
        </is>
      </c>
      <c r="PO22" s="5">
        <f>ROUND(0.01,2)</f>
        <v/>
      </c>
      <c r="PP22" s="3">
        <f>ROUND(28.0,2)</f>
        <v/>
      </c>
      <c r="PQ22" s="3">
        <f>ROUND(1.0,2)</f>
        <v/>
      </c>
      <c r="PR22" s="3">
        <f>ROUND(0.0,2)</f>
        <v/>
      </c>
      <c r="PS22" s="3">
        <f>ROUND(0.0,2)</f>
        <v/>
      </c>
      <c r="PT22" s="3">
        <f>ROUND(0.0,2)</f>
        <v/>
      </c>
      <c r="PU22" s="3">
        <f>ROUND(0.0,2)</f>
        <v/>
      </c>
      <c r="PV22" s="3">
        <f>ROUND(0.0,2)</f>
        <v/>
      </c>
      <c r="PW22" s="4">
        <f>IFERROR((PQ22/PP22),0)</f>
        <v/>
      </c>
      <c r="PX22" s="4">
        <f>IFERROR(((0+PO11+PO12+PO13+PO14+PO15+PO16+PO17+PO19+PO20+PO21+PO22)/T2),0)</f>
        <v/>
      </c>
      <c r="PY22" s="5">
        <f>IFERROR(ROUND(PO22/PQ22,2),0)</f>
        <v/>
      </c>
      <c r="PZ22" s="5">
        <f>IFERROR(ROUND(PO22/PR22,2),0)</f>
        <v/>
      </c>
      <c r="QA22" s="2" t="inlineStr">
        <is>
          <t>2023-09-30</t>
        </is>
      </c>
      <c r="QB22" s="5">
        <f>ROUND(0.0,2)</f>
        <v/>
      </c>
      <c r="QC22" s="3">
        <f>ROUND(38.0,2)</f>
        <v/>
      </c>
      <c r="QD22" s="3">
        <f>ROUND(0.0,2)</f>
        <v/>
      </c>
      <c r="QE22" s="3">
        <f>ROUND(0.0,2)</f>
        <v/>
      </c>
      <c r="QF22" s="3">
        <f>ROUND(0.0,2)</f>
        <v/>
      </c>
      <c r="QG22" s="3">
        <f>ROUND(0.0,2)</f>
        <v/>
      </c>
      <c r="QH22" s="3">
        <f>ROUND(0.0,2)</f>
        <v/>
      </c>
      <c r="QI22" s="3">
        <f>ROUND(0.0,2)</f>
        <v/>
      </c>
      <c r="QJ22" s="4">
        <f>IFERROR((QD22/QC22),0)</f>
        <v/>
      </c>
      <c r="QK22" s="4">
        <f>IFERROR(((0+QB11+QB12+QB13+QB14+QB15+QB16+QB17+QB19+QB20+QB21+QB22)/T2),0)</f>
        <v/>
      </c>
      <c r="QL22" s="5">
        <f>IFERROR(ROUND(QB22/QD22,2),0)</f>
        <v/>
      </c>
      <c r="QM22" s="5">
        <f>IFERROR(ROUND(QB22/QE22,2),0)</f>
        <v/>
      </c>
      <c r="QN22" s="2" t="inlineStr">
        <is>
          <t>2023-09-30</t>
        </is>
      </c>
      <c r="QO22" s="5">
        <f>ROUND(0.09,2)</f>
        <v/>
      </c>
      <c r="QP22" s="3">
        <f>ROUND(154.0,2)</f>
        <v/>
      </c>
      <c r="QQ22" s="3">
        <f>ROUND(9.0,2)</f>
        <v/>
      </c>
      <c r="QR22" s="3">
        <f>ROUND(0.0,2)</f>
        <v/>
      </c>
      <c r="QS22" s="3">
        <f>ROUND(0.0,2)</f>
        <v/>
      </c>
      <c r="QT22" s="3">
        <f>ROUND(0.0,2)</f>
        <v/>
      </c>
      <c r="QU22" s="3">
        <f>ROUND(0.0,2)</f>
        <v/>
      </c>
      <c r="QV22" s="3">
        <f>ROUND(0.0,2)</f>
        <v/>
      </c>
      <c r="QW22" s="4">
        <f>IFERROR((QQ22/QP22),0)</f>
        <v/>
      </c>
      <c r="QX22" s="4">
        <f>IFERROR(((0+QO11+QO12+QO13+QO14+QO15+QO16+QO17+QO19+QO20+QO21+QO22)/T2),0)</f>
        <v/>
      </c>
      <c r="QY22" s="5">
        <f>IFERROR(ROUND(QO22/QQ22,2),0)</f>
        <v/>
      </c>
      <c r="QZ22" s="5">
        <f>IFERROR(ROUND(QO22/QR22,2),0)</f>
        <v/>
      </c>
      <c r="RA22" s="2" t="inlineStr">
        <is>
          <t>2023-09-30</t>
        </is>
      </c>
      <c r="RB22" s="5">
        <f>ROUND(1.1400000000000001,2)</f>
        <v/>
      </c>
      <c r="RC22" s="3">
        <f>ROUND(1856.0,2)</f>
        <v/>
      </c>
      <c r="RD22" s="3">
        <f>ROUND(114.0,2)</f>
        <v/>
      </c>
      <c r="RE22" s="3">
        <f>ROUND(0.0,2)</f>
        <v/>
      </c>
      <c r="RF22" s="3">
        <f>ROUND(0.0,2)</f>
        <v/>
      </c>
      <c r="RG22" s="3">
        <f>ROUND(0.0,2)</f>
        <v/>
      </c>
      <c r="RH22" s="3">
        <f>ROUND(0.0,2)</f>
        <v/>
      </c>
      <c r="RI22" s="3">
        <f>ROUND(0.0,2)</f>
        <v/>
      </c>
      <c r="RJ22" s="4">
        <f>IFERROR((RD22/RC22),0)</f>
        <v/>
      </c>
      <c r="RK22" s="4">
        <f>IFERROR(((0+RB11+RB12+RB13+RB14+RB15+RB16+RB17+RB19+RB20+RB21+RB22)/T2),0)</f>
        <v/>
      </c>
      <c r="RL22" s="5">
        <f>IFERROR(ROUND(RB22/RD22,2),0)</f>
        <v/>
      </c>
      <c r="RM22" s="5">
        <f>IFERROR(ROUND(RB22/RE22,2),0)</f>
        <v/>
      </c>
      <c r="RN22" s="2" t="inlineStr">
        <is>
          <t>2023-09-30</t>
        </is>
      </c>
      <c r="RO22" s="5">
        <f>ROUND(0.28,2)</f>
        <v/>
      </c>
      <c r="RP22" s="3">
        <f>ROUND(515.0,2)</f>
        <v/>
      </c>
      <c r="RQ22" s="3">
        <f>ROUND(28.0,2)</f>
        <v/>
      </c>
      <c r="RR22" s="3">
        <f>ROUND(0.0,2)</f>
        <v/>
      </c>
      <c r="RS22" s="3">
        <f>ROUND(0.0,2)</f>
        <v/>
      </c>
      <c r="RT22" s="3">
        <f>ROUND(0.0,2)</f>
        <v/>
      </c>
      <c r="RU22" s="3">
        <f>ROUND(0.0,2)</f>
        <v/>
      </c>
      <c r="RV22" s="3">
        <f>ROUND(0.0,2)</f>
        <v/>
      </c>
      <c r="RW22" s="4">
        <f>IFERROR((RQ22/RP22),0)</f>
        <v/>
      </c>
      <c r="RX22" s="4">
        <f>IFERROR(((0+RO11+RO12+RO13+RO14+RO15+RO16+RO17+RO19+RO20+RO21+RO22)/T2),0)</f>
        <v/>
      </c>
      <c r="RY22" s="5">
        <f>IFERROR(ROUND(RO22/RQ22,2),0)</f>
        <v/>
      </c>
      <c r="RZ22" s="5">
        <f>IFERROR(ROUND(RO22/RR22,2),0)</f>
        <v/>
      </c>
      <c r="SA22" s="2" t="inlineStr">
        <is>
          <t>2023-09-30</t>
        </is>
      </c>
      <c r="SB22" s="5">
        <f>ROUND(0.9400000000000001,2)</f>
        <v/>
      </c>
      <c r="SC22" s="3">
        <f>ROUND(4469.0,2)</f>
        <v/>
      </c>
      <c r="SD22" s="3">
        <f>ROUND(94.0,2)</f>
        <v/>
      </c>
      <c r="SE22" s="3">
        <f>ROUND(0.0,2)</f>
        <v/>
      </c>
      <c r="SF22" s="3">
        <f>ROUND(0.0,2)</f>
        <v/>
      </c>
      <c r="SG22" s="3">
        <f>ROUND(0.0,2)</f>
        <v/>
      </c>
      <c r="SH22" s="3">
        <f>ROUND(0.0,2)</f>
        <v/>
      </c>
      <c r="SI22" s="3">
        <f>ROUND(0.0,2)</f>
        <v/>
      </c>
      <c r="SJ22" s="4">
        <f>IFERROR((SD22/SC22),0)</f>
        <v/>
      </c>
      <c r="SK22" s="4">
        <f>IFERROR(((0+SB11+SB12+SB13+SB14+SB15+SB16+SB17+SB19+SB20+SB21+SB22)/T2),0)</f>
        <v/>
      </c>
      <c r="SL22" s="5">
        <f>IFERROR(ROUND(SB22/SD22,2),0)</f>
        <v/>
      </c>
      <c r="SM22" s="5">
        <f>IFERROR(ROUND(SB22/SE22,2),0)</f>
        <v/>
      </c>
      <c r="SN22" s="2" t="inlineStr">
        <is>
          <t>2023-09-30</t>
        </is>
      </c>
      <c r="SO22" s="5">
        <f>ROUND(0.41000000000000003,2)</f>
        <v/>
      </c>
      <c r="SP22" s="3">
        <f>ROUND(2240.0,2)</f>
        <v/>
      </c>
      <c r="SQ22" s="3">
        <f>ROUND(41.0,2)</f>
        <v/>
      </c>
      <c r="SR22" s="3">
        <f>ROUND(0.0,2)</f>
        <v/>
      </c>
      <c r="SS22" s="3">
        <f>ROUND(0.0,2)</f>
        <v/>
      </c>
      <c r="ST22" s="3">
        <f>ROUND(0.0,2)</f>
        <v/>
      </c>
      <c r="SU22" s="3">
        <f>ROUND(0.0,2)</f>
        <v/>
      </c>
      <c r="SV22" s="3">
        <f>ROUND(0.0,2)</f>
        <v/>
      </c>
      <c r="SW22" s="4">
        <f>IFERROR((SQ22/SP22),0)</f>
        <v/>
      </c>
      <c r="SX22" s="4">
        <f>IFERROR(((0+SO11+SO12+SO13+SO14+SO15+SO16+SO17+SO19+SO20+SO21+SO22)/T2),0)</f>
        <v/>
      </c>
      <c r="SY22" s="5">
        <f>IFERROR(ROUND(SO22/SQ22,2),0)</f>
        <v/>
      </c>
      <c r="SZ22" s="5">
        <f>IFERROR(ROUND(SO22/SR22,2),0)</f>
        <v/>
      </c>
    </row>
    <row r="23">
      <c r="A23" s="2" t="inlineStr">
        <is>
          <t>2023-10-01</t>
        </is>
      </c>
      <c r="B23" s="5">
        <f>ROUND(0.0,2)</f>
        <v/>
      </c>
      <c r="C23" s="3">
        <f>ROUND(0.0,2)</f>
        <v/>
      </c>
      <c r="D23" s="3">
        <f>ROUND(0.0,2)</f>
        <v/>
      </c>
      <c r="E23" s="3">
        <f>ROUND(0.0,2)</f>
        <v/>
      </c>
      <c r="F23" s="3">
        <f>ROUND(0.0,2)</f>
        <v/>
      </c>
      <c r="G23" s="3">
        <f>ROUND(0.0,2)</f>
        <v/>
      </c>
      <c r="H23" s="3">
        <f>ROUND(0.0,2)</f>
        <v/>
      </c>
      <c r="I23" s="3">
        <f>ROUND(0.0,2)</f>
        <v/>
      </c>
      <c r="J23" s="4">
        <f>IFERROR((D23/C23),0)</f>
        <v/>
      </c>
      <c r="K23" s="4">
        <f>IFERROR(((0+B11+B12+B13+B14+B15+B16+B17+B19+B20+B21+B22+B23)/T2),0)</f>
        <v/>
      </c>
      <c r="L23" s="5">
        <f>IFERROR(ROUND(B23/D23,2),0)</f>
        <v/>
      </c>
      <c r="M23" s="5">
        <f>IFERROR(ROUND(B23/E23,2),0)</f>
        <v/>
      </c>
      <c r="N23" s="2" t="inlineStr">
        <is>
          <t>2023-10-01</t>
        </is>
      </c>
      <c r="O23" s="5">
        <f>ROUND(0.0,2)</f>
        <v/>
      </c>
      <c r="P23" s="3">
        <f>ROUND(0.0,2)</f>
        <v/>
      </c>
      <c r="Q23" s="3">
        <f>ROUND(0.0,2)</f>
        <v/>
      </c>
      <c r="R23" s="3">
        <f>ROUND(0.0,2)</f>
        <v/>
      </c>
      <c r="S23" s="3">
        <f>ROUND(0.0,2)</f>
        <v/>
      </c>
      <c r="T23" s="3">
        <f>ROUND(0.0,2)</f>
        <v/>
      </c>
      <c r="U23" s="3">
        <f>ROUND(0.0,2)</f>
        <v/>
      </c>
      <c r="V23" s="3">
        <f>ROUND(0.0,2)</f>
        <v/>
      </c>
      <c r="W23" s="4">
        <f>IFERROR((Q23/P23),0)</f>
        <v/>
      </c>
      <c r="X23" s="4">
        <f>IFERROR(((0+O11+O12+O13+O14+O15+O16+O17+O19+O20+O21+O22+O23)/T2),0)</f>
        <v/>
      </c>
      <c r="Y23" s="5">
        <f>IFERROR(ROUND(O23/Q23,2),0)</f>
        <v/>
      </c>
      <c r="Z23" s="5">
        <f>IFERROR(ROUND(O23/R23,2),0)</f>
        <v/>
      </c>
      <c r="AA23" s="2" t="inlineStr">
        <is>
          <t>2023-10-01</t>
        </is>
      </c>
      <c r="AB23" s="5">
        <f>ROUND(0.0,2)</f>
        <v/>
      </c>
      <c r="AC23" s="3">
        <f>ROUND(0.0,2)</f>
        <v/>
      </c>
      <c r="AD23" s="3">
        <f>ROUND(0.0,2)</f>
        <v/>
      </c>
      <c r="AE23" s="3">
        <f>ROUND(0.0,2)</f>
        <v/>
      </c>
      <c r="AF23" s="3">
        <f>ROUND(0.0,2)</f>
        <v/>
      </c>
      <c r="AG23" s="3">
        <f>ROUND(0.0,2)</f>
        <v/>
      </c>
      <c r="AH23" s="3">
        <f>ROUND(0.0,2)</f>
        <v/>
      </c>
      <c r="AI23" s="3">
        <f>ROUND(0.0,2)</f>
        <v/>
      </c>
      <c r="AJ23" s="4">
        <f>IFERROR((AD23/AC23),0)</f>
        <v/>
      </c>
      <c r="AK23" s="4">
        <f>IFERROR(((0+AB11+AB12+AB13+AB14+AB15+AB16+AB17+AB19+AB20+AB21+AB22+AB23)/T2),0)</f>
        <v/>
      </c>
      <c r="AL23" s="5">
        <f>IFERROR(ROUND(AB23/AD23,2),0)</f>
        <v/>
      </c>
      <c r="AM23" s="5">
        <f>IFERROR(ROUND(AB23/AE23,2),0)</f>
        <v/>
      </c>
      <c r="AN23" s="2" t="inlineStr">
        <is>
          <t>2023-10-01</t>
        </is>
      </c>
      <c r="AO23" s="5">
        <f>ROUND(0.0,2)</f>
        <v/>
      </c>
      <c r="AP23" s="3">
        <f>ROUND(0.0,2)</f>
        <v/>
      </c>
      <c r="AQ23" s="3">
        <f>ROUND(0.0,2)</f>
        <v/>
      </c>
      <c r="AR23" s="3">
        <f>ROUND(0.0,2)</f>
        <v/>
      </c>
      <c r="AS23" s="3">
        <f>ROUND(0.0,2)</f>
        <v/>
      </c>
      <c r="AT23" s="3">
        <f>ROUND(0.0,2)</f>
        <v/>
      </c>
      <c r="AU23" s="3">
        <f>ROUND(0.0,2)</f>
        <v/>
      </c>
      <c r="AV23" s="3">
        <f>ROUND(0.0,2)</f>
        <v/>
      </c>
      <c r="AW23" s="4">
        <f>IFERROR((AQ23/AP23),0)</f>
        <v/>
      </c>
      <c r="AX23" s="4">
        <f>IFERROR(((0+AO11+AO12+AO13+AO14+AO15+AO16+AO17+AO19+AO20+AO21+AO22+AO23)/T2),0)</f>
        <v/>
      </c>
      <c r="AY23" s="5">
        <f>IFERROR(ROUND(AO23/AQ23,2),0)</f>
        <v/>
      </c>
      <c r="AZ23" s="5">
        <f>IFERROR(ROUND(AO23/AR23,2),0)</f>
        <v/>
      </c>
      <c r="BA23" s="2" t="inlineStr">
        <is>
          <t>2023-10-01</t>
        </is>
      </c>
      <c r="BB23" s="5">
        <f>ROUND(0.0,2)</f>
        <v/>
      </c>
      <c r="BC23" s="3">
        <f>ROUND(0.0,2)</f>
        <v/>
      </c>
      <c r="BD23" s="3">
        <f>ROUND(0.0,2)</f>
        <v/>
      </c>
      <c r="BE23" s="3">
        <f>ROUND(0.0,2)</f>
        <v/>
      </c>
      <c r="BF23" s="3">
        <f>ROUND(0.0,2)</f>
        <v/>
      </c>
      <c r="BG23" s="3">
        <f>ROUND(0.0,2)</f>
        <v/>
      </c>
      <c r="BH23" s="3">
        <f>ROUND(0.0,2)</f>
        <v/>
      </c>
      <c r="BI23" s="3">
        <f>ROUND(0.0,2)</f>
        <v/>
      </c>
      <c r="BJ23" s="4">
        <f>IFERROR((BD23/BC23),0)</f>
        <v/>
      </c>
      <c r="BK23" s="4">
        <f>IFERROR(((0+BB11+BB12+BB13+BB14+BB15+BB16+BB17+BB19+BB20+BB21+BB22+BB23)/T2),0)</f>
        <v/>
      </c>
      <c r="BL23" s="5">
        <f>IFERROR(ROUND(BB23/BD23,2),0)</f>
        <v/>
      </c>
      <c r="BM23" s="5">
        <f>IFERROR(ROUND(BB23/BE23,2),0)</f>
        <v/>
      </c>
      <c r="BN23" s="2" t="inlineStr">
        <is>
          <t>2023-10-01</t>
        </is>
      </c>
      <c r="BO23" s="5">
        <f>ROUND(0.0,2)</f>
        <v/>
      </c>
      <c r="BP23" s="3">
        <f>ROUND(0.0,2)</f>
        <v/>
      </c>
      <c r="BQ23" s="3">
        <f>ROUND(0.0,2)</f>
        <v/>
      </c>
      <c r="BR23" s="3">
        <f>ROUND(0.0,2)</f>
        <v/>
      </c>
      <c r="BS23" s="3">
        <f>ROUND(0.0,2)</f>
        <v/>
      </c>
      <c r="BT23" s="3">
        <f>ROUND(0.0,2)</f>
        <v/>
      </c>
      <c r="BU23" s="3">
        <f>ROUND(0.0,2)</f>
        <v/>
      </c>
      <c r="BV23" s="3">
        <f>ROUND(0.0,2)</f>
        <v/>
      </c>
      <c r="BW23" s="4">
        <f>IFERROR((BQ23/BP23),0)</f>
        <v/>
      </c>
      <c r="BX23" s="4">
        <f>IFERROR(((0+BO11+BO12+BO13+BO14+BO15+BO16+BO17+BO19+BO20+BO21+BO22+BO23)/T2),0)</f>
        <v/>
      </c>
      <c r="BY23" s="5">
        <f>IFERROR(ROUND(BO23/BQ23,2),0)</f>
        <v/>
      </c>
      <c r="BZ23" s="5">
        <f>IFERROR(ROUND(BO23/BR23,2),0)</f>
        <v/>
      </c>
      <c r="CA23" s="2" t="inlineStr">
        <is>
          <t>2023-10-01</t>
        </is>
      </c>
      <c r="CB23" s="5">
        <f>ROUND(0.0,2)</f>
        <v/>
      </c>
      <c r="CC23" s="3">
        <f>ROUND(0.0,2)</f>
        <v/>
      </c>
      <c r="CD23" s="3">
        <f>ROUND(0.0,2)</f>
        <v/>
      </c>
      <c r="CE23" s="3">
        <f>ROUND(0.0,2)</f>
        <v/>
      </c>
      <c r="CF23" s="3">
        <f>ROUND(0.0,2)</f>
        <v/>
      </c>
      <c r="CG23" s="3">
        <f>ROUND(0.0,2)</f>
        <v/>
      </c>
      <c r="CH23" s="3">
        <f>ROUND(0.0,2)</f>
        <v/>
      </c>
      <c r="CI23" s="3">
        <f>ROUND(0.0,2)</f>
        <v/>
      </c>
      <c r="CJ23" s="4">
        <f>IFERROR((CD23/CC23),0)</f>
        <v/>
      </c>
      <c r="CK23" s="4">
        <f>IFERROR(((0+CB11+CB12+CB13+CB14+CB15+CB16+CB17+CB19+CB20+CB21+CB22+CB23)/T2),0)</f>
        <v/>
      </c>
      <c r="CL23" s="5">
        <f>IFERROR(ROUND(CB23/CD23,2),0)</f>
        <v/>
      </c>
      <c r="CM23" s="5">
        <f>IFERROR(ROUND(CB23/CE23,2),0)</f>
        <v/>
      </c>
      <c r="CN23" s="2" t="inlineStr">
        <is>
          <t>2023-10-01</t>
        </is>
      </c>
      <c r="CO23" s="5">
        <f>ROUND(0.0,2)</f>
        <v/>
      </c>
      <c r="CP23" s="3">
        <f>ROUND(0.0,2)</f>
        <v/>
      </c>
      <c r="CQ23" s="3">
        <f>ROUND(0.0,2)</f>
        <v/>
      </c>
      <c r="CR23" s="3">
        <f>ROUND(0.0,2)</f>
        <v/>
      </c>
      <c r="CS23" s="3">
        <f>ROUND(0.0,2)</f>
        <v/>
      </c>
      <c r="CT23" s="3">
        <f>ROUND(0.0,2)</f>
        <v/>
      </c>
      <c r="CU23" s="3">
        <f>ROUND(0.0,2)</f>
        <v/>
      </c>
      <c r="CV23" s="3">
        <f>ROUND(0.0,2)</f>
        <v/>
      </c>
      <c r="CW23" s="4">
        <f>IFERROR((CQ23/CP23),0)</f>
        <v/>
      </c>
      <c r="CX23" s="4">
        <f>IFERROR(((0+CO11+CO12+CO13+CO14+CO15+CO16+CO17+CO19+CO20+CO21+CO22+CO23)/T2),0)</f>
        <v/>
      </c>
      <c r="CY23" s="5">
        <f>IFERROR(ROUND(CO23/CQ23,2),0)</f>
        <v/>
      </c>
      <c r="CZ23" s="5">
        <f>IFERROR(ROUND(CO23/CR23,2),0)</f>
        <v/>
      </c>
      <c r="DA23" s="2" t="inlineStr">
        <is>
          <t>2023-10-01</t>
        </is>
      </c>
      <c r="DB23" s="5">
        <f>ROUND(0.0,2)</f>
        <v/>
      </c>
      <c r="DC23" s="3">
        <f>ROUND(0.0,2)</f>
        <v/>
      </c>
      <c r="DD23" s="3">
        <f>ROUND(0.0,2)</f>
        <v/>
      </c>
      <c r="DE23" s="3">
        <f>ROUND(0.0,2)</f>
        <v/>
      </c>
      <c r="DF23" s="3">
        <f>ROUND(0.0,2)</f>
        <v/>
      </c>
      <c r="DG23" s="3">
        <f>ROUND(0.0,2)</f>
        <v/>
      </c>
      <c r="DH23" s="3">
        <f>ROUND(0.0,2)</f>
        <v/>
      </c>
      <c r="DI23" s="3">
        <f>ROUND(0.0,2)</f>
        <v/>
      </c>
      <c r="DJ23" s="4">
        <f>IFERROR((DD23/DC23),0)</f>
        <v/>
      </c>
      <c r="DK23" s="4">
        <f>IFERROR(((0+DB11+DB12+DB13+DB14+DB15+DB16+DB17+DB19+DB20+DB21+DB22+DB23)/T2),0)</f>
        <v/>
      </c>
      <c r="DL23" s="5">
        <f>IFERROR(ROUND(DB23/DD23,2),0)</f>
        <v/>
      </c>
      <c r="DM23" s="5">
        <f>IFERROR(ROUND(DB23/DE23,2),0)</f>
        <v/>
      </c>
      <c r="DN23" s="2" t="inlineStr">
        <is>
          <t>2023-10-01</t>
        </is>
      </c>
      <c r="DO23" s="5">
        <f>ROUND(0.0,2)</f>
        <v/>
      </c>
      <c r="DP23" s="3">
        <f>ROUND(0.0,2)</f>
        <v/>
      </c>
      <c r="DQ23" s="3">
        <f>ROUND(0.0,2)</f>
        <v/>
      </c>
      <c r="DR23" s="3">
        <f>ROUND(0.0,2)</f>
        <v/>
      </c>
      <c r="DS23" s="3">
        <f>ROUND(0.0,2)</f>
        <v/>
      </c>
      <c r="DT23" s="3">
        <f>ROUND(0.0,2)</f>
        <v/>
      </c>
      <c r="DU23" s="3">
        <f>ROUND(0.0,2)</f>
        <v/>
      </c>
      <c r="DV23" s="3">
        <f>ROUND(0.0,2)</f>
        <v/>
      </c>
      <c r="DW23" s="4">
        <f>IFERROR((DQ23/DP23),0)</f>
        <v/>
      </c>
      <c r="DX23" s="4">
        <f>IFERROR(((0+DO11+DO12+DO13+DO14+DO15+DO16+DO17+DO19+DO20+DO21+DO22+DO23)/T2),0)</f>
        <v/>
      </c>
      <c r="DY23" s="5">
        <f>IFERROR(ROUND(DO23/DQ23,2),0)</f>
        <v/>
      </c>
      <c r="DZ23" s="5">
        <f>IFERROR(ROUND(DO23/DR23,2),0)</f>
        <v/>
      </c>
      <c r="EA23" s="2" t="inlineStr">
        <is>
          <t>2023-10-01</t>
        </is>
      </c>
      <c r="EB23" s="5">
        <f>ROUND(0.0,2)</f>
        <v/>
      </c>
      <c r="EC23" s="3">
        <f>ROUND(0.0,2)</f>
        <v/>
      </c>
      <c r="ED23" s="3">
        <f>ROUND(0.0,2)</f>
        <v/>
      </c>
      <c r="EE23" s="3">
        <f>ROUND(0.0,2)</f>
        <v/>
      </c>
      <c r="EF23" s="3">
        <f>ROUND(0.0,2)</f>
        <v/>
      </c>
      <c r="EG23" s="3">
        <f>ROUND(0.0,2)</f>
        <v/>
      </c>
      <c r="EH23" s="3">
        <f>ROUND(0.0,2)</f>
        <v/>
      </c>
      <c r="EI23" s="3">
        <f>ROUND(0.0,2)</f>
        <v/>
      </c>
      <c r="EJ23" s="4">
        <f>IFERROR((ED23/EC23),0)</f>
        <v/>
      </c>
      <c r="EK23" s="4">
        <f>IFERROR(((0+EB11+EB12+EB13+EB14+EB15+EB16+EB17+EB19+EB20+EB21+EB22+EB23)/T2),0)</f>
        <v/>
      </c>
      <c r="EL23" s="5">
        <f>IFERROR(ROUND(EB23/ED23,2),0)</f>
        <v/>
      </c>
      <c r="EM23" s="5">
        <f>IFERROR(ROUND(EB23/EE23,2),0)</f>
        <v/>
      </c>
      <c r="EN23" s="2" t="inlineStr">
        <is>
          <t>2023-10-01</t>
        </is>
      </c>
      <c r="EO23" s="5">
        <f>ROUND(0.0,2)</f>
        <v/>
      </c>
      <c r="EP23" s="3">
        <f>ROUND(0.0,2)</f>
        <v/>
      </c>
      <c r="EQ23" s="3">
        <f>ROUND(0.0,2)</f>
        <v/>
      </c>
      <c r="ER23" s="3">
        <f>ROUND(0.0,2)</f>
        <v/>
      </c>
      <c r="ES23" s="3">
        <f>ROUND(0.0,2)</f>
        <v/>
      </c>
      <c r="ET23" s="3">
        <f>ROUND(0.0,2)</f>
        <v/>
      </c>
      <c r="EU23" s="3">
        <f>ROUND(0.0,2)</f>
        <v/>
      </c>
      <c r="EV23" s="3">
        <f>ROUND(0.0,2)</f>
        <v/>
      </c>
      <c r="EW23" s="4">
        <f>IFERROR((EQ23/EP23),0)</f>
        <v/>
      </c>
      <c r="EX23" s="4">
        <f>IFERROR(((0+EO11+EO12+EO13+EO14+EO15+EO16+EO17+EO19+EO20+EO21+EO22+EO23)/T2),0)</f>
        <v/>
      </c>
      <c r="EY23" s="5">
        <f>IFERROR(ROUND(EO23/EQ23,2),0)</f>
        <v/>
      </c>
      <c r="EZ23" s="5">
        <f>IFERROR(ROUND(EO23/ER23,2),0)</f>
        <v/>
      </c>
      <c r="FA23" s="2" t="inlineStr">
        <is>
          <t>2023-10-01</t>
        </is>
      </c>
      <c r="FB23" s="5">
        <f>ROUND(0.0,2)</f>
        <v/>
      </c>
      <c r="FC23" s="3">
        <f>ROUND(0.0,2)</f>
        <v/>
      </c>
      <c r="FD23" s="3">
        <f>ROUND(0.0,2)</f>
        <v/>
      </c>
      <c r="FE23" s="3">
        <f>ROUND(0.0,2)</f>
        <v/>
      </c>
      <c r="FF23" s="3">
        <f>ROUND(0.0,2)</f>
        <v/>
      </c>
      <c r="FG23" s="3">
        <f>ROUND(0.0,2)</f>
        <v/>
      </c>
      <c r="FH23" s="3">
        <f>ROUND(0.0,2)</f>
        <v/>
      </c>
      <c r="FI23" s="3">
        <f>ROUND(0.0,2)</f>
        <v/>
      </c>
      <c r="FJ23" s="4">
        <f>IFERROR((FD23/FC23),0)</f>
        <v/>
      </c>
      <c r="FK23" s="4">
        <f>IFERROR(((0+FB11+FB12+FB13+FB14+FB15+FB16+FB17+FB19+FB20+FB21+FB22+FB23)/T2),0)</f>
        <v/>
      </c>
      <c r="FL23" s="5">
        <f>IFERROR(ROUND(FB23/FD23,2),0)</f>
        <v/>
      </c>
      <c r="FM23" s="5">
        <f>IFERROR(ROUND(FB23/FE23,2),0)</f>
        <v/>
      </c>
      <c r="FN23" s="2" t="inlineStr">
        <is>
          <t>2023-10-01</t>
        </is>
      </c>
      <c r="FO23" s="5">
        <f>ROUND(0.0,2)</f>
        <v/>
      </c>
      <c r="FP23" s="3">
        <f>ROUND(0.0,2)</f>
        <v/>
      </c>
      <c r="FQ23" s="3">
        <f>ROUND(0.0,2)</f>
        <v/>
      </c>
      <c r="FR23" s="3">
        <f>ROUND(0.0,2)</f>
        <v/>
      </c>
      <c r="FS23" s="3">
        <f>ROUND(0.0,2)</f>
        <v/>
      </c>
      <c r="FT23" s="3">
        <f>ROUND(0.0,2)</f>
        <v/>
      </c>
      <c r="FU23" s="3">
        <f>ROUND(0.0,2)</f>
        <v/>
      </c>
      <c r="FV23" s="3">
        <f>ROUND(0.0,2)</f>
        <v/>
      </c>
      <c r="FW23" s="4">
        <f>IFERROR((FQ23/FP23),0)</f>
        <v/>
      </c>
      <c r="FX23" s="4">
        <f>IFERROR(((0+FO11+FO12+FO13+FO14+FO15+FO16+FO17+FO19+FO20+FO21+FO22+FO23)/T2),0)</f>
        <v/>
      </c>
      <c r="FY23" s="5">
        <f>IFERROR(ROUND(FO23/FQ23,2),0)</f>
        <v/>
      </c>
      <c r="FZ23" s="5">
        <f>IFERROR(ROUND(FO23/FR23,2),0)</f>
        <v/>
      </c>
      <c r="GA23" s="2" t="inlineStr">
        <is>
          <t>2023-10-01</t>
        </is>
      </c>
      <c r="GB23" s="5">
        <f>ROUND(0.0,2)</f>
        <v/>
      </c>
      <c r="GC23" s="3">
        <f>ROUND(0.0,2)</f>
        <v/>
      </c>
      <c r="GD23" s="3">
        <f>ROUND(0.0,2)</f>
        <v/>
      </c>
      <c r="GE23" s="3">
        <f>ROUND(0.0,2)</f>
        <v/>
      </c>
      <c r="GF23" s="3">
        <f>ROUND(0.0,2)</f>
        <v/>
      </c>
      <c r="GG23" s="3">
        <f>ROUND(0.0,2)</f>
        <v/>
      </c>
      <c r="GH23" s="3">
        <f>ROUND(0.0,2)</f>
        <v/>
      </c>
      <c r="GI23" s="3">
        <f>ROUND(0.0,2)</f>
        <v/>
      </c>
      <c r="GJ23" s="4">
        <f>IFERROR((GD23/GC23),0)</f>
        <v/>
      </c>
      <c r="GK23" s="4">
        <f>IFERROR(((0+GB11+GB12+GB13+GB14+GB15+GB16+GB17+GB19+GB20+GB21+GB22+GB23)/T2),0)</f>
        <v/>
      </c>
      <c r="GL23" s="5">
        <f>IFERROR(ROUND(GB23/GD23,2),0)</f>
        <v/>
      </c>
      <c r="GM23" s="5">
        <f>IFERROR(ROUND(GB23/GE23,2),0)</f>
        <v/>
      </c>
      <c r="GN23" s="2" t="inlineStr">
        <is>
          <t>2023-10-01</t>
        </is>
      </c>
      <c r="GO23" s="5">
        <f>ROUND(0.0,2)</f>
        <v/>
      </c>
      <c r="GP23" s="3">
        <f>ROUND(0.0,2)</f>
        <v/>
      </c>
      <c r="GQ23" s="3">
        <f>ROUND(0.0,2)</f>
        <v/>
      </c>
      <c r="GR23" s="3">
        <f>ROUND(0.0,2)</f>
        <v/>
      </c>
      <c r="GS23" s="3">
        <f>ROUND(0.0,2)</f>
        <v/>
      </c>
      <c r="GT23" s="3">
        <f>ROUND(0.0,2)</f>
        <v/>
      </c>
      <c r="GU23" s="3">
        <f>ROUND(0.0,2)</f>
        <v/>
      </c>
      <c r="GV23" s="3">
        <f>ROUND(0.0,2)</f>
        <v/>
      </c>
      <c r="GW23" s="4">
        <f>IFERROR((GQ23/GP23),0)</f>
        <v/>
      </c>
      <c r="GX23" s="4">
        <f>IFERROR(((0+GO11+GO12+GO13+GO14+GO15+GO16+GO17+GO19+GO20+GO21+GO22+GO23)/T2),0)</f>
        <v/>
      </c>
      <c r="GY23" s="5">
        <f>IFERROR(ROUND(GO23/GQ23,2),0)</f>
        <v/>
      </c>
      <c r="GZ23" s="5">
        <f>IFERROR(ROUND(GO23/GR23,2),0)</f>
        <v/>
      </c>
      <c r="HA23" s="2" t="inlineStr">
        <is>
          <t>2023-10-01</t>
        </is>
      </c>
      <c r="HB23" s="5">
        <f>ROUND(0.0,2)</f>
        <v/>
      </c>
      <c r="HC23" s="3">
        <f>ROUND(0.0,2)</f>
        <v/>
      </c>
      <c r="HD23" s="3">
        <f>ROUND(0.0,2)</f>
        <v/>
      </c>
      <c r="HE23" s="3">
        <f>ROUND(0.0,2)</f>
        <v/>
      </c>
      <c r="HF23" s="3">
        <f>ROUND(0.0,2)</f>
        <v/>
      </c>
      <c r="HG23" s="3">
        <f>ROUND(0.0,2)</f>
        <v/>
      </c>
      <c r="HH23" s="3">
        <f>ROUND(0.0,2)</f>
        <v/>
      </c>
      <c r="HI23" s="3">
        <f>ROUND(0.0,2)</f>
        <v/>
      </c>
      <c r="HJ23" s="4">
        <f>IFERROR((HD23/HC23),0)</f>
        <v/>
      </c>
      <c r="HK23" s="4">
        <f>IFERROR(((0+HB11+HB12+HB13+HB14+HB15+HB16+HB17+HB19+HB20+HB21+HB22+HB23)/T2),0)</f>
        <v/>
      </c>
      <c r="HL23" s="5">
        <f>IFERROR(ROUND(HB23/HD23,2),0)</f>
        <v/>
      </c>
      <c r="HM23" s="5">
        <f>IFERROR(ROUND(HB23/HE23,2),0)</f>
        <v/>
      </c>
      <c r="HN23" s="2" t="inlineStr">
        <is>
          <t>2023-10-01</t>
        </is>
      </c>
      <c r="HO23" s="5">
        <f>ROUND(0.0,2)</f>
        <v/>
      </c>
      <c r="HP23" s="3">
        <f>ROUND(0.0,2)</f>
        <v/>
      </c>
      <c r="HQ23" s="3">
        <f>ROUND(0.0,2)</f>
        <v/>
      </c>
      <c r="HR23" s="3">
        <f>ROUND(0.0,2)</f>
        <v/>
      </c>
      <c r="HS23" s="3">
        <f>ROUND(0.0,2)</f>
        <v/>
      </c>
      <c r="HT23" s="3">
        <f>ROUND(0.0,2)</f>
        <v/>
      </c>
      <c r="HU23" s="3">
        <f>ROUND(0.0,2)</f>
        <v/>
      </c>
      <c r="HV23" s="3">
        <f>ROUND(0.0,2)</f>
        <v/>
      </c>
      <c r="HW23" s="4">
        <f>IFERROR((HQ23/HP23),0)</f>
        <v/>
      </c>
      <c r="HX23" s="4">
        <f>IFERROR(((0+HO11+HO12+HO13+HO14+HO15+HO16+HO17+HO19+HO20+HO21+HO22+HO23)/T2),0)</f>
        <v/>
      </c>
      <c r="HY23" s="5">
        <f>IFERROR(ROUND(HO23/HQ23,2),0)</f>
        <v/>
      </c>
      <c r="HZ23" s="5">
        <f>IFERROR(ROUND(HO23/HR23,2),0)</f>
        <v/>
      </c>
      <c r="IA23" s="2" t="inlineStr">
        <is>
          <t>2023-10-01</t>
        </is>
      </c>
      <c r="IB23" s="5">
        <f>ROUND(0.0,2)</f>
        <v/>
      </c>
      <c r="IC23" s="3">
        <f>ROUND(0.0,2)</f>
        <v/>
      </c>
      <c r="ID23" s="3">
        <f>ROUND(0.0,2)</f>
        <v/>
      </c>
      <c r="IE23" s="3">
        <f>ROUND(0.0,2)</f>
        <v/>
      </c>
      <c r="IF23" s="3">
        <f>ROUND(0.0,2)</f>
        <v/>
      </c>
      <c r="IG23" s="3">
        <f>ROUND(0.0,2)</f>
        <v/>
      </c>
      <c r="IH23" s="3">
        <f>ROUND(0.0,2)</f>
        <v/>
      </c>
      <c r="II23" s="3">
        <f>ROUND(0.0,2)</f>
        <v/>
      </c>
      <c r="IJ23" s="4">
        <f>IFERROR((ID23/IC23),0)</f>
        <v/>
      </c>
      <c r="IK23" s="4">
        <f>IFERROR(((0+IB11+IB12+IB13+IB14+IB15+IB16+IB17+IB19+IB20+IB21+IB22+IB23)/T2),0)</f>
        <v/>
      </c>
      <c r="IL23" s="5">
        <f>IFERROR(ROUND(IB23/ID23,2),0)</f>
        <v/>
      </c>
      <c r="IM23" s="5">
        <f>IFERROR(ROUND(IB23/IE23,2),0)</f>
        <v/>
      </c>
      <c r="IN23" s="2" t="inlineStr">
        <is>
          <t>2023-10-01</t>
        </is>
      </c>
      <c r="IO23" s="5">
        <f>ROUND(0.0,2)</f>
        <v/>
      </c>
      <c r="IP23" s="3">
        <f>ROUND(0.0,2)</f>
        <v/>
      </c>
      <c r="IQ23" s="3">
        <f>ROUND(0.0,2)</f>
        <v/>
      </c>
      <c r="IR23" s="3">
        <f>ROUND(0.0,2)</f>
        <v/>
      </c>
      <c r="IS23" s="3">
        <f>ROUND(0.0,2)</f>
        <v/>
      </c>
      <c r="IT23" s="3">
        <f>ROUND(0.0,2)</f>
        <v/>
      </c>
      <c r="IU23" s="3">
        <f>ROUND(0.0,2)</f>
        <v/>
      </c>
      <c r="IV23" s="3">
        <f>ROUND(0.0,2)</f>
        <v/>
      </c>
      <c r="IW23" s="4">
        <f>IFERROR((IQ23/IP23),0)</f>
        <v/>
      </c>
      <c r="IX23" s="4">
        <f>IFERROR(((0+IO11+IO12+IO13+IO14+IO15+IO16+IO17+IO19+IO20+IO21+IO22+IO23)/T2),0)</f>
        <v/>
      </c>
      <c r="IY23" s="5">
        <f>IFERROR(ROUND(IO23/IQ23,2),0)</f>
        <v/>
      </c>
      <c r="IZ23" s="5">
        <f>IFERROR(ROUND(IO23/IR23,2),0)</f>
        <v/>
      </c>
      <c r="JA23" s="2" t="inlineStr">
        <is>
          <t>2023-10-01</t>
        </is>
      </c>
      <c r="JB23" s="5">
        <f>ROUND(0.0,2)</f>
        <v/>
      </c>
      <c r="JC23" s="3">
        <f>ROUND(0.0,2)</f>
        <v/>
      </c>
      <c r="JD23" s="3">
        <f>ROUND(0.0,2)</f>
        <v/>
      </c>
      <c r="JE23" s="3">
        <f>ROUND(0.0,2)</f>
        <v/>
      </c>
      <c r="JF23" s="3">
        <f>ROUND(0.0,2)</f>
        <v/>
      </c>
      <c r="JG23" s="3">
        <f>ROUND(0.0,2)</f>
        <v/>
      </c>
      <c r="JH23" s="3">
        <f>ROUND(0.0,2)</f>
        <v/>
      </c>
      <c r="JI23" s="3">
        <f>ROUND(0.0,2)</f>
        <v/>
      </c>
      <c r="JJ23" s="4">
        <f>IFERROR((JD23/JC23),0)</f>
        <v/>
      </c>
      <c r="JK23" s="4">
        <f>IFERROR(((0+JB11+JB12+JB13+JB14+JB15+JB16+JB17+JB19+JB20+JB21+JB22+JB23)/T2),0)</f>
        <v/>
      </c>
      <c r="JL23" s="5">
        <f>IFERROR(ROUND(JB23/JD23,2),0)</f>
        <v/>
      </c>
      <c r="JM23" s="5">
        <f>IFERROR(ROUND(JB23/JE23,2),0)</f>
        <v/>
      </c>
      <c r="JN23" s="2" t="inlineStr">
        <is>
          <t>2023-10-01</t>
        </is>
      </c>
      <c r="JO23" s="5">
        <f>ROUND(0.0,2)</f>
        <v/>
      </c>
      <c r="JP23" s="3">
        <f>ROUND(0.0,2)</f>
        <v/>
      </c>
      <c r="JQ23" s="3">
        <f>ROUND(0.0,2)</f>
        <v/>
      </c>
      <c r="JR23" s="3">
        <f>ROUND(0.0,2)</f>
        <v/>
      </c>
      <c r="JS23" s="3">
        <f>ROUND(0.0,2)</f>
        <v/>
      </c>
      <c r="JT23" s="3">
        <f>ROUND(0.0,2)</f>
        <v/>
      </c>
      <c r="JU23" s="3">
        <f>ROUND(0.0,2)</f>
        <v/>
      </c>
      <c r="JV23" s="3">
        <f>ROUND(0.0,2)</f>
        <v/>
      </c>
      <c r="JW23" s="4">
        <f>IFERROR((JQ23/JP23),0)</f>
        <v/>
      </c>
      <c r="JX23" s="4">
        <f>IFERROR(((0+JO11+JO12+JO13+JO14+JO15+JO16+JO17+JO19+JO20+JO21+JO22+JO23)/T2),0)</f>
        <v/>
      </c>
      <c r="JY23" s="5">
        <f>IFERROR(ROUND(JO23/JQ23,2),0)</f>
        <v/>
      </c>
      <c r="JZ23" s="5">
        <f>IFERROR(ROUND(JO23/JR23,2),0)</f>
        <v/>
      </c>
      <c r="KA23" s="2" t="inlineStr">
        <is>
          <t>2023-10-01</t>
        </is>
      </c>
      <c r="KB23" s="5">
        <f>ROUND(0.0,2)</f>
        <v/>
      </c>
      <c r="KC23" s="3">
        <f>ROUND(0.0,2)</f>
        <v/>
      </c>
      <c r="KD23" s="3">
        <f>ROUND(0.0,2)</f>
        <v/>
      </c>
      <c r="KE23" s="3">
        <f>ROUND(0.0,2)</f>
        <v/>
      </c>
      <c r="KF23" s="3">
        <f>ROUND(0.0,2)</f>
        <v/>
      </c>
      <c r="KG23" s="3">
        <f>ROUND(0.0,2)</f>
        <v/>
      </c>
      <c r="KH23" s="3">
        <f>ROUND(0.0,2)</f>
        <v/>
      </c>
      <c r="KI23" s="3">
        <f>ROUND(0.0,2)</f>
        <v/>
      </c>
      <c r="KJ23" s="4">
        <f>IFERROR((KD23/KC23),0)</f>
        <v/>
      </c>
      <c r="KK23" s="4">
        <f>IFERROR(((0+KB11+KB12+KB13+KB14+KB15+KB16+KB17+KB19+KB20+KB21+KB22+KB23)/T2),0)</f>
        <v/>
      </c>
      <c r="KL23" s="5">
        <f>IFERROR(ROUND(KB23/KD23,2),0)</f>
        <v/>
      </c>
      <c r="KM23" s="5">
        <f>IFERROR(ROUND(KB23/KE23,2),0)</f>
        <v/>
      </c>
      <c r="KN23" s="2" t="inlineStr">
        <is>
          <t>2023-10-01</t>
        </is>
      </c>
      <c r="KO23" s="5">
        <f>ROUND(0.0,2)</f>
        <v/>
      </c>
      <c r="KP23" s="3">
        <f>ROUND(0.0,2)</f>
        <v/>
      </c>
      <c r="KQ23" s="3">
        <f>ROUND(0.0,2)</f>
        <v/>
      </c>
      <c r="KR23" s="3">
        <f>ROUND(0.0,2)</f>
        <v/>
      </c>
      <c r="KS23" s="3">
        <f>ROUND(0.0,2)</f>
        <v/>
      </c>
      <c r="KT23" s="3">
        <f>ROUND(0.0,2)</f>
        <v/>
      </c>
      <c r="KU23" s="3">
        <f>ROUND(0.0,2)</f>
        <v/>
      </c>
      <c r="KV23" s="3">
        <f>ROUND(0.0,2)</f>
        <v/>
      </c>
      <c r="KW23" s="4">
        <f>IFERROR((KQ23/KP23),0)</f>
        <v/>
      </c>
      <c r="KX23" s="4">
        <f>IFERROR(((0+KO11+KO12+KO13+KO14+KO15+KO16+KO17+KO19+KO20+KO21+KO22+KO23)/T2),0)</f>
        <v/>
      </c>
      <c r="KY23" s="5">
        <f>IFERROR(ROUND(KO23/KQ23,2),0)</f>
        <v/>
      </c>
      <c r="KZ23" s="5">
        <f>IFERROR(ROUND(KO23/KR23,2),0)</f>
        <v/>
      </c>
      <c r="LA23" s="2" t="inlineStr">
        <is>
          <t>2023-10-01</t>
        </is>
      </c>
      <c r="LB23" s="5">
        <f>ROUND(0.0,2)</f>
        <v/>
      </c>
      <c r="LC23" s="3">
        <f>ROUND(0.0,2)</f>
        <v/>
      </c>
      <c r="LD23" s="3">
        <f>ROUND(0.0,2)</f>
        <v/>
      </c>
      <c r="LE23" s="3">
        <f>ROUND(0.0,2)</f>
        <v/>
      </c>
      <c r="LF23" s="3">
        <f>ROUND(0.0,2)</f>
        <v/>
      </c>
      <c r="LG23" s="3">
        <f>ROUND(0.0,2)</f>
        <v/>
      </c>
      <c r="LH23" s="3">
        <f>ROUND(0.0,2)</f>
        <v/>
      </c>
      <c r="LI23" s="3">
        <f>ROUND(0.0,2)</f>
        <v/>
      </c>
      <c r="LJ23" s="4">
        <f>IFERROR((LD23/LC23),0)</f>
        <v/>
      </c>
      <c r="LK23" s="4">
        <f>IFERROR(((0+LB11+LB12+LB13+LB14+LB15+LB16+LB17+LB19+LB20+LB21+LB22+LB23)/T2),0)</f>
        <v/>
      </c>
      <c r="LL23" s="5">
        <f>IFERROR(ROUND(LB23/LD23,2),0)</f>
        <v/>
      </c>
      <c r="LM23" s="5">
        <f>IFERROR(ROUND(LB23/LE23,2),0)</f>
        <v/>
      </c>
      <c r="LN23" s="2" t="inlineStr">
        <is>
          <t>2023-10-01</t>
        </is>
      </c>
      <c r="LO23" s="5">
        <f>ROUND(0.0,2)</f>
        <v/>
      </c>
      <c r="LP23" s="3">
        <f>ROUND(0.0,2)</f>
        <v/>
      </c>
      <c r="LQ23" s="3">
        <f>ROUND(0.0,2)</f>
        <v/>
      </c>
      <c r="LR23" s="3">
        <f>ROUND(0.0,2)</f>
        <v/>
      </c>
      <c r="LS23" s="3">
        <f>ROUND(0.0,2)</f>
        <v/>
      </c>
      <c r="LT23" s="3">
        <f>ROUND(0.0,2)</f>
        <v/>
      </c>
      <c r="LU23" s="3">
        <f>ROUND(0.0,2)</f>
        <v/>
      </c>
      <c r="LV23" s="3">
        <f>ROUND(0.0,2)</f>
        <v/>
      </c>
      <c r="LW23" s="4">
        <f>IFERROR((LQ23/LP23),0)</f>
        <v/>
      </c>
      <c r="LX23" s="4">
        <f>IFERROR(((0+LO11+LO12+LO13+LO14+LO15+LO16+LO17+LO19+LO20+LO21+LO22+LO23)/T2),0)</f>
        <v/>
      </c>
      <c r="LY23" s="5">
        <f>IFERROR(ROUND(LO23/LQ23,2),0)</f>
        <v/>
      </c>
      <c r="LZ23" s="5">
        <f>IFERROR(ROUND(LO23/LR23,2),0)</f>
        <v/>
      </c>
      <c r="MA23" s="2" t="inlineStr">
        <is>
          <t>2023-10-01</t>
        </is>
      </c>
      <c r="MB23" s="5">
        <f>ROUND(0.0,2)</f>
        <v/>
      </c>
      <c r="MC23" s="3">
        <f>ROUND(0.0,2)</f>
        <v/>
      </c>
      <c r="MD23" s="3">
        <f>ROUND(0.0,2)</f>
        <v/>
      </c>
      <c r="ME23" s="3">
        <f>ROUND(0.0,2)</f>
        <v/>
      </c>
      <c r="MF23" s="3">
        <f>ROUND(0.0,2)</f>
        <v/>
      </c>
      <c r="MG23" s="3">
        <f>ROUND(0.0,2)</f>
        <v/>
      </c>
      <c r="MH23" s="3">
        <f>ROUND(0.0,2)</f>
        <v/>
      </c>
      <c r="MI23" s="3">
        <f>ROUND(0.0,2)</f>
        <v/>
      </c>
      <c r="MJ23" s="4">
        <f>IFERROR((MD23/MC23),0)</f>
        <v/>
      </c>
      <c r="MK23" s="4">
        <f>IFERROR(((0+MB11+MB12+MB13+MB14+MB15+MB16+MB17+MB19+MB20+MB21+MB22+MB23)/T2),0)</f>
        <v/>
      </c>
      <c r="ML23" s="5">
        <f>IFERROR(ROUND(MB23/MD23,2),0)</f>
        <v/>
      </c>
      <c r="MM23" s="5">
        <f>IFERROR(ROUND(MB23/ME23,2),0)</f>
        <v/>
      </c>
      <c r="MN23" s="2" t="inlineStr">
        <is>
          <t>2023-10-01</t>
        </is>
      </c>
      <c r="MO23" s="5">
        <f>ROUND(0.0,2)</f>
        <v/>
      </c>
      <c r="MP23" s="3">
        <f>ROUND(0.0,2)</f>
        <v/>
      </c>
      <c r="MQ23" s="3">
        <f>ROUND(0.0,2)</f>
        <v/>
      </c>
      <c r="MR23" s="3">
        <f>ROUND(0.0,2)</f>
        <v/>
      </c>
      <c r="MS23" s="3">
        <f>ROUND(0.0,2)</f>
        <v/>
      </c>
      <c r="MT23" s="3">
        <f>ROUND(0.0,2)</f>
        <v/>
      </c>
      <c r="MU23" s="3">
        <f>ROUND(0.0,2)</f>
        <v/>
      </c>
      <c r="MV23" s="3">
        <f>ROUND(0.0,2)</f>
        <v/>
      </c>
      <c r="MW23" s="4">
        <f>IFERROR((MQ23/MP23),0)</f>
        <v/>
      </c>
      <c r="MX23" s="4">
        <f>IFERROR(((0+MO11+MO12+MO13+MO14+MO15+MO16+MO17+MO19+MO20+MO21+MO22+MO23)/T2),0)</f>
        <v/>
      </c>
      <c r="MY23" s="5">
        <f>IFERROR(ROUND(MO23/MQ23,2),0)</f>
        <v/>
      </c>
      <c r="MZ23" s="5">
        <f>IFERROR(ROUND(MO23/MR23,2),0)</f>
        <v/>
      </c>
      <c r="NA23" s="2" t="inlineStr">
        <is>
          <t>2023-10-01</t>
        </is>
      </c>
      <c r="NB23" s="5">
        <f>ROUND(0.0,2)</f>
        <v/>
      </c>
      <c r="NC23" s="3">
        <f>ROUND(0.0,2)</f>
        <v/>
      </c>
      <c r="ND23" s="3">
        <f>ROUND(0.0,2)</f>
        <v/>
      </c>
      <c r="NE23" s="3">
        <f>ROUND(0.0,2)</f>
        <v/>
      </c>
      <c r="NF23" s="3">
        <f>ROUND(0.0,2)</f>
        <v/>
      </c>
      <c r="NG23" s="3">
        <f>ROUND(0.0,2)</f>
        <v/>
      </c>
      <c r="NH23" s="3">
        <f>ROUND(0.0,2)</f>
        <v/>
      </c>
      <c r="NI23" s="3">
        <f>ROUND(0.0,2)</f>
        <v/>
      </c>
      <c r="NJ23" s="4">
        <f>IFERROR((ND23/NC23),0)</f>
        <v/>
      </c>
      <c r="NK23" s="4">
        <f>IFERROR(((0+NB11+NB12+NB13+NB14+NB15+NB16+NB17+NB19+NB20+NB21+NB22+NB23)/T2),0)</f>
        <v/>
      </c>
      <c r="NL23" s="5">
        <f>IFERROR(ROUND(NB23/ND23,2),0)</f>
        <v/>
      </c>
      <c r="NM23" s="5">
        <f>IFERROR(ROUND(NB23/NE23,2),0)</f>
        <v/>
      </c>
      <c r="NN23" s="2" t="inlineStr">
        <is>
          <t>2023-10-01</t>
        </is>
      </c>
      <c r="NO23" s="5">
        <f>ROUND(0.0,2)</f>
        <v/>
      </c>
      <c r="NP23" s="3">
        <f>ROUND(0.0,2)</f>
        <v/>
      </c>
      <c r="NQ23" s="3">
        <f>ROUND(0.0,2)</f>
        <v/>
      </c>
      <c r="NR23" s="3">
        <f>ROUND(0.0,2)</f>
        <v/>
      </c>
      <c r="NS23" s="3">
        <f>ROUND(0.0,2)</f>
        <v/>
      </c>
      <c r="NT23" s="3">
        <f>ROUND(0.0,2)</f>
        <v/>
      </c>
      <c r="NU23" s="3">
        <f>ROUND(0.0,2)</f>
        <v/>
      </c>
      <c r="NV23" s="3">
        <f>ROUND(0.0,2)</f>
        <v/>
      </c>
      <c r="NW23" s="4">
        <f>IFERROR((NQ23/NP23),0)</f>
        <v/>
      </c>
      <c r="NX23" s="4">
        <f>IFERROR(((0+NO11+NO12+NO13+NO14+NO15+NO16+NO17+NO19+NO20+NO21+NO22+NO23)/T2),0)</f>
        <v/>
      </c>
      <c r="NY23" s="5">
        <f>IFERROR(ROUND(NO23/NQ23,2),0)</f>
        <v/>
      </c>
      <c r="NZ23" s="5">
        <f>IFERROR(ROUND(NO23/NR23,2),0)</f>
        <v/>
      </c>
      <c r="OA23" s="2" t="inlineStr">
        <is>
          <t>2023-10-01</t>
        </is>
      </c>
      <c r="OB23" s="5">
        <f>ROUND(0.0,2)</f>
        <v/>
      </c>
      <c r="OC23" s="3">
        <f>ROUND(0.0,2)</f>
        <v/>
      </c>
      <c r="OD23" s="3">
        <f>ROUND(0.0,2)</f>
        <v/>
      </c>
      <c r="OE23" s="3">
        <f>ROUND(0.0,2)</f>
        <v/>
      </c>
      <c r="OF23" s="3">
        <f>ROUND(0.0,2)</f>
        <v/>
      </c>
      <c r="OG23" s="3">
        <f>ROUND(0.0,2)</f>
        <v/>
      </c>
      <c r="OH23" s="3">
        <f>ROUND(0.0,2)</f>
        <v/>
      </c>
      <c r="OI23" s="3">
        <f>ROUND(0.0,2)</f>
        <v/>
      </c>
      <c r="OJ23" s="4">
        <f>IFERROR((OD23/OC23),0)</f>
        <v/>
      </c>
      <c r="OK23" s="4">
        <f>IFERROR(((0+OB11+OB12+OB13+OB14+OB15+OB16+OB17+OB19+OB20+OB21+OB22+OB23)/T2),0)</f>
        <v/>
      </c>
      <c r="OL23" s="5">
        <f>IFERROR(ROUND(OB23/OD23,2),0)</f>
        <v/>
      </c>
      <c r="OM23" s="5">
        <f>IFERROR(ROUND(OB23/OE23,2),0)</f>
        <v/>
      </c>
      <c r="ON23" s="2" t="inlineStr">
        <is>
          <t>2023-10-01</t>
        </is>
      </c>
      <c r="OO23" s="5">
        <f>ROUND(0.0,2)</f>
        <v/>
      </c>
      <c r="OP23" s="3">
        <f>ROUND(0.0,2)</f>
        <v/>
      </c>
      <c r="OQ23" s="3">
        <f>ROUND(0.0,2)</f>
        <v/>
      </c>
      <c r="OR23" s="3">
        <f>ROUND(0.0,2)</f>
        <v/>
      </c>
      <c r="OS23" s="3">
        <f>ROUND(0.0,2)</f>
        <v/>
      </c>
      <c r="OT23" s="3">
        <f>ROUND(0.0,2)</f>
        <v/>
      </c>
      <c r="OU23" s="3">
        <f>ROUND(0.0,2)</f>
        <v/>
      </c>
      <c r="OV23" s="3">
        <f>ROUND(0.0,2)</f>
        <v/>
      </c>
      <c r="OW23" s="4">
        <f>IFERROR((OQ23/OP23),0)</f>
        <v/>
      </c>
      <c r="OX23" s="4">
        <f>IFERROR(((0+OO11+OO12+OO13+OO14+OO15+OO16+OO17+OO19+OO20+OO21+OO22+OO23)/T2),0)</f>
        <v/>
      </c>
      <c r="OY23" s="5">
        <f>IFERROR(ROUND(OO23/OQ23,2),0)</f>
        <v/>
      </c>
      <c r="OZ23" s="5">
        <f>IFERROR(ROUND(OO23/OR23,2),0)</f>
        <v/>
      </c>
      <c r="PA23" s="2" t="inlineStr">
        <is>
          <t>2023-10-01</t>
        </is>
      </c>
      <c r="PB23" s="5">
        <f>ROUND(0.0,2)</f>
        <v/>
      </c>
      <c r="PC23" s="3">
        <f>ROUND(0.0,2)</f>
        <v/>
      </c>
      <c r="PD23" s="3">
        <f>ROUND(0.0,2)</f>
        <v/>
      </c>
      <c r="PE23" s="3">
        <f>ROUND(0.0,2)</f>
        <v/>
      </c>
      <c r="PF23" s="3">
        <f>ROUND(0.0,2)</f>
        <v/>
      </c>
      <c r="PG23" s="3">
        <f>ROUND(0.0,2)</f>
        <v/>
      </c>
      <c r="PH23" s="3">
        <f>ROUND(0.0,2)</f>
        <v/>
      </c>
      <c r="PI23" s="3">
        <f>ROUND(0.0,2)</f>
        <v/>
      </c>
      <c r="PJ23" s="4">
        <f>IFERROR((PD23/PC23),0)</f>
        <v/>
      </c>
      <c r="PK23" s="4">
        <f>IFERROR(((0+PB11+PB12+PB13+PB14+PB15+PB16+PB17+PB19+PB20+PB21+PB22+PB23)/T2),0)</f>
        <v/>
      </c>
      <c r="PL23" s="5">
        <f>IFERROR(ROUND(PB23/PD23,2),0)</f>
        <v/>
      </c>
      <c r="PM23" s="5">
        <f>IFERROR(ROUND(PB23/PE23,2),0)</f>
        <v/>
      </c>
      <c r="PN23" s="2" t="inlineStr">
        <is>
          <t>2023-10-01</t>
        </is>
      </c>
      <c r="PO23" s="5">
        <f>ROUND(0.0,2)</f>
        <v/>
      </c>
      <c r="PP23" s="3">
        <f>ROUND(0.0,2)</f>
        <v/>
      </c>
      <c r="PQ23" s="3">
        <f>ROUND(0.0,2)</f>
        <v/>
      </c>
      <c r="PR23" s="3">
        <f>ROUND(0.0,2)</f>
        <v/>
      </c>
      <c r="PS23" s="3">
        <f>ROUND(0.0,2)</f>
        <v/>
      </c>
      <c r="PT23" s="3">
        <f>ROUND(0.0,2)</f>
        <v/>
      </c>
      <c r="PU23" s="3">
        <f>ROUND(0.0,2)</f>
        <v/>
      </c>
      <c r="PV23" s="3">
        <f>ROUND(0.0,2)</f>
        <v/>
      </c>
      <c r="PW23" s="4">
        <f>IFERROR((PQ23/PP23),0)</f>
        <v/>
      </c>
      <c r="PX23" s="4">
        <f>IFERROR(((0+PO11+PO12+PO13+PO14+PO15+PO16+PO17+PO19+PO20+PO21+PO22+PO23)/T2),0)</f>
        <v/>
      </c>
      <c r="PY23" s="5">
        <f>IFERROR(ROUND(PO23/PQ23,2),0)</f>
        <v/>
      </c>
      <c r="PZ23" s="5">
        <f>IFERROR(ROUND(PO23/PR23,2),0)</f>
        <v/>
      </c>
      <c r="QA23" s="2" t="inlineStr">
        <is>
          <t>2023-10-01</t>
        </is>
      </c>
      <c r="QB23" s="5">
        <f>ROUND(0.0,2)</f>
        <v/>
      </c>
      <c r="QC23" s="3">
        <f>ROUND(0.0,2)</f>
        <v/>
      </c>
      <c r="QD23" s="3">
        <f>ROUND(0.0,2)</f>
        <v/>
      </c>
      <c r="QE23" s="3">
        <f>ROUND(0.0,2)</f>
        <v/>
      </c>
      <c r="QF23" s="3">
        <f>ROUND(0.0,2)</f>
        <v/>
      </c>
      <c r="QG23" s="3">
        <f>ROUND(0.0,2)</f>
        <v/>
      </c>
      <c r="QH23" s="3">
        <f>ROUND(0.0,2)</f>
        <v/>
      </c>
      <c r="QI23" s="3">
        <f>ROUND(0.0,2)</f>
        <v/>
      </c>
      <c r="QJ23" s="4">
        <f>IFERROR((QD23/QC23),0)</f>
        <v/>
      </c>
      <c r="QK23" s="4">
        <f>IFERROR(((0+QB11+QB12+QB13+QB14+QB15+QB16+QB17+QB19+QB20+QB21+QB22+QB23)/T2),0)</f>
        <v/>
      </c>
      <c r="QL23" s="5">
        <f>IFERROR(ROUND(QB23/QD23,2),0)</f>
        <v/>
      </c>
      <c r="QM23" s="5">
        <f>IFERROR(ROUND(QB23/QE23,2),0)</f>
        <v/>
      </c>
      <c r="QN23" s="2" t="inlineStr">
        <is>
          <t>2023-10-01</t>
        </is>
      </c>
      <c r="QO23" s="5">
        <f>ROUND(0.0,2)</f>
        <v/>
      </c>
      <c r="QP23" s="3">
        <f>ROUND(0.0,2)</f>
        <v/>
      </c>
      <c r="QQ23" s="3">
        <f>ROUND(0.0,2)</f>
        <v/>
      </c>
      <c r="QR23" s="3">
        <f>ROUND(0.0,2)</f>
        <v/>
      </c>
      <c r="QS23" s="3">
        <f>ROUND(0.0,2)</f>
        <v/>
      </c>
      <c r="QT23" s="3">
        <f>ROUND(0.0,2)</f>
        <v/>
      </c>
      <c r="QU23" s="3">
        <f>ROUND(0.0,2)</f>
        <v/>
      </c>
      <c r="QV23" s="3">
        <f>ROUND(0.0,2)</f>
        <v/>
      </c>
      <c r="QW23" s="4">
        <f>IFERROR((QQ23/QP23),0)</f>
        <v/>
      </c>
      <c r="QX23" s="4">
        <f>IFERROR(((0+QO11+QO12+QO13+QO14+QO15+QO16+QO17+QO19+QO20+QO21+QO22+QO23)/T2),0)</f>
        <v/>
      </c>
      <c r="QY23" s="5">
        <f>IFERROR(ROUND(QO23/QQ23,2),0)</f>
        <v/>
      </c>
      <c r="QZ23" s="5">
        <f>IFERROR(ROUND(QO23/QR23,2),0)</f>
        <v/>
      </c>
      <c r="RA23" s="2" t="inlineStr">
        <is>
          <t>2023-10-01</t>
        </is>
      </c>
      <c r="RB23" s="5">
        <f>ROUND(0.0,2)</f>
        <v/>
      </c>
      <c r="RC23" s="3">
        <f>ROUND(0.0,2)</f>
        <v/>
      </c>
      <c r="RD23" s="3">
        <f>ROUND(0.0,2)</f>
        <v/>
      </c>
      <c r="RE23" s="3">
        <f>ROUND(0.0,2)</f>
        <v/>
      </c>
      <c r="RF23" s="3">
        <f>ROUND(0.0,2)</f>
        <v/>
      </c>
      <c r="RG23" s="3">
        <f>ROUND(0.0,2)</f>
        <v/>
      </c>
      <c r="RH23" s="3">
        <f>ROUND(0.0,2)</f>
        <v/>
      </c>
      <c r="RI23" s="3">
        <f>ROUND(0.0,2)</f>
        <v/>
      </c>
      <c r="RJ23" s="4">
        <f>IFERROR((RD23/RC23),0)</f>
        <v/>
      </c>
      <c r="RK23" s="4">
        <f>IFERROR(((0+RB11+RB12+RB13+RB14+RB15+RB16+RB17+RB19+RB20+RB21+RB22+RB23)/T2),0)</f>
        <v/>
      </c>
      <c r="RL23" s="5">
        <f>IFERROR(ROUND(RB23/RD23,2),0)</f>
        <v/>
      </c>
      <c r="RM23" s="5">
        <f>IFERROR(ROUND(RB23/RE23,2),0)</f>
        <v/>
      </c>
      <c r="RN23" s="2" t="inlineStr">
        <is>
          <t>2023-10-01</t>
        </is>
      </c>
      <c r="RO23" s="5">
        <f>ROUND(0.0,2)</f>
        <v/>
      </c>
      <c r="RP23" s="3">
        <f>ROUND(0.0,2)</f>
        <v/>
      </c>
      <c r="RQ23" s="3">
        <f>ROUND(0.0,2)</f>
        <v/>
      </c>
      <c r="RR23" s="3">
        <f>ROUND(0.0,2)</f>
        <v/>
      </c>
      <c r="RS23" s="3">
        <f>ROUND(0.0,2)</f>
        <v/>
      </c>
      <c r="RT23" s="3">
        <f>ROUND(0.0,2)</f>
        <v/>
      </c>
      <c r="RU23" s="3">
        <f>ROUND(0.0,2)</f>
        <v/>
      </c>
      <c r="RV23" s="3">
        <f>ROUND(0.0,2)</f>
        <v/>
      </c>
      <c r="RW23" s="4">
        <f>IFERROR((RQ23/RP23),0)</f>
        <v/>
      </c>
      <c r="RX23" s="4">
        <f>IFERROR(((0+RO11+RO12+RO13+RO14+RO15+RO16+RO17+RO19+RO20+RO21+RO22+RO23)/T2),0)</f>
        <v/>
      </c>
      <c r="RY23" s="5">
        <f>IFERROR(ROUND(RO23/RQ23,2),0)</f>
        <v/>
      </c>
      <c r="RZ23" s="5">
        <f>IFERROR(ROUND(RO23/RR23,2),0)</f>
        <v/>
      </c>
      <c r="SA23" s="2" t="inlineStr">
        <is>
          <t>2023-10-01</t>
        </is>
      </c>
      <c r="SB23" s="5">
        <f>ROUND(0.0,2)</f>
        <v/>
      </c>
      <c r="SC23" s="3">
        <f>ROUND(0.0,2)</f>
        <v/>
      </c>
      <c r="SD23" s="3">
        <f>ROUND(0.0,2)</f>
        <v/>
      </c>
      <c r="SE23" s="3">
        <f>ROUND(0.0,2)</f>
        <v/>
      </c>
      <c r="SF23" s="3">
        <f>ROUND(0.0,2)</f>
        <v/>
      </c>
      <c r="SG23" s="3">
        <f>ROUND(0.0,2)</f>
        <v/>
      </c>
      <c r="SH23" s="3">
        <f>ROUND(0.0,2)</f>
        <v/>
      </c>
      <c r="SI23" s="3">
        <f>ROUND(0.0,2)</f>
        <v/>
      </c>
      <c r="SJ23" s="4">
        <f>IFERROR((SD23/SC23),0)</f>
        <v/>
      </c>
      <c r="SK23" s="4">
        <f>IFERROR(((0+SB11+SB12+SB13+SB14+SB15+SB16+SB17+SB19+SB20+SB21+SB22+SB23)/T2),0)</f>
        <v/>
      </c>
      <c r="SL23" s="5">
        <f>IFERROR(ROUND(SB23/SD23,2),0)</f>
        <v/>
      </c>
      <c r="SM23" s="5">
        <f>IFERROR(ROUND(SB23/SE23,2),0)</f>
        <v/>
      </c>
      <c r="SN23" s="2" t="inlineStr">
        <is>
          <t>2023-10-01</t>
        </is>
      </c>
      <c r="SO23" s="5">
        <f>ROUND(0.0,2)</f>
        <v/>
      </c>
      <c r="SP23" s="3">
        <f>ROUND(0.0,2)</f>
        <v/>
      </c>
      <c r="SQ23" s="3">
        <f>ROUND(0.0,2)</f>
        <v/>
      </c>
      <c r="SR23" s="3">
        <f>ROUND(0.0,2)</f>
        <v/>
      </c>
      <c r="SS23" s="3">
        <f>ROUND(0.0,2)</f>
        <v/>
      </c>
      <c r="ST23" s="3">
        <f>ROUND(0.0,2)</f>
        <v/>
      </c>
      <c r="SU23" s="3">
        <f>ROUND(0.0,2)</f>
        <v/>
      </c>
      <c r="SV23" s="3">
        <f>ROUND(0.0,2)</f>
        <v/>
      </c>
      <c r="SW23" s="4">
        <f>IFERROR((SQ23/SP23),0)</f>
        <v/>
      </c>
      <c r="SX23" s="4">
        <f>IFERROR(((0+SO11+SO12+SO13+SO14+SO15+SO16+SO17+SO19+SO20+SO21+SO22+SO23)/T2),0)</f>
        <v/>
      </c>
      <c r="SY23" s="5">
        <f>IFERROR(ROUND(SO23/SQ23,2),0)</f>
        <v/>
      </c>
      <c r="SZ23" s="5">
        <f>IFERROR(ROUND(SO23/SR23,2),0)</f>
        <v/>
      </c>
    </row>
    <row r="24">
      <c r="A24" s="2" t="inlineStr">
        <is>
          <t>2023-10-02</t>
        </is>
      </c>
      <c r="B24" s="5">
        <f>ROUND(40.68,2)</f>
        <v/>
      </c>
      <c r="C24" s="3">
        <f>ROUND(117791.0,2)</f>
        <v/>
      </c>
      <c r="D24" s="3">
        <f>ROUND(4068.0,2)</f>
        <v/>
      </c>
      <c r="E24" s="3">
        <f>ROUND(0.0,2)</f>
        <v/>
      </c>
      <c r="F24" s="3">
        <f>ROUND(0.0,2)</f>
        <v/>
      </c>
      <c r="G24" s="3">
        <f>ROUND(0.0,2)</f>
        <v/>
      </c>
      <c r="H24" s="3">
        <f>ROUND(0.0,2)</f>
        <v/>
      </c>
      <c r="I24" s="3">
        <f>ROUND(0.0,2)</f>
        <v/>
      </c>
      <c r="J24" s="4">
        <f>IFERROR((D24/C24),0)</f>
        <v/>
      </c>
      <c r="K24" s="4">
        <f>IFERROR(((0+B11+B12+B13+B14+B15+B16+B17+B19+B20+B21+B22+B23+B24)/T2),0)</f>
        <v/>
      </c>
      <c r="L24" s="5">
        <f>IFERROR(ROUND(B24/D24,2),0)</f>
        <v/>
      </c>
      <c r="M24" s="5">
        <f>IFERROR(ROUND(B24/E24,2),0)</f>
        <v/>
      </c>
      <c r="N24" s="2" t="inlineStr">
        <is>
          <t>2023-10-02</t>
        </is>
      </c>
      <c r="O24" s="5">
        <f>ROUND(2.4399999999999995,2)</f>
        <v/>
      </c>
      <c r="P24" s="3">
        <f>ROUND(3438.0,2)</f>
        <v/>
      </c>
      <c r="Q24" s="3">
        <f>ROUND(244.0,2)</f>
        <v/>
      </c>
      <c r="R24" s="3">
        <f>ROUND(0.0,2)</f>
        <v/>
      </c>
      <c r="S24" s="3">
        <f>ROUND(0.0,2)</f>
        <v/>
      </c>
      <c r="T24" s="3">
        <f>ROUND(0.0,2)</f>
        <v/>
      </c>
      <c r="U24" s="3">
        <f>ROUND(0.0,2)</f>
        <v/>
      </c>
      <c r="V24" s="3">
        <f>ROUND(0.0,2)</f>
        <v/>
      </c>
      <c r="W24" s="4">
        <f>IFERROR((Q24/P24),0)</f>
        <v/>
      </c>
      <c r="X24" s="4">
        <f>IFERROR(((0+O11+O12+O13+O14+O15+O16+O17+O19+O20+O21+O22+O23+O24)/T2),0)</f>
        <v/>
      </c>
      <c r="Y24" s="5">
        <f>IFERROR(ROUND(O24/Q24,2),0)</f>
        <v/>
      </c>
      <c r="Z24" s="5">
        <f>IFERROR(ROUND(O24/R24,2),0)</f>
        <v/>
      </c>
      <c r="AA24" s="2" t="inlineStr">
        <is>
          <t>2023-10-02</t>
        </is>
      </c>
      <c r="AB24" s="5">
        <f>ROUND(0.9299999999999999,2)</f>
        <v/>
      </c>
      <c r="AC24" s="3">
        <f>ROUND(1379.0,2)</f>
        <v/>
      </c>
      <c r="AD24" s="3">
        <f>ROUND(93.0,2)</f>
        <v/>
      </c>
      <c r="AE24" s="3">
        <f>ROUND(0.0,2)</f>
        <v/>
      </c>
      <c r="AF24" s="3">
        <f>ROUND(0.0,2)</f>
        <v/>
      </c>
      <c r="AG24" s="3">
        <f>ROUND(0.0,2)</f>
        <v/>
      </c>
      <c r="AH24" s="3">
        <f>ROUND(0.0,2)</f>
        <v/>
      </c>
      <c r="AI24" s="3">
        <f>ROUND(0.0,2)</f>
        <v/>
      </c>
      <c r="AJ24" s="4">
        <f>IFERROR((AD24/AC24),0)</f>
        <v/>
      </c>
      <c r="AK24" s="4">
        <f>IFERROR(((0+AB11+AB12+AB13+AB14+AB15+AB16+AB17+AB19+AB20+AB21+AB22+AB23+AB24)/T2),0)</f>
        <v/>
      </c>
      <c r="AL24" s="5">
        <f>IFERROR(ROUND(AB24/AD24,2),0)</f>
        <v/>
      </c>
      <c r="AM24" s="5">
        <f>IFERROR(ROUND(AB24/AE24,2),0)</f>
        <v/>
      </c>
      <c r="AN24" s="2" t="inlineStr">
        <is>
          <t>2023-10-02</t>
        </is>
      </c>
      <c r="AO24" s="5">
        <f>ROUND(1.87,2)</f>
        <v/>
      </c>
      <c r="AP24" s="3">
        <f>ROUND(6411.0,2)</f>
        <v/>
      </c>
      <c r="AQ24" s="3">
        <f>ROUND(187.0,2)</f>
        <v/>
      </c>
      <c r="AR24" s="3">
        <f>ROUND(0.0,2)</f>
        <v/>
      </c>
      <c r="AS24" s="3">
        <f>ROUND(0.0,2)</f>
        <v/>
      </c>
      <c r="AT24" s="3">
        <f>ROUND(0.0,2)</f>
        <v/>
      </c>
      <c r="AU24" s="3">
        <f>ROUND(0.0,2)</f>
        <v/>
      </c>
      <c r="AV24" s="3">
        <f>ROUND(0.0,2)</f>
        <v/>
      </c>
      <c r="AW24" s="4">
        <f>IFERROR((AQ24/AP24),0)</f>
        <v/>
      </c>
      <c r="AX24" s="4">
        <f>IFERROR(((0+AO11+AO12+AO13+AO14+AO15+AO16+AO17+AO19+AO20+AO21+AO22+AO23+AO24)/T2),0)</f>
        <v/>
      </c>
      <c r="AY24" s="5">
        <f>IFERROR(ROUND(AO24/AQ24,2),0)</f>
        <v/>
      </c>
      <c r="AZ24" s="5">
        <f>IFERROR(ROUND(AO24/AR24,2),0)</f>
        <v/>
      </c>
      <c r="BA24" s="2" t="inlineStr">
        <is>
          <t>2023-10-02</t>
        </is>
      </c>
      <c r="BB24" s="5">
        <f>ROUND(0.67,2)</f>
        <v/>
      </c>
      <c r="BC24" s="3">
        <f>ROUND(1083.0,2)</f>
        <v/>
      </c>
      <c r="BD24" s="3">
        <f>ROUND(67.0,2)</f>
        <v/>
      </c>
      <c r="BE24" s="3">
        <f>ROUND(0.0,2)</f>
        <v/>
      </c>
      <c r="BF24" s="3">
        <f>ROUND(0.0,2)</f>
        <v/>
      </c>
      <c r="BG24" s="3">
        <f>ROUND(0.0,2)</f>
        <v/>
      </c>
      <c r="BH24" s="3">
        <f>ROUND(0.0,2)</f>
        <v/>
      </c>
      <c r="BI24" s="3">
        <f>ROUND(0.0,2)</f>
        <v/>
      </c>
      <c r="BJ24" s="4">
        <f>IFERROR((BD24/BC24),0)</f>
        <v/>
      </c>
      <c r="BK24" s="4">
        <f>IFERROR(((0+BB11+BB12+BB13+BB14+BB15+BB16+BB17+BB19+BB20+BB21+BB22+BB23+BB24)/T2),0)</f>
        <v/>
      </c>
      <c r="BL24" s="5">
        <f>IFERROR(ROUND(BB24/BD24,2),0)</f>
        <v/>
      </c>
      <c r="BM24" s="5">
        <f>IFERROR(ROUND(BB24/BE24,2),0)</f>
        <v/>
      </c>
      <c r="BN24" s="2" t="inlineStr">
        <is>
          <t>2023-10-02</t>
        </is>
      </c>
      <c r="BO24" s="5">
        <f>ROUND(0.51,2)</f>
        <v/>
      </c>
      <c r="BP24" s="3">
        <f>ROUND(762.0,2)</f>
        <v/>
      </c>
      <c r="BQ24" s="3">
        <f>ROUND(51.0,2)</f>
        <v/>
      </c>
      <c r="BR24" s="3">
        <f>ROUND(0.0,2)</f>
        <v/>
      </c>
      <c r="BS24" s="3">
        <f>ROUND(0.0,2)</f>
        <v/>
      </c>
      <c r="BT24" s="3">
        <f>ROUND(0.0,2)</f>
        <v/>
      </c>
      <c r="BU24" s="3">
        <f>ROUND(0.0,2)</f>
        <v/>
      </c>
      <c r="BV24" s="3">
        <f>ROUND(0.0,2)</f>
        <v/>
      </c>
      <c r="BW24" s="4">
        <f>IFERROR((BQ24/BP24),0)</f>
        <v/>
      </c>
      <c r="BX24" s="4">
        <f>IFERROR(((0+BO11+BO12+BO13+BO14+BO15+BO16+BO17+BO19+BO20+BO21+BO22+BO23+BO24)/T2),0)</f>
        <v/>
      </c>
      <c r="BY24" s="5">
        <f>IFERROR(ROUND(BO24/BQ24,2),0)</f>
        <v/>
      </c>
      <c r="BZ24" s="5">
        <f>IFERROR(ROUND(BO24/BR24,2),0)</f>
        <v/>
      </c>
      <c r="CA24" s="2" t="inlineStr">
        <is>
          <t>2023-10-02</t>
        </is>
      </c>
      <c r="CB24" s="5">
        <f>ROUND(0.79,2)</f>
        <v/>
      </c>
      <c r="CC24" s="3">
        <f>ROUND(1233.0,2)</f>
        <v/>
      </c>
      <c r="CD24" s="3">
        <f>ROUND(79.0,2)</f>
        <v/>
      </c>
      <c r="CE24" s="3">
        <f>ROUND(0.0,2)</f>
        <v/>
      </c>
      <c r="CF24" s="3">
        <f>ROUND(0.0,2)</f>
        <v/>
      </c>
      <c r="CG24" s="3">
        <f>ROUND(0.0,2)</f>
        <v/>
      </c>
      <c r="CH24" s="3">
        <f>ROUND(0.0,2)</f>
        <v/>
      </c>
      <c r="CI24" s="3">
        <f>ROUND(0.0,2)</f>
        <v/>
      </c>
      <c r="CJ24" s="4">
        <f>IFERROR((CD24/CC24),0)</f>
        <v/>
      </c>
      <c r="CK24" s="4">
        <f>IFERROR(((0+CB11+CB12+CB13+CB14+CB15+CB16+CB17+CB19+CB20+CB21+CB22+CB23+CB24)/T2),0)</f>
        <v/>
      </c>
      <c r="CL24" s="5">
        <f>IFERROR(ROUND(CB24/CD24,2),0)</f>
        <v/>
      </c>
      <c r="CM24" s="5">
        <f>IFERROR(ROUND(CB24/CE24,2),0)</f>
        <v/>
      </c>
      <c r="CN24" s="2" t="inlineStr">
        <is>
          <t>2023-10-02</t>
        </is>
      </c>
      <c r="CO24" s="5">
        <f>ROUND(1.8199999999999998,2)</f>
        <v/>
      </c>
      <c r="CP24" s="3">
        <f>ROUND(6069.0,2)</f>
        <v/>
      </c>
      <c r="CQ24" s="3">
        <f>ROUND(182.0,2)</f>
        <v/>
      </c>
      <c r="CR24" s="3">
        <f>ROUND(0.0,2)</f>
        <v/>
      </c>
      <c r="CS24" s="3">
        <f>ROUND(0.0,2)</f>
        <v/>
      </c>
      <c r="CT24" s="3">
        <f>ROUND(0.0,2)</f>
        <v/>
      </c>
      <c r="CU24" s="3">
        <f>ROUND(0.0,2)</f>
        <v/>
      </c>
      <c r="CV24" s="3">
        <f>ROUND(0.0,2)</f>
        <v/>
      </c>
      <c r="CW24" s="4">
        <f>IFERROR((CQ24/CP24),0)</f>
        <v/>
      </c>
      <c r="CX24" s="4">
        <f>IFERROR(((0+CO11+CO12+CO13+CO14+CO15+CO16+CO17+CO19+CO20+CO21+CO22+CO23+CO24)/T2),0)</f>
        <v/>
      </c>
      <c r="CY24" s="5">
        <f>IFERROR(ROUND(CO24/CQ24,2),0)</f>
        <v/>
      </c>
      <c r="CZ24" s="5">
        <f>IFERROR(ROUND(CO24/CR24,2),0)</f>
        <v/>
      </c>
      <c r="DA24" s="2" t="inlineStr">
        <is>
          <t>2023-10-02</t>
        </is>
      </c>
      <c r="DB24" s="5">
        <f>ROUND(1.42,2)</f>
        <v/>
      </c>
      <c r="DC24" s="3">
        <f>ROUND(3626.0,2)</f>
        <v/>
      </c>
      <c r="DD24" s="3">
        <f>ROUND(142.0,2)</f>
        <v/>
      </c>
      <c r="DE24" s="3">
        <f>ROUND(0.0,2)</f>
        <v/>
      </c>
      <c r="DF24" s="3">
        <f>ROUND(0.0,2)</f>
        <v/>
      </c>
      <c r="DG24" s="3">
        <f>ROUND(0.0,2)</f>
        <v/>
      </c>
      <c r="DH24" s="3">
        <f>ROUND(0.0,2)</f>
        <v/>
      </c>
      <c r="DI24" s="3">
        <f>ROUND(0.0,2)</f>
        <v/>
      </c>
      <c r="DJ24" s="4">
        <f>IFERROR((DD24/DC24),0)</f>
        <v/>
      </c>
      <c r="DK24" s="4">
        <f>IFERROR(((0+DB11+DB12+DB13+DB14+DB15+DB16+DB17+DB19+DB20+DB21+DB22+DB23+DB24)/T2),0)</f>
        <v/>
      </c>
      <c r="DL24" s="5">
        <f>IFERROR(ROUND(DB24/DD24,2),0)</f>
        <v/>
      </c>
      <c r="DM24" s="5">
        <f>IFERROR(ROUND(DB24/DE24,2),0)</f>
        <v/>
      </c>
      <c r="DN24" s="2" t="inlineStr">
        <is>
          <t>2023-10-02</t>
        </is>
      </c>
      <c r="DO24" s="5">
        <f>ROUND(0.7,2)</f>
        <v/>
      </c>
      <c r="DP24" s="3">
        <f>ROUND(1098.0,2)</f>
        <v/>
      </c>
      <c r="DQ24" s="3">
        <f>ROUND(70.0,2)</f>
        <v/>
      </c>
      <c r="DR24" s="3">
        <f>ROUND(0.0,2)</f>
        <v/>
      </c>
      <c r="DS24" s="3">
        <f>ROUND(0.0,2)</f>
        <v/>
      </c>
      <c r="DT24" s="3">
        <f>ROUND(0.0,2)</f>
        <v/>
      </c>
      <c r="DU24" s="3">
        <f>ROUND(0.0,2)</f>
        <v/>
      </c>
      <c r="DV24" s="3">
        <f>ROUND(0.0,2)</f>
        <v/>
      </c>
      <c r="DW24" s="4">
        <f>IFERROR((DQ24/DP24),0)</f>
        <v/>
      </c>
      <c r="DX24" s="4">
        <f>IFERROR(((0+DO11+DO12+DO13+DO14+DO15+DO16+DO17+DO19+DO20+DO21+DO22+DO23+DO24)/T2),0)</f>
        <v/>
      </c>
      <c r="DY24" s="5">
        <f>IFERROR(ROUND(DO24/DQ24,2),0)</f>
        <v/>
      </c>
      <c r="DZ24" s="5">
        <f>IFERROR(ROUND(DO24/DR24,2),0)</f>
        <v/>
      </c>
      <c r="EA24" s="2" t="inlineStr">
        <is>
          <t>2023-10-02</t>
        </is>
      </c>
      <c r="EB24" s="5">
        <f>ROUND(2.85,2)</f>
        <v/>
      </c>
      <c r="EC24" s="3">
        <f>ROUND(15025.0,2)</f>
        <v/>
      </c>
      <c r="ED24" s="3">
        <f>ROUND(285.0,2)</f>
        <v/>
      </c>
      <c r="EE24" s="3">
        <f>ROUND(0.0,2)</f>
        <v/>
      </c>
      <c r="EF24" s="3">
        <f>ROUND(0.0,2)</f>
        <v/>
      </c>
      <c r="EG24" s="3">
        <f>ROUND(0.0,2)</f>
        <v/>
      </c>
      <c r="EH24" s="3">
        <f>ROUND(0.0,2)</f>
        <v/>
      </c>
      <c r="EI24" s="3">
        <f>ROUND(0.0,2)</f>
        <v/>
      </c>
      <c r="EJ24" s="4">
        <f>IFERROR((ED24/EC24),0)</f>
        <v/>
      </c>
      <c r="EK24" s="4">
        <f>IFERROR(((0+EB11+EB12+EB13+EB14+EB15+EB16+EB17+EB19+EB20+EB21+EB22+EB23+EB24)/T2),0)</f>
        <v/>
      </c>
      <c r="EL24" s="5">
        <f>IFERROR(ROUND(EB24/ED24,2),0)</f>
        <v/>
      </c>
      <c r="EM24" s="5">
        <f>IFERROR(ROUND(EB24/EE24,2),0)</f>
        <v/>
      </c>
      <c r="EN24" s="2" t="inlineStr">
        <is>
          <t>2023-10-02</t>
        </is>
      </c>
      <c r="EO24" s="5">
        <f>ROUND(0.7400000000000001,2)</f>
        <v/>
      </c>
      <c r="EP24" s="3">
        <f>ROUND(1170.0,2)</f>
        <v/>
      </c>
      <c r="EQ24" s="3">
        <f>ROUND(74.0,2)</f>
        <v/>
      </c>
      <c r="ER24" s="3">
        <f>ROUND(0.0,2)</f>
        <v/>
      </c>
      <c r="ES24" s="3">
        <f>ROUND(0.0,2)</f>
        <v/>
      </c>
      <c r="ET24" s="3">
        <f>ROUND(0.0,2)</f>
        <v/>
      </c>
      <c r="EU24" s="3">
        <f>ROUND(0.0,2)</f>
        <v/>
      </c>
      <c r="EV24" s="3">
        <f>ROUND(0.0,2)</f>
        <v/>
      </c>
      <c r="EW24" s="4">
        <f>IFERROR((EQ24/EP24),0)</f>
        <v/>
      </c>
      <c r="EX24" s="4">
        <f>IFERROR(((0+EO11+EO12+EO13+EO14+EO15+EO16+EO17+EO19+EO20+EO21+EO22+EO23+EO24)/T2),0)</f>
        <v/>
      </c>
      <c r="EY24" s="5">
        <f>IFERROR(ROUND(EO24/EQ24,2),0)</f>
        <v/>
      </c>
      <c r="EZ24" s="5">
        <f>IFERROR(ROUND(EO24/ER24,2),0)</f>
        <v/>
      </c>
      <c r="FA24" s="2" t="inlineStr">
        <is>
          <t>2023-10-02</t>
        </is>
      </c>
      <c r="FB24" s="5">
        <f>ROUND(1.78,2)</f>
        <v/>
      </c>
      <c r="FC24" s="3">
        <f>ROUND(6784.0,2)</f>
        <v/>
      </c>
      <c r="FD24" s="3">
        <f>ROUND(178.0,2)</f>
        <v/>
      </c>
      <c r="FE24" s="3">
        <f>ROUND(0.0,2)</f>
        <v/>
      </c>
      <c r="FF24" s="3">
        <f>ROUND(0.0,2)</f>
        <v/>
      </c>
      <c r="FG24" s="3">
        <f>ROUND(0.0,2)</f>
        <v/>
      </c>
      <c r="FH24" s="3">
        <f>ROUND(0.0,2)</f>
        <v/>
      </c>
      <c r="FI24" s="3">
        <f>ROUND(0.0,2)</f>
        <v/>
      </c>
      <c r="FJ24" s="4">
        <f>IFERROR((FD24/FC24),0)</f>
        <v/>
      </c>
      <c r="FK24" s="4">
        <f>IFERROR(((0+FB11+FB12+FB13+FB14+FB15+FB16+FB17+FB19+FB20+FB21+FB22+FB23+FB24)/T2),0)</f>
        <v/>
      </c>
      <c r="FL24" s="5">
        <f>IFERROR(ROUND(FB24/FD24,2),0)</f>
        <v/>
      </c>
      <c r="FM24" s="5">
        <f>IFERROR(ROUND(FB24/FE24,2),0)</f>
        <v/>
      </c>
      <c r="FN24" s="2" t="inlineStr">
        <is>
          <t>2023-10-02</t>
        </is>
      </c>
      <c r="FO24" s="5">
        <f>ROUND(3.42,2)</f>
        <v/>
      </c>
      <c r="FP24" s="3">
        <f>ROUND(9051.0,2)</f>
        <v/>
      </c>
      <c r="FQ24" s="3">
        <f>ROUND(342.0,2)</f>
        <v/>
      </c>
      <c r="FR24" s="3">
        <f>ROUND(0.0,2)</f>
        <v/>
      </c>
      <c r="FS24" s="3">
        <f>ROUND(0.0,2)</f>
        <v/>
      </c>
      <c r="FT24" s="3">
        <f>ROUND(0.0,2)</f>
        <v/>
      </c>
      <c r="FU24" s="3">
        <f>ROUND(0.0,2)</f>
        <v/>
      </c>
      <c r="FV24" s="3">
        <f>ROUND(0.0,2)</f>
        <v/>
      </c>
      <c r="FW24" s="4">
        <f>IFERROR((FQ24/FP24),0)</f>
        <v/>
      </c>
      <c r="FX24" s="4">
        <f>IFERROR(((0+FO11+FO12+FO13+FO14+FO15+FO16+FO17+FO19+FO20+FO21+FO22+FO23+FO24)/T2),0)</f>
        <v/>
      </c>
      <c r="FY24" s="5">
        <f>IFERROR(ROUND(FO24/FQ24,2),0)</f>
        <v/>
      </c>
      <c r="FZ24" s="5">
        <f>IFERROR(ROUND(FO24/FR24,2),0)</f>
        <v/>
      </c>
      <c r="GA24" s="2" t="inlineStr">
        <is>
          <t>2023-10-02</t>
        </is>
      </c>
      <c r="GB24" s="5">
        <f>ROUND(0.55,2)</f>
        <v/>
      </c>
      <c r="GC24" s="3">
        <f>ROUND(1034.0,2)</f>
        <v/>
      </c>
      <c r="GD24" s="3">
        <f>ROUND(55.0,2)</f>
        <v/>
      </c>
      <c r="GE24" s="3">
        <f>ROUND(0.0,2)</f>
        <v/>
      </c>
      <c r="GF24" s="3">
        <f>ROUND(0.0,2)</f>
        <v/>
      </c>
      <c r="GG24" s="3">
        <f>ROUND(0.0,2)</f>
        <v/>
      </c>
      <c r="GH24" s="3">
        <f>ROUND(0.0,2)</f>
        <v/>
      </c>
      <c r="GI24" s="3">
        <f>ROUND(0.0,2)</f>
        <v/>
      </c>
      <c r="GJ24" s="4">
        <f>IFERROR((GD24/GC24),0)</f>
        <v/>
      </c>
      <c r="GK24" s="4">
        <f>IFERROR(((0+GB11+GB12+GB13+GB14+GB15+GB16+GB17+GB19+GB20+GB21+GB22+GB23+GB24)/T2),0)</f>
        <v/>
      </c>
      <c r="GL24" s="5">
        <f>IFERROR(ROUND(GB24/GD24,2),0)</f>
        <v/>
      </c>
      <c r="GM24" s="5">
        <f>IFERROR(ROUND(GB24/GE24,2),0)</f>
        <v/>
      </c>
      <c r="GN24" s="2" t="inlineStr">
        <is>
          <t>2023-10-02</t>
        </is>
      </c>
      <c r="GO24" s="5">
        <f>ROUND(2.5300000000000002,2)</f>
        <v/>
      </c>
      <c r="GP24" s="3">
        <f>ROUND(10976.0,2)</f>
        <v/>
      </c>
      <c r="GQ24" s="3">
        <f>ROUND(253.0,2)</f>
        <v/>
      </c>
      <c r="GR24" s="3">
        <f>ROUND(0.0,2)</f>
        <v/>
      </c>
      <c r="GS24" s="3">
        <f>ROUND(0.0,2)</f>
        <v/>
      </c>
      <c r="GT24" s="3">
        <f>ROUND(0.0,2)</f>
        <v/>
      </c>
      <c r="GU24" s="3">
        <f>ROUND(0.0,2)</f>
        <v/>
      </c>
      <c r="GV24" s="3">
        <f>ROUND(0.0,2)</f>
        <v/>
      </c>
      <c r="GW24" s="4">
        <f>IFERROR((GQ24/GP24),0)</f>
        <v/>
      </c>
      <c r="GX24" s="4">
        <f>IFERROR(((0+GO11+GO12+GO13+GO14+GO15+GO16+GO17+GO19+GO20+GO21+GO22+GO23+GO24)/T2),0)</f>
        <v/>
      </c>
      <c r="GY24" s="5">
        <f>IFERROR(ROUND(GO24/GQ24,2),0)</f>
        <v/>
      </c>
      <c r="GZ24" s="5">
        <f>IFERROR(ROUND(GO24/GR24,2),0)</f>
        <v/>
      </c>
      <c r="HA24" s="2" t="inlineStr">
        <is>
          <t>2023-10-02</t>
        </is>
      </c>
      <c r="HB24" s="5">
        <f>ROUND(0.73,2)</f>
        <v/>
      </c>
      <c r="HC24" s="3">
        <f>ROUND(1133.0,2)</f>
        <v/>
      </c>
      <c r="HD24" s="3">
        <f>ROUND(73.0,2)</f>
        <v/>
      </c>
      <c r="HE24" s="3">
        <f>ROUND(0.0,2)</f>
        <v/>
      </c>
      <c r="HF24" s="3">
        <f>ROUND(0.0,2)</f>
        <v/>
      </c>
      <c r="HG24" s="3">
        <f>ROUND(0.0,2)</f>
        <v/>
      </c>
      <c r="HH24" s="3">
        <f>ROUND(0.0,2)</f>
        <v/>
      </c>
      <c r="HI24" s="3">
        <f>ROUND(0.0,2)</f>
        <v/>
      </c>
      <c r="HJ24" s="4">
        <f>IFERROR((HD24/HC24),0)</f>
        <v/>
      </c>
      <c r="HK24" s="4">
        <f>IFERROR(((0+HB11+HB12+HB13+HB14+HB15+HB16+HB17+HB19+HB20+HB21+HB22+HB23+HB24)/T2),0)</f>
        <v/>
      </c>
      <c r="HL24" s="5">
        <f>IFERROR(ROUND(HB24/HD24,2),0)</f>
        <v/>
      </c>
      <c r="HM24" s="5">
        <f>IFERROR(ROUND(HB24/HE24,2),0)</f>
        <v/>
      </c>
      <c r="HN24" s="2" t="inlineStr">
        <is>
          <t>2023-10-02</t>
        </is>
      </c>
      <c r="HO24" s="5">
        <f>ROUND(0.45999999999999996,2)</f>
        <v/>
      </c>
      <c r="HP24" s="3">
        <f>ROUND(713.0,2)</f>
        <v/>
      </c>
      <c r="HQ24" s="3">
        <f>ROUND(46.0,2)</f>
        <v/>
      </c>
      <c r="HR24" s="3">
        <f>ROUND(0.0,2)</f>
        <v/>
      </c>
      <c r="HS24" s="3">
        <f>ROUND(0.0,2)</f>
        <v/>
      </c>
      <c r="HT24" s="3">
        <f>ROUND(0.0,2)</f>
        <v/>
      </c>
      <c r="HU24" s="3">
        <f>ROUND(0.0,2)</f>
        <v/>
      </c>
      <c r="HV24" s="3">
        <f>ROUND(0.0,2)</f>
        <v/>
      </c>
      <c r="HW24" s="4">
        <f>IFERROR((HQ24/HP24),0)</f>
        <v/>
      </c>
      <c r="HX24" s="4">
        <f>IFERROR(((0+HO11+HO12+HO13+HO14+HO15+HO16+HO17+HO19+HO20+HO21+HO22+HO23+HO24)/T2),0)</f>
        <v/>
      </c>
      <c r="HY24" s="5">
        <f>IFERROR(ROUND(HO24/HQ24,2),0)</f>
        <v/>
      </c>
      <c r="HZ24" s="5">
        <f>IFERROR(ROUND(HO24/HR24,2),0)</f>
        <v/>
      </c>
      <c r="IA24" s="2" t="inlineStr">
        <is>
          <t>2023-10-02</t>
        </is>
      </c>
      <c r="IB24" s="5">
        <f>ROUND(0.46,2)</f>
        <v/>
      </c>
      <c r="IC24" s="3">
        <f>ROUND(836.0,2)</f>
        <v/>
      </c>
      <c r="ID24" s="3">
        <f>ROUND(46.0,2)</f>
        <v/>
      </c>
      <c r="IE24" s="3">
        <f>ROUND(0.0,2)</f>
        <v/>
      </c>
      <c r="IF24" s="3">
        <f>ROUND(0.0,2)</f>
        <v/>
      </c>
      <c r="IG24" s="3">
        <f>ROUND(0.0,2)</f>
        <v/>
      </c>
      <c r="IH24" s="3">
        <f>ROUND(0.0,2)</f>
        <v/>
      </c>
      <c r="II24" s="3">
        <f>ROUND(0.0,2)</f>
        <v/>
      </c>
      <c r="IJ24" s="4">
        <f>IFERROR((ID24/IC24),0)</f>
        <v/>
      </c>
      <c r="IK24" s="4">
        <f>IFERROR(((0+IB11+IB12+IB13+IB14+IB15+IB16+IB17+IB19+IB20+IB21+IB22+IB23+IB24)/T2),0)</f>
        <v/>
      </c>
      <c r="IL24" s="5">
        <f>IFERROR(ROUND(IB24/ID24,2),0)</f>
        <v/>
      </c>
      <c r="IM24" s="5">
        <f>IFERROR(ROUND(IB24/IE24,2),0)</f>
        <v/>
      </c>
      <c r="IN24" s="2" t="inlineStr">
        <is>
          <t>2023-10-02</t>
        </is>
      </c>
      <c r="IO24" s="5">
        <f>ROUND(0.18,2)</f>
        <v/>
      </c>
      <c r="IP24" s="3">
        <f>ROUND(1057.0,2)</f>
        <v/>
      </c>
      <c r="IQ24" s="3">
        <f>ROUND(18.0,2)</f>
        <v/>
      </c>
      <c r="IR24" s="3">
        <f>ROUND(0.0,2)</f>
        <v/>
      </c>
      <c r="IS24" s="3">
        <f>ROUND(0.0,2)</f>
        <v/>
      </c>
      <c r="IT24" s="3">
        <f>ROUND(0.0,2)</f>
        <v/>
      </c>
      <c r="IU24" s="3">
        <f>ROUND(0.0,2)</f>
        <v/>
      </c>
      <c r="IV24" s="3">
        <f>ROUND(0.0,2)</f>
        <v/>
      </c>
      <c r="IW24" s="4">
        <f>IFERROR((IQ24/IP24),0)</f>
        <v/>
      </c>
      <c r="IX24" s="4">
        <f>IFERROR(((0+IO11+IO12+IO13+IO14+IO15+IO16+IO17+IO19+IO20+IO21+IO22+IO23+IO24)/T2),0)</f>
        <v/>
      </c>
      <c r="IY24" s="5">
        <f>IFERROR(ROUND(IO24/IQ24,2),0)</f>
        <v/>
      </c>
      <c r="IZ24" s="5">
        <f>IFERROR(ROUND(IO24/IR24,2),0)</f>
        <v/>
      </c>
      <c r="JA24" s="2" t="inlineStr">
        <is>
          <t>2023-10-02</t>
        </is>
      </c>
      <c r="JB24" s="5">
        <f>ROUND(0.8,2)</f>
        <v/>
      </c>
      <c r="JC24" s="3">
        <f>ROUND(1093.0,2)</f>
        <v/>
      </c>
      <c r="JD24" s="3">
        <f>ROUND(80.0,2)</f>
        <v/>
      </c>
      <c r="JE24" s="3">
        <f>ROUND(0.0,2)</f>
        <v/>
      </c>
      <c r="JF24" s="3">
        <f>ROUND(0.0,2)</f>
        <v/>
      </c>
      <c r="JG24" s="3">
        <f>ROUND(0.0,2)</f>
        <v/>
      </c>
      <c r="JH24" s="3">
        <f>ROUND(0.0,2)</f>
        <v/>
      </c>
      <c r="JI24" s="3">
        <f>ROUND(0.0,2)</f>
        <v/>
      </c>
      <c r="JJ24" s="4">
        <f>IFERROR((JD24/JC24),0)</f>
        <v/>
      </c>
      <c r="JK24" s="4">
        <f>IFERROR(((0+JB11+JB12+JB13+JB14+JB15+JB16+JB17+JB19+JB20+JB21+JB22+JB23+JB24)/T2),0)</f>
        <v/>
      </c>
      <c r="JL24" s="5">
        <f>IFERROR(ROUND(JB24/JD24,2),0)</f>
        <v/>
      </c>
      <c r="JM24" s="5">
        <f>IFERROR(ROUND(JB24/JE24,2),0)</f>
        <v/>
      </c>
      <c r="JN24" s="2" t="inlineStr">
        <is>
          <t>2023-10-02</t>
        </is>
      </c>
      <c r="JO24" s="5">
        <f>ROUND(0.52,2)</f>
        <v/>
      </c>
      <c r="JP24" s="3">
        <f>ROUND(961.0,2)</f>
        <v/>
      </c>
      <c r="JQ24" s="3">
        <f>ROUND(52.0,2)</f>
        <v/>
      </c>
      <c r="JR24" s="3">
        <f>ROUND(0.0,2)</f>
        <v/>
      </c>
      <c r="JS24" s="3">
        <f>ROUND(0.0,2)</f>
        <v/>
      </c>
      <c r="JT24" s="3">
        <f>ROUND(0.0,2)</f>
        <v/>
      </c>
      <c r="JU24" s="3">
        <f>ROUND(0.0,2)</f>
        <v/>
      </c>
      <c r="JV24" s="3">
        <f>ROUND(0.0,2)</f>
        <v/>
      </c>
      <c r="JW24" s="4">
        <f>IFERROR((JQ24/JP24),0)</f>
        <v/>
      </c>
      <c r="JX24" s="4">
        <f>IFERROR(((0+JO11+JO12+JO13+JO14+JO15+JO16+JO17+JO19+JO20+JO21+JO22+JO23+JO24)/T2),0)</f>
        <v/>
      </c>
      <c r="JY24" s="5">
        <f>IFERROR(ROUND(JO24/JQ24,2),0)</f>
        <v/>
      </c>
      <c r="JZ24" s="5">
        <f>IFERROR(ROUND(JO24/JR24,2),0)</f>
        <v/>
      </c>
      <c r="KA24" s="2" t="inlineStr">
        <is>
          <t>2023-10-02</t>
        </is>
      </c>
      <c r="KB24" s="5">
        <f>ROUND(0.54,2)</f>
        <v/>
      </c>
      <c r="KC24" s="3">
        <f>ROUND(981.0,2)</f>
        <v/>
      </c>
      <c r="KD24" s="3">
        <f>ROUND(54.0,2)</f>
        <v/>
      </c>
      <c r="KE24" s="3">
        <f>ROUND(0.0,2)</f>
        <v/>
      </c>
      <c r="KF24" s="3">
        <f>ROUND(0.0,2)</f>
        <v/>
      </c>
      <c r="KG24" s="3">
        <f>ROUND(0.0,2)</f>
        <v/>
      </c>
      <c r="KH24" s="3">
        <f>ROUND(0.0,2)</f>
        <v/>
      </c>
      <c r="KI24" s="3">
        <f>ROUND(0.0,2)</f>
        <v/>
      </c>
      <c r="KJ24" s="4">
        <f>IFERROR((KD24/KC24),0)</f>
        <v/>
      </c>
      <c r="KK24" s="4">
        <f>IFERROR(((0+KB11+KB12+KB13+KB14+KB15+KB16+KB17+KB19+KB20+KB21+KB22+KB23+KB24)/T2),0)</f>
        <v/>
      </c>
      <c r="KL24" s="5">
        <f>IFERROR(ROUND(KB24/KD24,2),0)</f>
        <v/>
      </c>
      <c r="KM24" s="5">
        <f>IFERROR(ROUND(KB24/KE24,2),0)</f>
        <v/>
      </c>
      <c r="KN24" s="2" t="inlineStr">
        <is>
          <t>2023-10-02</t>
        </is>
      </c>
      <c r="KO24" s="5">
        <f>ROUND(1.63,2)</f>
        <v/>
      </c>
      <c r="KP24" s="3">
        <f>ROUND(5699.0,2)</f>
        <v/>
      </c>
      <c r="KQ24" s="3">
        <f>ROUND(163.0,2)</f>
        <v/>
      </c>
      <c r="KR24" s="3">
        <f>ROUND(0.0,2)</f>
        <v/>
      </c>
      <c r="KS24" s="3">
        <f>ROUND(0.0,2)</f>
        <v/>
      </c>
      <c r="KT24" s="3">
        <f>ROUND(0.0,2)</f>
        <v/>
      </c>
      <c r="KU24" s="3">
        <f>ROUND(0.0,2)</f>
        <v/>
      </c>
      <c r="KV24" s="3">
        <f>ROUND(0.0,2)</f>
        <v/>
      </c>
      <c r="KW24" s="4">
        <f>IFERROR((KQ24/KP24),0)</f>
        <v/>
      </c>
      <c r="KX24" s="4">
        <f>IFERROR(((0+KO11+KO12+KO13+KO14+KO15+KO16+KO17+KO19+KO20+KO21+KO22+KO23+KO24)/T2),0)</f>
        <v/>
      </c>
      <c r="KY24" s="5">
        <f>IFERROR(ROUND(KO24/KQ24,2),0)</f>
        <v/>
      </c>
      <c r="KZ24" s="5">
        <f>IFERROR(ROUND(KO24/KR24,2),0)</f>
        <v/>
      </c>
      <c r="LA24" s="2" t="inlineStr">
        <is>
          <t>2023-10-02</t>
        </is>
      </c>
      <c r="LB24" s="5">
        <f>ROUND(1.3599999999999999,2)</f>
        <v/>
      </c>
      <c r="LC24" s="3">
        <f>ROUND(5659.0,2)</f>
        <v/>
      </c>
      <c r="LD24" s="3">
        <f>ROUND(136.0,2)</f>
        <v/>
      </c>
      <c r="LE24" s="3">
        <f>ROUND(0.0,2)</f>
        <v/>
      </c>
      <c r="LF24" s="3">
        <f>ROUND(0.0,2)</f>
        <v/>
      </c>
      <c r="LG24" s="3">
        <f>ROUND(0.0,2)</f>
        <v/>
      </c>
      <c r="LH24" s="3">
        <f>ROUND(0.0,2)</f>
        <v/>
      </c>
      <c r="LI24" s="3">
        <f>ROUND(0.0,2)</f>
        <v/>
      </c>
      <c r="LJ24" s="4">
        <f>IFERROR((LD24/LC24),0)</f>
        <v/>
      </c>
      <c r="LK24" s="4">
        <f>IFERROR(((0+LB11+LB12+LB13+LB14+LB15+LB16+LB17+LB19+LB20+LB21+LB22+LB23+LB24)/T2),0)</f>
        <v/>
      </c>
      <c r="LL24" s="5">
        <f>IFERROR(ROUND(LB24/LD24,2),0)</f>
        <v/>
      </c>
      <c r="LM24" s="5">
        <f>IFERROR(ROUND(LB24/LE24,2),0)</f>
        <v/>
      </c>
      <c r="LN24" s="2" t="inlineStr">
        <is>
          <t>2023-10-02</t>
        </is>
      </c>
      <c r="LO24" s="5">
        <f>ROUND(1.13,2)</f>
        <v/>
      </c>
      <c r="LP24" s="3">
        <f>ROUND(4216.0,2)</f>
        <v/>
      </c>
      <c r="LQ24" s="3">
        <f>ROUND(113.0,2)</f>
        <v/>
      </c>
      <c r="LR24" s="3">
        <f>ROUND(0.0,2)</f>
        <v/>
      </c>
      <c r="LS24" s="3">
        <f>ROUND(0.0,2)</f>
        <v/>
      </c>
      <c r="LT24" s="3">
        <f>ROUND(0.0,2)</f>
        <v/>
      </c>
      <c r="LU24" s="3">
        <f>ROUND(0.0,2)</f>
        <v/>
      </c>
      <c r="LV24" s="3">
        <f>ROUND(0.0,2)</f>
        <v/>
      </c>
      <c r="LW24" s="4">
        <f>IFERROR((LQ24/LP24),0)</f>
        <v/>
      </c>
      <c r="LX24" s="4">
        <f>IFERROR(((0+LO11+LO12+LO13+LO14+LO15+LO16+LO17+LO19+LO20+LO21+LO22+LO23+LO24)/T2),0)</f>
        <v/>
      </c>
      <c r="LY24" s="5">
        <f>IFERROR(ROUND(LO24/LQ24,2),0)</f>
        <v/>
      </c>
      <c r="LZ24" s="5">
        <f>IFERROR(ROUND(LO24/LR24,2),0)</f>
        <v/>
      </c>
      <c r="MA24" s="2" t="inlineStr">
        <is>
          <t>2023-10-02</t>
        </is>
      </c>
      <c r="MB24" s="5">
        <f>ROUND(0.9600000000000001,2)</f>
        <v/>
      </c>
      <c r="MC24" s="3">
        <f>ROUND(4626.0,2)</f>
        <v/>
      </c>
      <c r="MD24" s="3">
        <f>ROUND(96.0,2)</f>
        <v/>
      </c>
      <c r="ME24" s="3">
        <f>ROUND(0.0,2)</f>
        <v/>
      </c>
      <c r="MF24" s="3">
        <f>ROUND(0.0,2)</f>
        <v/>
      </c>
      <c r="MG24" s="3">
        <f>ROUND(0.0,2)</f>
        <v/>
      </c>
      <c r="MH24" s="3">
        <f>ROUND(0.0,2)</f>
        <v/>
      </c>
      <c r="MI24" s="3">
        <f>ROUND(0.0,2)</f>
        <v/>
      </c>
      <c r="MJ24" s="4">
        <f>IFERROR((MD24/MC24),0)</f>
        <v/>
      </c>
      <c r="MK24" s="4">
        <f>IFERROR(((0+MB11+MB12+MB13+MB14+MB15+MB16+MB17+MB19+MB20+MB21+MB22+MB23+MB24)/T2),0)</f>
        <v/>
      </c>
      <c r="ML24" s="5">
        <f>IFERROR(ROUND(MB24/MD24,2),0)</f>
        <v/>
      </c>
      <c r="MM24" s="5">
        <f>IFERROR(ROUND(MB24/ME24,2),0)</f>
        <v/>
      </c>
      <c r="MN24" s="2" t="inlineStr">
        <is>
          <t>2023-10-02</t>
        </is>
      </c>
      <c r="MO24" s="5">
        <f>ROUND(0.85,2)</f>
        <v/>
      </c>
      <c r="MP24" s="3">
        <f>ROUND(1485.0,2)</f>
        <v/>
      </c>
      <c r="MQ24" s="3">
        <f>ROUND(85.0,2)</f>
        <v/>
      </c>
      <c r="MR24" s="3">
        <f>ROUND(0.0,2)</f>
        <v/>
      </c>
      <c r="MS24" s="3">
        <f>ROUND(0.0,2)</f>
        <v/>
      </c>
      <c r="MT24" s="3">
        <f>ROUND(0.0,2)</f>
        <v/>
      </c>
      <c r="MU24" s="3">
        <f>ROUND(0.0,2)</f>
        <v/>
      </c>
      <c r="MV24" s="3">
        <f>ROUND(0.0,2)</f>
        <v/>
      </c>
      <c r="MW24" s="4">
        <f>IFERROR((MQ24/MP24),0)</f>
        <v/>
      </c>
      <c r="MX24" s="4">
        <f>IFERROR(((0+MO11+MO12+MO13+MO14+MO15+MO16+MO17+MO19+MO20+MO21+MO22+MO23+MO24)/T2),0)</f>
        <v/>
      </c>
      <c r="MY24" s="5">
        <f>IFERROR(ROUND(MO24/MQ24,2),0)</f>
        <v/>
      </c>
      <c r="MZ24" s="5">
        <f>IFERROR(ROUND(MO24/MR24,2),0)</f>
        <v/>
      </c>
      <c r="NA24" s="2" t="inlineStr">
        <is>
          <t>2023-10-02</t>
        </is>
      </c>
      <c r="NB24" s="5">
        <f>ROUND(1.22,2)</f>
        <v/>
      </c>
      <c r="NC24" s="3">
        <f>ROUND(4753.0,2)</f>
        <v/>
      </c>
      <c r="ND24" s="3">
        <f>ROUND(122.0,2)</f>
        <v/>
      </c>
      <c r="NE24" s="3">
        <f>ROUND(0.0,2)</f>
        <v/>
      </c>
      <c r="NF24" s="3">
        <f>ROUND(0.0,2)</f>
        <v/>
      </c>
      <c r="NG24" s="3">
        <f>ROUND(0.0,2)</f>
        <v/>
      </c>
      <c r="NH24" s="3">
        <f>ROUND(0.0,2)</f>
        <v/>
      </c>
      <c r="NI24" s="3">
        <f>ROUND(0.0,2)</f>
        <v/>
      </c>
      <c r="NJ24" s="4">
        <f>IFERROR((ND24/NC24),0)</f>
        <v/>
      </c>
      <c r="NK24" s="4">
        <f>IFERROR(((0+NB11+NB12+NB13+NB14+NB15+NB16+NB17+NB19+NB20+NB21+NB22+NB23+NB24)/T2),0)</f>
        <v/>
      </c>
      <c r="NL24" s="5">
        <f>IFERROR(ROUND(NB24/ND24,2),0)</f>
        <v/>
      </c>
      <c r="NM24" s="5">
        <f>IFERROR(ROUND(NB24/NE24,2),0)</f>
        <v/>
      </c>
      <c r="NN24" s="2" t="inlineStr">
        <is>
          <t>2023-10-02</t>
        </is>
      </c>
      <c r="NO24" s="5">
        <f>ROUND(0.41000000000000003,2)</f>
        <v/>
      </c>
      <c r="NP24" s="3">
        <f>ROUND(917.0,2)</f>
        <v/>
      </c>
      <c r="NQ24" s="3">
        <f>ROUND(41.0,2)</f>
        <v/>
      </c>
      <c r="NR24" s="3">
        <f>ROUND(0.0,2)</f>
        <v/>
      </c>
      <c r="NS24" s="3">
        <f>ROUND(0.0,2)</f>
        <v/>
      </c>
      <c r="NT24" s="3">
        <f>ROUND(0.0,2)</f>
        <v/>
      </c>
      <c r="NU24" s="3">
        <f>ROUND(0.0,2)</f>
        <v/>
      </c>
      <c r="NV24" s="3">
        <f>ROUND(0.0,2)</f>
        <v/>
      </c>
      <c r="NW24" s="4">
        <f>IFERROR((NQ24/NP24),0)</f>
        <v/>
      </c>
      <c r="NX24" s="4">
        <f>IFERROR(((0+NO11+NO12+NO13+NO14+NO15+NO16+NO17+NO19+NO20+NO21+NO22+NO23+NO24)/T2),0)</f>
        <v/>
      </c>
      <c r="NY24" s="5">
        <f>IFERROR(ROUND(NO24/NQ24,2),0)</f>
        <v/>
      </c>
      <c r="NZ24" s="5">
        <f>IFERROR(ROUND(NO24/NR24,2),0)</f>
        <v/>
      </c>
      <c r="OA24" s="2" t="inlineStr">
        <is>
          <t>2023-10-02</t>
        </is>
      </c>
      <c r="OB24" s="5">
        <f>ROUND(0.61,2)</f>
        <v/>
      </c>
      <c r="OC24" s="3">
        <f>ROUND(984.0,2)</f>
        <v/>
      </c>
      <c r="OD24" s="3">
        <f>ROUND(61.0,2)</f>
        <v/>
      </c>
      <c r="OE24" s="3">
        <f>ROUND(0.0,2)</f>
        <v/>
      </c>
      <c r="OF24" s="3">
        <f>ROUND(0.0,2)</f>
        <v/>
      </c>
      <c r="OG24" s="3">
        <f>ROUND(0.0,2)</f>
        <v/>
      </c>
      <c r="OH24" s="3">
        <f>ROUND(0.0,2)</f>
        <v/>
      </c>
      <c r="OI24" s="3">
        <f>ROUND(0.0,2)</f>
        <v/>
      </c>
      <c r="OJ24" s="4">
        <f>IFERROR((OD24/OC24),0)</f>
        <v/>
      </c>
      <c r="OK24" s="4">
        <f>IFERROR(((0+OB11+OB12+OB13+OB14+OB15+OB16+OB17+OB19+OB20+OB21+OB22+OB23+OB24)/T2),0)</f>
        <v/>
      </c>
      <c r="OL24" s="5">
        <f>IFERROR(ROUND(OB24/OD24,2),0)</f>
        <v/>
      </c>
      <c r="OM24" s="5">
        <f>IFERROR(ROUND(OB24/OE24,2),0)</f>
        <v/>
      </c>
      <c r="ON24" s="2" t="inlineStr">
        <is>
          <t>2023-10-02</t>
        </is>
      </c>
      <c r="OO24" s="5">
        <f>ROUND(0.51,2)</f>
        <v/>
      </c>
      <c r="OP24" s="3">
        <f>ROUND(998.0,2)</f>
        <v/>
      </c>
      <c r="OQ24" s="3">
        <f>ROUND(51.0,2)</f>
        <v/>
      </c>
      <c r="OR24" s="3">
        <f>ROUND(0.0,2)</f>
        <v/>
      </c>
      <c r="OS24" s="3">
        <f>ROUND(0.0,2)</f>
        <v/>
      </c>
      <c r="OT24" s="3">
        <f>ROUND(0.0,2)</f>
        <v/>
      </c>
      <c r="OU24" s="3">
        <f>ROUND(0.0,2)</f>
        <v/>
      </c>
      <c r="OV24" s="3">
        <f>ROUND(0.0,2)</f>
        <v/>
      </c>
      <c r="OW24" s="4">
        <f>IFERROR((OQ24/OP24),0)</f>
        <v/>
      </c>
      <c r="OX24" s="4">
        <f>IFERROR(((0+OO11+OO12+OO13+OO14+OO15+OO16+OO17+OO19+OO20+OO21+OO22+OO23+OO24)/T2),0)</f>
        <v/>
      </c>
      <c r="OY24" s="5">
        <f>IFERROR(ROUND(OO24/OQ24,2),0)</f>
        <v/>
      </c>
      <c r="OZ24" s="5">
        <f>IFERROR(ROUND(OO24/OR24,2),0)</f>
        <v/>
      </c>
      <c r="PA24" s="2" t="inlineStr">
        <is>
          <t>2023-10-02</t>
        </is>
      </c>
      <c r="PB24" s="5">
        <f>ROUND(0.6799999999999999,2)</f>
        <v/>
      </c>
      <c r="PC24" s="3">
        <f>ROUND(1268.0,2)</f>
        <v/>
      </c>
      <c r="PD24" s="3">
        <f>ROUND(68.0,2)</f>
        <v/>
      </c>
      <c r="PE24" s="3">
        <f>ROUND(0.0,2)</f>
        <v/>
      </c>
      <c r="PF24" s="3">
        <f>ROUND(0.0,2)</f>
        <v/>
      </c>
      <c r="PG24" s="3">
        <f>ROUND(0.0,2)</f>
        <v/>
      </c>
      <c r="PH24" s="3">
        <f>ROUND(0.0,2)</f>
        <v/>
      </c>
      <c r="PI24" s="3">
        <f>ROUND(0.0,2)</f>
        <v/>
      </c>
      <c r="PJ24" s="4">
        <f>IFERROR((PD24/PC24),0)</f>
        <v/>
      </c>
      <c r="PK24" s="4">
        <f>IFERROR(((0+PB11+PB12+PB13+PB14+PB15+PB16+PB17+PB19+PB20+PB21+PB22+PB23+PB24)/T2),0)</f>
        <v/>
      </c>
      <c r="PL24" s="5">
        <f>IFERROR(ROUND(PB24/PD24,2),0)</f>
        <v/>
      </c>
      <c r="PM24" s="5">
        <f>IFERROR(ROUND(PB24/PE24,2),0)</f>
        <v/>
      </c>
      <c r="PN24" s="2" t="inlineStr">
        <is>
          <t>2023-10-02</t>
        </is>
      </c>
      <c r="PO24" s="5">
        <f>ROUND(0.6,2)</f>
        <v/>
      </c>
      <c r="PP24" s="3">
        <f>ROUND(944.0,2)</f>
        <v/>
      </c>
      <c r="PQ24" s="3">
        <f>ROUND(60.0,2)</f>
        <v/>
      </c>
      <c r="PR24" s="3">
        <f>ROUND(0.0,2)</f>
        <v/>
      </c>
      <c r="PS24" s="3">
        <f>ROUND(0.0,2)</f>
        <v/>
      </c>
      <c r="PT24" s="3">
        <f>ROUND(0.0,2)</f>
        <v/>
      </c>
      <c r="PU24" s="3">
        <f>ROUND(0.0,2)</f>
        <v/>
      </c>
      <c r="PV24" s="3">
        <f>ROUND(0.0,2)</f>
        <v/>
      </c>
      <c r="PW24" s="4">
        <f>IFERROR((PQ24/PP24),0)</f>
        <v/>
      </c>
      <c r="PX24" s="4">
        <f>IFERROR(((0+PO11+PO12+PO13+PO14+PO15+PO16+PO17+PO19+PO20+PO21+PO22+PO23+PO24)/T2),0)</f>
        <v/>
      </c>
      <c r="PY24" s="5">
        <f>IFERROR(ROUND(PO24/PQ24,2),0)</f>
        <v/>
      </c>
      <c r="PZ24" s="5">
        <f>IFERROR(ROUND(PO24/PR24,2),0)</f>
        <v/>
      </c>
      <c r="QA24" s="2" t="inlineStr">
        <is>
          <t>2023-10-02</t>
        </is>
      </c>
      <c r="QB24" s="5">
        <f>ROUND(0.53,2)</f>
        <v/>
      </c>
      <c r="QC24" s="3">
        <f>ROUND(1112.0,2)</f>
        <v/>
      </c>
      <c r="QD24" s="3">
        <f>ROUND(53.0,2)</f>
        <v/>
      </c>
      <c r="QE24" s="3">
        <f>ROUND(0.0,2)</f>
        <v/>
      </c>
      <c r="QF24" s="3">
        <f>ROUND(0.0,2)</f>
        <v/>
      </c>
      <c r="QG24" s="3">
        <f>ROUND(0.0,2)</f>
        <v/>
      </c>
      <c r="QH24" s="3">
        <f>ROUND(0.0,2)</f>
        <v/>
      </c>
      <c r="QI24" s="3">
        <f>ROUND(0.0,2)</f>
        <v/>
      </c>
      <c r="QJ24" s="4">
        <f>IFERROR((QD24/QC24),0)</f>
        <v/>
      </c>
      <c r="QK24" s="4">
        <f>IFERROR(((0+QB11+QB12+QB13+QB14+QB15+QB16+QB17+QB19+QB20+QB21+QB22+QB23+QB24)/T2),0)</f>
        <v/>
      </c>
      <c r="QL24" s="5">
        <f>IFERROR(ROUND(QB24/QD24,2),0)</f>
        <v/>
      </c>
      <c r="QM24" s="5">
        <f>IFERROR(ROUND(QB24/QE24,2),0)</f>
        <v/>
      </c>
      <c r="QN24" s="2" t="inlineStr">
        <is>
          <t>2023-10-02</t>
        </is>
      </c>
      <c r="QO24" s="5">
        <f>ROUND(1.3599999999999999,2)</f>
        <v/>
      </c>
      <c r="QP24" s="3">
        <f>ROUND(4833.0,2)</f>
        <v/>
      </c>
      <c r="QQ24" s="3">
        <f>ROUND(136.0,2)</f>
        <v/>
      </c>
      <c r="QR24" s="3">
        <f>ROUND(0.0,2)</f>
        <v/>
      </c>
      <c r="QS24" s="3">
        <f>ROUND(0.0,2)</f>
        <v/>
      </c>
      <c r="QT24" s="3">
        <f>ROUND(0.0,2)</f>
        <v/>
      </c>
      <c r="QU24" s="3">
        <f>ROUND(0.0,2)</f>
        <v/>
      </c>
      <c r="QV24" s="3">
        <f>ROUND(0.0,2)</f>
        <v/>
      </c>
      <c r="QW24" s="4">
        <f>IFERROR((QQ24/QP24),0)</f>
        <v/>
      </c>
      <c r="QX24" s="4">
        <f>IFERROR(((0+QO11+QO12+QO13+QO14+QO15+QO16+QO17+QO19+QO20+QO21+QO22+QO23+QO24)/T2),0)</f>
        <v/>
      </c>
      <c r="QY24" s="5">
        <f>IFERROR(ROUND(QO24/QQ24,2),0)</f>
        <v/>
      </c>
      <c r="QZ24" s="5">
        <f>IFERROR(ROUND(QO24/QR24,2),0)</f>
        <v/>
      </c>
      <c r="RA24" s="2" t="inlineStr">
        <is>
          <t>2023-10-02</t>
        </is>
      </c>
      <c r="RB24" s="5">
        <f>ROUND(0.52,2)</f>
        <v/>
      </c>
      <c r="RC24" s="3">
        <f>ROUND(982.0,2)</f>
        <v/>
      </c>
      <c r="RD24" s="3">
        <f>ROUND(52.0,2)</f>
        <v/>
      </c>
      <c r="RE24" s="3">
        <f>ROUND(0.0,2)</f>
        <v/>
      </c>
      <c r="RF24" s="3">
        <f>ROUND(0.0,2)</f>
        <v/>
      </c>
      <c r="RG24" s="3">
        <f>ROUND(0.0,2)</f>
        <v/>
      </c>
      <c r="RH24" s="3">
        <f>ROUND(0.0,2)</f>
        <v/>
      </c>
      <c r="RI24" s="3">
        <f>ROUND(0.0,2)</f>
        <v/>
      </c>
      <c r="RJ24" s="4">
        <f>IFERROR((RD24/RC24),0)</f>
        <v/>
      </c>
      <c r="RK24" s="4">
        <f>IFERROR(((0+RB11+RB12+RB13+RB14+RB15+RB16+RB17+RB19+RB20+RB21+RB22+RB23+RB24)/T2),0)</f>
        <v/>
      </c>
      <c r="RL24" s="5">
        <f>IFERROR(ROUND(RB24/RD24,2),0)</f>
        <v/>
      </c>
      <c r="RM24" s="5">
        <f>IFERROR(ROUND(RB24/RE24,2),0)</f>
        <v/>
      </c>
      <c r="RN24" s="2" t="inlineStr">
        <is>
          <t>2023-10-02</t>
        </is>
      </c>
      <c r="RO24" s="5">
        <f>ROUND(0.41000000000000003,2)</f>
        <v/>
      </c>
      <c r="RP24" s="3">
        <f>ROUND(899.0,2)</f>
        <v/>
      </c>
      <c r="RQ24" s="3">
        <f>ROUND(41.0,2)</f>
        <v/>
      </c>
      <c r="RR24" s="3">
        <f>ROUND(0.0,2)</f>
        <v/>
      </c>
      <c r="RS24" s="3">
        <f>ROUND(0.0,2)</f>
        <v/>
      </c>
      <c r="RT24" s="3">
        <f>ROUND(0.0,2)</f>
        <v/>
      </c>
      <c r="RU24" s="3">
        <f>ROUND(0.0,2)</f>
        <v/>
      </c>
      <c r="RV24" s="3">
        <f>ROUND(0.0,2)</f>
        <v/>
      </c>
      <c r="RW24" s="4">
        <f>IFERROR((RQ24/RP24),0)</f>
        <v/>
      </c>
      <c r="RX24" s="4">
        <f>IFERROR(((0+RO11+RO12+RO13+RO14+RO15+RO16+RO17+RO19+RO20+RO21+RO22+RO23+RO24)/T2),0)</f>
        <v/>
      </c>
      <c r="RY24" s="5">
        <f>IFERROR(ROUND(RO24/RQ24,2),0)</f>
        <v/>
      </c>
      <c r="RZ24" s="5">
        <f>IFERROR(ROUND(RO24/RR24,2),0)</f>
        <v/>
      </c>
      <c r="SA24" s="2" t="inlineStr">
        <is>
          <t>2023-10-02</t>
        </is>
      </c>
      <c r="SB24" s="5">
        <f>ROUND(0.48,2)</f>
        <v/>
      </c>
      <c r="SC24" s="3">
        <f>ROUND(1316.0,2)</f>
        <v/>
      </c>
      <c r="SD24" s="3">
        <f>ROUND(48.0,2)</f>
        <v/>
      </c>
      <c r="SE24" s="3">
        <f>ROUND(0.0,2)</f>
        <v/>
      </c>
      <c r="SF24" s="3">
        <f>ROUND(0.0,2)</f>
        <v/>
      </c>
      <c r="SG24" s="3">
        <f>ROUND(0.0,2)</f>
        <v/>
      </c>
      <c r="SH24" s="3">
        <f>ROUND(0.0,2)</f>
        <v/>
      </c>
      <c r="SI24" s="3">
        <f>ROUND(0.0,2)</f>
        <v/>
      </c>
      <c r="SJ24" s="4">
        <f>IFERROR((SD24/SC24),0)</f>
        <v/>
      </c>
      <c r="SK24" s="4">
        <f>IFERROR(((0+SB11+SB12+SB13+SB14+SB15+SB16+SB17+SB19+SB20+SB21+SB22+SB23+SB24)/T2),0)</f>
        <v/>
      </c>
      <c r="SL24" s="5">
        <f>IFERROR(ROUND(SB24/SD24,2),0)</f>
        <v/>
      </c>
      <c r="SM24" s="5">
        <f>IFERROR(ROUND(SB24/SE24,2),0)</f>
        <v/>
      </c>
      <c r="SN24" s="2" t="inlineStr">
        <is>
          <t>2023-10-02</t>
        </is>
      </c>
      <c r="SO24" s="5">
        <f>ROUND(0.71,2)</f>
        <v/>
      </c>
      <c r="SP24" s="3">
        <f>ROUND(1187.0,2)</f>
        <v/>
      </c>
      <c r="SQ24" s="3">
        <f>ROUND(71.0,2)</f>
        <v/>
      </c>
      <c r="SR24" s="3">
        <f>ROUND(0.0,2)</f>
        <v/>
      </c>
      <c r="SS24" s="3">
        <f>ROUND(0.0,2)</f>
        <v/>
      </c>
      <c r="ST24" s="3">
        <f>ROUND(0.0,2)</f>
        <v/>
      </c>
      <c r="SU24" s="3">
        <f>ROUND(0.0,2)</f>
        <v/>
      </c>
      <c r="SV24" s="3">
        <f>ROUND(0.0,2)</f>
        <v/>
      </c>
      <c r="SW24" s="4">
        <f>IFERROR((SQ24/SP24),0)</f>
        <v/>
      </c>
      <c r="SX24" s="4">
        <f>IFERROR(((0+SO11+SO12+SO13+SO14+SO15+SO16+SO17+SO19+SO20+SO21+SO22+SO23+SO24)/T2),0)</f>
        <v/>
      </c>
      <c r="SY24" s="5">
        <f>IFERROR(ROUND(SO24/SQ24,2),0)</f>
        <v/>
      </c>
      <c r="SZ24" s="5">
        <f>IFERROR(ROUND(SO24/SR24,2),0)</f>
        <v/>
      </c>
    </row>
    <row r="25">
      <c r="A25" s="2" t="inlineStr">
        <is>
          <t>2023-10-03</t>
        </is>
      </c>
      <c r="B25" s="5">
        <f>ROUND(40.55,2)</f>
        <v/>
      </c>
      <c r="C25" s="3">
        <f>ROUND(139604.0,2)</f>
        <v/>
      </c>
      <c r="D25" s="3">
        <f>ROUND(4051.0,2)</f>
        <v/>
      </c>
      <c r="E25" s="3">
        <f>ROUND(0.0,2)</f>
        <v/>
      </c>
      <c r="F25" s="3">
        <f>ROUND(0.0,2)</f>
        <v/>
      </c>
      <c r="G25" s="3">
        <f>ROUND(0.0,2)</f>
        <v/>
      </c>
      <c r="H25" s="3">
        <f>ROUND(0.0,2)</f>
        <v/>
      </c>
      <c r="I25" s="3">
        <f>ROUND(0.0,2)</f>
        <v/>
      </c>
      <c r="J25" s="4">
        <f>IFERROR((D25/C25),0)</f>
        <v/>
      </c>
      <c r="K25" s="4">
        <f>IFERROR(((0+B11+B12+B13+B14+B15+B16+B17+B19+B20+B21+B22+B23+B24+B25)/T2),0)</f>
        <v/>
      </c>
      <c r="L25" s="5">
        <f>IFERROR(ROUND(B25/D25,2),0)</f>
        <v/>
      </c>
      <c r="M25" s="5">
        <f>IFERROR(ROUND(B25/E25,2),0)</f>
        <v/>
      </c>
      <c r="N25" s="2" t="inlineStr">
        <is>
          <t>2023-10-03</t>
        </is>
      </c>
      <c r="O25" s="5">
        <f>ROUND(1.71,2)</f>
        <v/>
      </c>
      <c r="P25" s="3">
        <f>ROUND(3041.0,2)</f>
        <v/>
      </c>
      <c r="Q25" s="3">
        <f>ROUND(171.0,2)</f>
        <v/>
      </c>
      <c r="R25" s="3">
        <f>ROUND(0.0,2)</f>
        <v/>
      </c>
      <c r="S25" s="3">
        <f>ROUND(0.0,2)</f>
        <v/>
      </c>
      <c r="T25" s="3">
        <f>ROUND(0.0,2)</f>
        <v/>
      </c>
      <c r="U25" s="3">
        <f>ROUND(0.0,2)</f>
        <v/>
      </c>
      <c r="V25" s="3">
        <f>ROUND(0.0,2)</f>
        <v/>
      </c>
      <c r="W25" s="4">
        <f>IFERROR((Q25/P25),0)</f>
        <v/>
      </c>
      <c r="X25" s="4">
        <f>IFERROR(((0+O11+O12+O13+O14+O15+O16+O17+O19+O20+O21+O22+O23+O24+O25)/T2),0)</f>
        <v/>
      </c>
      <c r="Y25" s="5">
        <f>IFERROR(ROUND(O25/Q25,2),0)</f>
        <v/>
      </c>
      <c r="Z25" s="5">
        <f>IFERROR(ROUND(O25/R25,2),0)</f>
        <v/>
      </c>
      <c r="AA25" s="2" t="inlineStr">
        <is>
          <t>2023-10-03</t>
        </is>
      </c>
      <c r="AB25" s="5">
        <f>ROUND(0.26,2)</f>
        <v/>
      </c>
      <c r="AC25" s="3">
        <f>ROUND(745.0,2)</f>
        <v/>
      </c>
      <c r="AD25" s="3">
        <f>ROUND(26.0,2)</f>
        <v/>
      </c>
      <c r="AE25" s="3">
        <f>ROUND(0.0,2)</f>
        <v/>
      </c>
      <c r="AF25" s="3">
        <f>ROUND(0.0,2)</f>
        <v/>
      </c>
      <c r="AG25" s="3">
        <f>ROUND(0.0,2)</f>
        <v/>
      </c>
      <c r="AH25" s="3">
        <f>ROUND(0.0,2)</f>
        <v/>
      </c>
      <c r="AI25" s="3">
        <f>ROUND(0.0,2)</f>
        <v/>
      </c>
      <c r="AJ25" s="4">
        <f>IFERROR((AD25/AC25),0)</f>
        <v/>
      </c>
      <c r="AK25" s="4">
        <f>IFERROR(((0+AB11+AB12+AB13+AB14+AB15+AB16+AB17+AB19+AB20+AB21+AB22+AB23+AB24+AB25)/T2),0)</f>
        <v/>
      </c>
      <c r="AL25" s="5">
        <f>IFERROR(ROUND(AB25/AD25,2),0)</f>
        <v/>
      </c>
      <c r="AM25" s="5">
        <f>IFERROR(ROUND(AB25/AE25,2),0)</f>
        <v/>
      </c>
      <c r="AN25" s="2" t="inlineStr">
        <is>
          <t>2023-10-03</t>
        </is>
      </c>
      <c r="AO25" s="5">
        <f>ROUND(1.21,2)</f>
        <v/>
      </c>
      <c r="AP25" s="3">
        <f>ROUND(5736.0,2)</f>
        <v/>
      </c>
      <c r="AQ25" s="3">
        <f>ROUND(121.0,2)</f>
        <v/>
      </c>
      <c r="AR25" s="3">
        <f>ROUND(0.0,2)</f>
        <v/>
      </c>
      <c r="AS25" s="3">
        <f>ROUND(0.0,2)</f>
        <v/>
      </c>
      <c r="AT25" s="3">
        <f>ROUND(0.0,2)</f>
        <v/>
      </c>
      <c r="AU25" s="3">
        <f>ROUND(0.0,2)</f>
        <v/>
      </c>
      <c r="AV25" s="3">
        <f>ROUND(0.0,2)</f>
        <v/>
      </c>
      <c r="AW25" s="4">
        <f>IFERROR((AQ25/AP25),0)</f>
        <v/>
      </c>
      <c r="AX25" s="4">
        <f>IFERROR(((0+AO11+AO12+AO13+AO14+AO15+AO16+AO17+AO19+AO20+AO21+AO22+AO23+AO24+AO25)/T2),0)</f>
        <v/>
      </c>
      <c r="AY25" s="5">
        <f>IFERROR(ROUND(AO25/AQ25,2),0)</f>
        <v/>
      </c>
      <c r="AZ25" s="5">
        <f>IFERROR(ROUND(AO25/AR25,2),0)</f>
        <v/>
      </c>
      <c r="BA25" s="2" t="inlineStr">
        <is>
          <t>2023-10-03</t>
        </is>
      </c>
      <c r="BB25" s="5">
        <f>ROUND(0.32999999999999996,2)</f>
        <v/>
      </c>
      <c r="BC25" s="3">
        <f>ROUND(1006.0,2)</f>
        <v/>
      </c>
      <c r="BD25" s="3">
        <f>ROUND(33.0,2)</f>
        <v/>
      </c>
      <c r="BE25" s="3">
        <f>ROUND(0.0,2)</f>
        <v/>
      </c>
      <c r="BF25" s="3">
        <f>ROUND(0.0,2)</f>
        <v/>
      </c>
      <c r="BG25" s="3">
        <f>ROUND(0.0,2)</f>
        <v/>
      </c>
      <c r="BH25" s="3">
        <f>ROUND(0.0,2)</f>
        <v/>
      </c>
      <c r="BI25" s="3">
        <f>ROUND(0.0,2)</f>
        <v/>
      </c>
      <c r="BJ25" s="4">
        <f>IFERROR((BD25/BC25),0)</f>
        <v/>
      </c>
      <c r="BK25" s="4">
        <f>IFERROR(((0+BB11+BB12+BB13+BB14+BB15+BB16+BB17+BB19+BB20+BB21+BB22+BB23+BB24+BB25)/T2),0)</f>
        <v/>
      </c>
      <c r="BL25" s="5">
        <f>IFERROR(ROUND(BB25/BD25,2),0)</f>
        <v/>
      </c>
      <c r="BM25" s="5">
        <f>IFERROR(ROUND(BB25/BE25,2),0)</f>
        <v/>
      </c>
      <c r="BN25" s="2" t="inlineStr">
        <is>
          <t>2023-10-03</t>
        </is>
      </c>
      <c r="BO25" s="5">
        <f>ROUND(0.56,2)</f>
        <v/>
      </c>
      <c r="BP25" s="3">
        <f>ROUND(1328.0,2)</f>
        <v/>
      </c>
      <c r="BQ25" s="3">
        <f>ROUND(56.0,2)</f>
        <v/>
      </c>
      <c r="BR25" s="3">
        <f>ROUND(0.0,2)</f>
        <v/>
      </c>
      <c r="BS25" s="3">
        <f>ROUND(0.0,2)</f>
        <v/>
      </c>
      <c r="BT25" s="3">
        <f>ROUND(0.0,2)</f>
        <v/>
      </c>
      <c r="BU25" s="3">
        <f>ROUND(0.0,2)</f>
        <v/>
      </c>
      <c r="BV25" s="3">
        <f>ROUND(0.0,2)</f>
        <v/>
      </c>
      <c r="BW25" s="4">
        <f>IFERROR((BQ25/BP25),0)</f>
        <v/>
      </c>
      <c r="BX25" s="4">
        <f>IFERROR(((0+BO11+BO12+BO13+BO14+BO15+BO16+BO17+BO19+BO20+BO21+BO22+BO23+BO24+BO25)/T2),0)</f>
        <v/>
      </c>
      <c r="BY25" s="5">
        <f>IFERROR(ROUND(BO25/BQ25,2),0)</f>
        <v/>
      </c>
      <c r="BZ25" s="5">
        <f>IFERROR(ROUND(BO25/BR25,2),0)</f>
        <v/>
      </c>
      <c r="CA25" s="2" t="inlineStr">
        <is>
          <t>2023-10-03</t>
        </is>
      </c>
      <c r="CB25" s="5">
        <f>ROUND(0.89,2)</f>
        <v/>
      </c>
      <c r="CC25" s="3">
        <f>ROUND(1609.0,2)</f>
        <v/>
      </c>
      <c r="CD25" s="3">
        <f>ROUND(89.0,2)</f>
        <v/>
      </c>
      <c r="CE25" s="3">
        <f>ROUND(0.0,2)</f>
        <v/>
      </c>
      <c r="CF25" s="3">
        <f>ROUND(0.0,2)</f>
        <v/>
      </c>
      <c r="CG25" s="3">
        <f>ROUND(0.0,2)</f>
        <v/>
      </c>
      <c r="CH25" s="3">
        <f>ROUND(0.0,2)</f>
        <v/>
      </c>
      <c r="CI25" s="3">
        <f>ROUND(0.0,2)</f>
        <v/>
      </c>
      <c r="CJ25" s="4">
        <f>IFERROR((CD25/CC25),0)</f>
        <v/>
      </c>
      <c r="CK25" s="4">
        <f>IFERROR(((0+CB11+CB12+CB13+CB14+CB15+CB16+CB17+CB19+CB20+CB21+CB22+CB23+CB24+CB25)/T2),0)</f>
        <v/>
      </c>
      <c r="CL25" s="5">
        <f>IFERROR(ROUND(CB25/CD25,2),0)</f>
        <v/>
      </c>
      <c r="CM25" s="5">
        <f>IFERROR(ROUND(CB25/CE25,2),0)</f>
        <v/>
      </c>
      <c r="CN25" s="2" t="inlineStr">
        <is>
          <t>2023-10-03</t>
        </is>
      </c>
      <c r="CO25" s="5">
        <f>ROUND(1.6400000000000001,2)</f>
        <v/>
      </c>
      <c r="CP25" s="3">
        <f>ROUND(9369.0,2)</f>
        <v/>
      </c>
      <c r="CQ25" s="3">
        <f>ROUND(164.0,2)</f>
        <v/>
      </c>
      <c r="CR25" s="3">
        <f>ROUND(0.0,2)</f>
        <v/>
      </c>
      <c r="CS25" s="3">
        <f>ROUND(0.0,2)</f>
        <v/>
      </c>
      <c r="CT25" s="3">
        <f>ROUND(0.0,2)</f>
        <v/>
      </c>
      <c r="CU25" s="3">
        <f>ROUND(0.0,2)</f>
        <v/>
      </c>
      <c r="CV25" s="3">
        <f>ROUND(0.0,2)</f>
        <v/>
      </c>
      <c r="CW25" s="4">
        <f>IFERROR((CQ25/CP25),0)</f>
        <v/>
      </c>
      <c r="CX25" s="4">
        <f>IFERROR(((0+CO11+CO12+CO13+CO14+CO15+CO16+CO17+CO19+CO20+CO21+CO22+CO23+CO24+CO25)/T2),0)</f>
        <v/>
      </c>
      <c r="CY25" s="5">
        <f>IFERROR(ROUND(CO25/CQ25,2),0)</f>
        <v/>
      </c>
      <c r="CZ25" s="5">
        <f>IFERROR(ROUND(CO25/CR25,2),0)</f>
        <v/>
      </c>
      <c r="DA25" s="2" t="inlineStr">
        <is>
          <t>2023-10-03</t>
        </is>
      </c>
      <c r="DB25" s="5">
        <f>ROUND(3.45,2)</f>
        <v/>
      </c>
      <c r="DC25" s="3">
        <f>ROUND(7046.0,2)</f>
        <v/>
      </c>
      <c r="DD25" s="3">
        <f>ROUND(344.0,2)</f>
        <v/>
      </c>
      <c r="DE25" s="3">
        <f>ROUND(0.0,2)</f>
        <v/>
      </c>
      <c r="DF25" s="3">
        <f>ROUND(0.0,2)</f>
        <v/>
      </c>
      <c r="DG25" s="3">
        <f>ROUND(0.0,2)</f>
        <v/>
      </c>
      <c r="DH25" s="3">
        <f>ROUND(0.0,2)</f>
        <v/>
      </c>
      <c r="DI25" s="3">
        <f>ROUND(0.0,2)</f>
        <v/>
      </c>
      <c r="DJ25" s="4">
        <f>IFERROR((DD25/DC25),0)</f>
        <v/>
      </c>
      <c r="DK25" s="4">
        <f>IFERROR(((0+DB11+DB12+DB13+DB14+DB15+DB16+DB17+DB19+DB20+DB21+DB22+DB23+DB24+DB25)/T2),0)</f>
        <v/>
      </c>
      <c r="DL25" s="5">
        <f>IFERROR(ROUND(DB25/DD25,2),0)</f>
        <v/>
      </c>
      <c r="DM25" s="5">
        <f>IFERROR(ROUND(DB25/DE25,2),0)</f>
        <v/>
      </c>
      <c r="DN25" s="2" t="inlineStr">
        <is>
          <t>2023-10-03</t>
        </is>
      </c>
      <c r="DO25" s="5">
        <f>ROUND(0.6,2)</f>
        <v/>
      </c>
      <c r="DP25" s="3">
        <f>ROUND(1235.0,2)</f>
        <v/>
      </c>
      <c r="DQ25" s="3">
        <f>ROUND(60.0,2)</f>
        <v/>
      </c>
      <c r="DR25" s="3">
        <f>ROUND(0.0,2)</f>
        <v/>
      </c>
      <c r="DS25" s="3">
        <f>ROUND(0.0,2)</f>
        <v/>
      </c>
      <c r="DT25" s="3">
        <f>ROUND(0.0,2)</f>
        <v/>
      </c>
      <c r="DU25" s="3">
        <f>ROUND(0.0,2)</f>
        <v/>
      </c>
      <c r="DV25" s="3">
        <f>ROUND(0.0,2)</f>
        <v/>
      </c>
      <c r="DW25" s="4">
        <f>IFERROR((DQ25/DP25),0)</f>
        <v/>
      </c>
      <c r="DX25" s="4">
        <f>IFERROR(((0+DO11+DO12+DO13+DO14+DO15+DO16+DO17+DO19+DO20+DO21+DO22+DO23+DO24+DO25)/T2),0)</f>
        <v/>
      </c>
      <c r="DY25" s="5">
        <f>IFERROR(ROUND(DO25/DQ25,2),0)</f>
        <v/>
      </c>
      <c r="DZ25" s="5">
        <f>IFERROR(ROUND(DO25/DR25,2),0)</f>
        <v/>
      </c>
      <c r="EA25" s="2" t="inlineStr">
        <is>
          <t>2023-10-03</t>
        </is>
      </c>
      <c r="EB25" s="5">
        <f>ROUND(2.88,2)</f>
        <v/>
      </c>
      <c r="EC25" s="3">
        <f>ROUND(16825.0,2)</f>
        <v/>
      </c>
      <c r="ED25" s="3">
        <f>ROUND(287.0,2)</f>
        <v/>
      </c>
      <c r="EE25" s="3">
        <f>ROUND(0.0,2)</f>
        <v/>
      </c>
      <c r="EF25" s="3">
        <f>ROUND(0.0,2)</f>
        <v/>
      </c>
      <c r="EG25" s="3">
        <f>ROUND(0.0,2)</f>
        <v/>
      </c>
      <c r="EH25" s="3">
        <f>ROUND(0.0,2)</f>
        <v/>
      </c>
      <c r="EI25" s="3">
        <f>ROUND(0.0,2)</f>
        <v/>
      </c>
      <c r="EJ25" s="4">
        <f>IFERROR((ED25/EC25),0)</f>
        <v/>
      </c>
      <c r="EK25" s="4">
        <f>IFERROR(((0+EB11+EB12+EB13+EB14+EB15+EB16+EB17+EB19+EB20+EB21+EB22+EB23+EB24+EB25)/T2),0)</f>
        <v/>
      </c>
      <c r="EL25" s="5">
        <f>IFERROR(ROUND(EB25/ED25,2),0)</f>
        <v/>
      </c>
      <c r="EM25" s="5">
        <f>IFERROR(ROUND(EB25/EE25,2),0)</f>
        <v/>
      </c>
      <c r="EN25" s="2" t="inlineStr">
        <is>
          <t>2023-10-03</t>
        </is>
      </c>
      <c r="EO25" s="5">
        <f>ROUND(0.52,2)</f>
        <v/>
      </c>
      <c r="EP25" s="3">
        <f>ROUND(1095.0,2)</f>
        <v/>
      </c>
      <c r="EQ25" s="3">
        <f>ROUND(52.0,2)</f>
        <v/>
      </c>
      <c r="ER25" s="3">
        <f>ROUND(0.0,2)</f>
        <v/>
      </c>
      <c r="ES25" s="3">
        <f>ROUND(0.0,2)</f>
        <v/>
      </c>
      <c r="ET25" s="3">
        <f>ROUND(0.0,2)</f>
        <v/>
      </c>
      <c r="EU25" s="3">
        <f>ROUND(0.0,2)</f>
        <v/>
      </c>
      <c r="EV25" s="3">
        <f>ROUND(0.0,2)</f>
        <v/>
      </c>
      <c r="EW25" s="4">
        <f>IFERROR((EQ25/EP25),0)</f>
        <v/>
      </c>
      <c r="EX25" s="4">
        <f>IFERROR(((0+EO11+EO12+EO13+EO14+EO15+EO16+EO17+EO19+EO20+EO21+EO22+EO23+EO24+EO25)/T2),0)</f>
        <v/>
      </c>
      <c r="EY25" s="5">
        <f>IFERROR(ROUND(EO25/EQ25,2),0)</f>
        <v/>
      </c>
      <c r="EZ25" s="5">
        <f>IFERROR(ROUND(EO25/ER25,2),0)</f>
        <v/>
      </c>
      <c r="FA25" s="2" t="inlineStr">
        <is>
          <t>2023-10-03</t>
        </is>
      </c>
      <c r="FB25" s="5">
        <f>ROUND(1.3800000000000001,2)</f>
        <v/>
      </c>
      <c r="FC25" s="3">
        <f>ROUND(8248.0,2)</f>
        <v/>
      </c>
      <c r="FD25" s="3">
        <f>ROUND(138.0,2)</f>
        <v/>
      </c>
      <c r="FE25" s="3">
        <f>ROUND(0.0,2)</f>
        <v/>
      </c>
      <c r="FF25" s="3">
        <f>ROUND(0.0,2)</f>
        <v/>
      </c>
      <c r="FG25" s="3">
        <f>ROUND(0.0,2)</f>
        <v/>
      </c>
      <c r="FH25" s="3">
        <f>ROUND(0.0,2)</f>
        <v/>
      </c>
      <c r="FI25" s="3">
        <f>ROUND(0.0,2)</f>
        <v/>
      </c>
      <c r="FJ25" s="4">
        <f>IFERROR((FD25/FC25),0)</f>
        <v/>
      </c>
      <c r="FK25" s="4">
        <f>IFERROR(((0+FB11+FB12+FB13+FB14+FB15+FB16+FB17+FB19+FB20+FB21+FB22+FB23+FB24+FB25)/T2),0)</f>
        <v/>
      </c>
      <c r="FL25" s="5">
        <f>IFERROR(ROUND(FB25/FD25,2),0)</f>
        <v/>
      </c>
      <c r="FM25" s="5">
        <f>IFERROR(ROUND(FB25/FE25,2),0)</f>
        <v/>
      </c>
      <c r="FN25" s="2" t="inlineStr">
        <is>
          <t>2023-10-03</t>
        </is>
      </c>
      <c r="FO25" s="5">
        <f>ROUND(2.8699999999999997,2)</f>
        <v/>
      </c>
      <c r="FP25" s="3">
        <f>ROUND(9094.0,2)</f>
        <v/>
      </c>
      <c r="FQ25" s="3">
        <f>ROUND(286.0,2)</f>
        <v/>
      </c>
      <c r="FR25" s="3">
        <f>ROUND(0.0,2)</f>
        <v/>
      </c>
      <c r="FS25" s="3">
        <f>ROUND(0.0,2)</f>
        <v/>
      </c>
      <c r="FT25" s="3">
        <f>ROUND(0.0,2)</f>
        <v/>
      </c>
      <c r="FU25" s="3">
        <f>ROUND(0.0,2)</f>
        <v/>
      </c>
      <c r="FV25" s="3">
        <f>ROUND(0.0,2)</f>
        <v/>
      </c>
      <c r="FW25" s="4">
        <f>IFERROR((FQ25/FP25),0)</f>
        <v/>
      </c>
      <c r="FX25" s="4">
        <f>IFERROR(((0+FO11+FO12+FO13+FO14+FO15+FO16+FO17+FO19+FO20+FO21+FO22+FO23+FO24+FO25)/T2),0)</f>
        <v/>
      </c>
      <c r="FY25" s="5">
        <f>IFERROR(ROUND(FO25/FQ25,2),0)</f>
        <v/>
      </c>
      <c r="FZ25" s="5">
        <f>IFERROR(ROUND(FO25/FR25,2),0)</f>
        <v/>
      </c>
      <c r="GA25" s="2" t="inlineStr">
        <is>
          <t>2023-10-03</t>
        </is>
      </c>
      <c r="GB25" s="5">
        <f>ROUND(0.9400000000000001,2)</f>
        <v/>
      </c>
      <c r="GC25" s="3">
        <f>ROUND(1689.0,2)</f>
        <v/>
      </c>
      <c r="GD25" s="3">
        <f>ROUND(93.0,2)</f>
        <v/>
      </c>
      <c r="GE25" s="3">
        <f>ROUND(0.0,2)</f>
        <v/>
      </c>
      <c r="GF25" s="3">
        <f>ROUND(0.0,2)</f>
        <v/>
      </c>
      <c r="GG25" s="3">
        <f>ROUND(0.0,2)</f>
        <v/>
      </c>
      <c r="GH25" s="3">
        <f>ROUND(0.0,2)</f>
        <v/>
      </c>
      <c r="GI25" s="3">
        <f>ROUND(0.0,2)</f>
        <v/>
      </c>
      <c r="GJ25" s="4">
        <f>IFERROR((GD25/GC25),0)</f>
        <v/>
      </c>
      <c r="GK25" s="4">
        <f>IFERROR(((0+GB11+GB12+GB13+GB14+GB15+GB16+GB17+GB19+GB20+GB21+GB22+GB23+GB24+GB25)/T2),0)</f>
        <v/>
      </c>
      <c r="GL25" s="5">
        <f>IFERROR(ROUND(GB25/GD25,2),0)</f>
        <v/>
      </c>
      <c r="GM25" s="5">
        <f>IFERROR(ROUND(GB25/GE25,2),0)</f>
        <v/>
      </c>
      <c r="GN25" s="2" t="inlineStr">
        <is>
          <t>2023-10-03</t>
        </is>
      </c>
      <c r="GO25" s="5">
        <f>ROUND(1.9,2)</f>
        <v/>
      </c>
      <c r="GP25" s="3">
        <f>ROUND(9687.0,2)</f>
        <v/>
      </c>
      <c r="GQ25" s="3">
        <f>ROUND(190.0,2)</f>
        <v/>
      </c>
      <c r="GR25" s="3">
        <f>ROUND(0.0,2)</f>
        <v/>
      </c>
      <c r="GS25" s="3">
        <f>ROUND(0.0,2)</f>
        <v/>
      </c>
      <c r="GT25" s="3">
        <f>ROUND(0.0,2)</f>
        <v/>
      </c>
      <c r="GU25" s="3">
        <f>ROUND(0.0,2)</f>
        <v/>
      </c>
      <c r="GV25" s="3">
        <f>ROUND(0.0,2)</f>
        <v/>
      </c>
      <c r="GW25" s="4">
        <f>IFERROR((GQ25/GP25),0)</f>
        <v/>
      </c>
      <c r="GX25" s="4">
        <f>IFERROR(((0+GO11+GO12+GO13+GO14+GO15+GO16+GO17+GO19+GO20+GO21+GO22+GO23+GO24+GO25)/T2),0)</f>
        <v/>
      </c>
      <c r="GY25" s="5">
        <f>IFERROR(ROUND(GO25/GQ25,2),0)</f>
        <v/>
      </c>
      <c r="GZ25" s="5">
        <f>IFERROR(ROUND(GO25/GR25,2),0)</f>
        <v/>
      </c>
      <c r="HA25" s="2" t="inlineStr">
        <is>
          <t>2023-10-03</t>
        </is>
      </c>
      <c r="HB25" s="5">
        <f>ROUND(1.3800000000000001,2)</f>
        <v/>
      </c>
      <c r="HC25" s="3">
        <f>ROUND(2587.0,2)</f>
        <v/>
      </c>
      <c r="HD25" s="3">
        <f>ROUND(138.0,2)</f>
        <v/>
      </c>
      <c r="HE25" s="3">
        <f>ROUND(0.0,2)</f>
        <v/>
      </c>
      <c r="HF25" s="3">
        <f>ROUND(0.0,2)</f>
        <v/>
      </c>
      <c r="HG25" s="3">
        <f>ROUND(0.0,2)</f>
        <v/>
      </c>
      <c r="HH25" s="3">
        <f>ROUND(0.0,2)</f>
        <v/>
      </c>
      <c r="HI25" s="3">
        <f>ROUND(0.0,2)</f>
        <v/>
      </c>
      <c r="HJ25" s="4">
        <f>IFERROR((HD25/HC25),0)</f>
        <v/>
      </c>
      <c r="HK25" s="4">
        <f>IFERROR(((0+HB11+HB12+HB13+HB14+HB15+HB16+HB17+HB19+HB20+HB21+HB22+HB23+HB24+HB25)/T2),0)</f>
        <v/>
      </c>
      <c r="HL25" s="5">
        <f>IFERROR(ROUND(HB25/HD25,2),0)</f>
        <v/>
      </c>
      <c r="HM25" s="5">
        <f>IFERROR(ROUND(HB25/HE25,2),0)</f>
        <v/>
      </c>
      <c r="HN25" s="2" t="inlineStr">
        <is>
          <t>2023-10-03</t>
        </is>
      </c>
      <c r="HO25" s="5">
        <f>ROUND(0.21000000000000002,2)</f>
        <v/>
      </c>
      <c r="HP25" s="3">
        <f>ROUND(560.0,2)</f>
        <v/>
      </c>
      <c r="HQ25" s="3">
        <f>ROUND(21.0,2)</f>
        <v/>
      </c>
      <c r="HR25" s="3">
        <f>ROUND(0.0,2)</f>
        <v/>
      </c>
      <c r="HS25" s="3">
        <f>ROUND(0.0,2)</f>
        <v/>
      </c>
      <c r="HT25" s="3">
        <f>ROUND(0.0,2)</f>
        <v/>
      </c>
      <c r="HU25" s="3">
        <f>ROUND(0.0,2)</f>
        <v/>
      </c>
      <c r="HV25" s="3">
        <f>ROUND(0.0,2)</f>
        <v/>
      </c>
      <c r="HW25" s="4">
        <f>IFERROR((HQ25/HP25),0)</f>
        <v/>
      </c>
      <c r="HX25" s="4">
        <f>IFERROR(((0+HO11+HO12+HO13+HO14+HO15+HO16+HO17+HO19+HO20+HO21+HO22+HO23+HO24+HO25)/T2),0)</f>
        <v/>
      </c>
      <c r="HY25" s="5">
        <f>IFERROR(ROUND(HO25/HQ25,2),0)</f>
        <v/>
      </c>
      <c r="HZ25" s="5">
        <f>IFERROR(ROUND(HO25/HR25,2),0)</f>
        <v/>
      </c>
      <c r="IA25" s="2" t="inlineStr">
        <is>
          <t>2023-10-03</t>
        </is>
      </c>
      <c r="IB25" s="5">
        <f>ROUND(0.78,2)</f>
        <v/>
      </c>
      <c r="IC25" s="3">
        <f>ROUND(1185.0,2)</f>
        <v/>
      </c>
      <c r="ID25" s="3">
        <f>ROUND(78.0,2)</f>
        <v/>
      </c>
      <c r="IE25" s="3">
        <f>ROUND(0.0,2)</f>
        <v/>
      </c>
      <c r="IF25" s="3">
        <f>ROUND(0.0,2)</f>
        <v/>
      </c>
      <c r="IG25" s="3">
        <f>ROUND(0.0,2)</f>
        <v/>
      </c>
      <c r="IH25" s="3">
        <f>ROUND(0.0,2)</f>
        <v/>
      </c>
      <c r="II25" s="3">
        <f>ROUND(0.0,2)</f>
        <v/>
      </c>
      <c r="IJ25" s="4">
        <f>IFERROR((ID25/IC25),0)</f>
        <v/>
      </c>
      <c r="IK25" s="4">
        <f>IFERROR(((0+IB11+IB12+IB13+IB14+IB15+IB16+IB17+IB19+IB20+IB21+IB22+IB23+IB24+IB25)/T2),0)</f>
        <v/>
      </c>
      <c r="IL25" s="5">
        <f>IFERROR(ROUND(IB25/ID25,2),0)</f>
        <v/>
      </c>
      <c r="IM25" s="5">
        <f>IFERROR(ROUND(IB25/IE25,2),0)</f>
        <v/>
      </c>
      <c r="IN25" s="2" t="inlineStr">
        <is>
          <t>2023-10-03</t>
        </is>
      </c>
      <c r="IO25" s="5">
        <f>ROUND(0.8500000000000001,2)</f>
        <v/>
      </c>
      <c r="IP25" s="3">
        <f>ROUND(2789.0,2)</f>
        <v/>
      </c>
      <c r="IQ25" s="3">
        <f>ROUND(85.0,2)</f>
        <v/>
      </c>
      <c r="IR25" s="3">
        <f>ROUND(0.0,2)</f>
        <v/>
      </c>
      <c r="IS25" s="3">
        <f>ROUND(0.0,2)</f>
        <v/>
      </c>
      <c r="IT25" s="3">
        <f>ROUND(0.0,2)</f>
        <v/>
      </c>
      <c r="IU25" s="3">
        <f>ROUND(0.0,2)</f>
        <v/>
      </c>
      <c r="IV25" s="3">
        <f>ROUND(0.0,2)</f>
        <v/>
      </c>
      <c r="IW25" s="4">
        <f>IFERROR((IQ25/IP25),0)</f>
        <v/>
      </c>
      <c r="IX25" s="4">
        <f>IFERROR(((0+IO11+IO12+IO13+IO14+IO15+IO16+IO17+IO19+IO20+IO21+IO22+IO23+IO24+IO25)/T2),0)</f>
        <v/>
      </c>
      <c r="IY25" s="5">
        <f>IFERROR(ROUND(IO25/IQ25,2),0)</f>
        <v/>
      </c>
      <c r="IZ25" s="5">
        <f>IFERROR(ROUND(IO25/IR25,2),0)</f>
        <v/>
      </c>
      <c r="JA25" s="2" t="inlineStr">
        <is>
          <t>2023-10-03</t>
        </is>
      </c>
      <c r="JB25" s="5">
        <f>ROUND(0.72,2)</f>
        <v/>
      </c>
      <c r="JC25" s="3">
        <f>ROUND(1817.0,2)</f>
        <v/>
      </c>
      <c r="JD25" s="3">
        <f>ROUND(72.0,2)</f>
        <v/>
      </c>
      <c r="JE25" s="3">
        <f>ROUND(0.0,2)</f>
        <v/>
      </c>
      <c r="JF25" s="3">
        <f>ROUND(0.0,2)</f>
        <v/>
      </c>
      <c r="JG25" s="3">
        <f>ROUND(0.0,2)</f>
        <v/>
      </c>
      <c r="JH25" s="3">
        <f>ROUND(0.0,2)</f>
        <v/>
      </c>
      <c r="JI25" s="3">
        <f>ROUND(0.0,2)</f>
        <v/>
      </c>
      <c r="JJ25" s="4">
        <f>IFERROR((JD25/JC25),0)</f>
        <v/>
      </c>
      <c r="JK25" s="4">
        <f>IFERROR(((0+JB11+JB12+JB13+JB14+JB15+JB16+JB17+JB19+JB20+JB21+JB22+JB23+JB24+JB25)/T2),0)</f>
        <v/>
      </c>
      <c r="JL25" s="5">
        <f>IFERROR(ROUND(JB25/JD25,2),0)</f>
        <v/>
      </c>
      <c r="JM25" s="5">
        <f>IFERROR(ROUND(JB25/JE25,2),0)</f>
        <v/>
      </c>
      <c r="JN25" s="2" t="inlineStr">
        <is>
          <t>2023-10-03</t>
        </is>
      </c>
      <c r="JO25" s="5">
        <f>ROUND(0.9299999999999999,2)</f>
        <v/>
      </c>
      <c r="JP25" s="3">
        <f>ROUND(2085.0,2)</f>
        <v/>
      </c>
      <c r="JQ25" s="3">
        <f>ROUND(93.0,2)</f>
        <v/>
      </c>
      <c r="JR25" s="3">
        <f>ROUND(0.0,2)</f>
        <v/>
      </c>
      <c r="JS25" s="3">
        <f>ROUND(0.0,2)</f>
        <v/>
      </c>
      <c r="JT25" s="3">
        <f>ROUND(0.0,2)</f>
        <v/>
      </c>
      <c r="JU25" s="3">
        <f>ROUND(0.0,2)</f>
        <v/>
      </c>
      <c r="JV25" s="3">
        <f>ROUND(0.0,2)</f>
        <v/>
      </c>
      <c r="JW25" s="4">
        <f>IFERROR((JQ25/JP25),0)</f>
        <v/>
      </c>
      <c r="JX25" s="4">
        <f>IFERROR(((0+JO11+JO12+JO13+JO14+JO15+JO16+JO17+JO19+JO20+JO21+JO22+JO23+JO24+JO25)/T2),0)</f>
        <v/>
      </c>
      <c r="JY25" s="5">
        <f>IFERROR(ROUND(JO25/JQ25,2),0)</f>
        <v/>
      </c>
      <c r="JZ25" s="5">
        <f>IFERROR(ROUND(JO25/JR25,2),0)</f>
        <v/>
      </c>
      <c r="KA25" s="2" t="inlineStr">
        <is>
          <t>2023-10-03</t>
        </is>
      </c>
      <c r="KB25" s="5">
        <f>ROUND(0.5900000000000001,2)</f>
        <v/>
      </c>
      <c r="KC25" s="3">
        <f>ROUND(1185.0,2)</f>
        <v/>
      </c>
      <c r="KD25" s="3">
        <f>ROUND(59.0,2)</f>
        <v/>
      </c>
      <c r="KE25" s="3">
        <f>ROUND(0.0,2)</f>
        <v/>
      </c>
      <c r="KF25" s="3">
        <f>ROUND(0.0,2)</f>
        <v/>
      </c>
      <c r="KG25" s="3">
        <f>ROUND(0.0,2)</f>
        <v/>
      </c>
      <c r="KH25" s="3">
        <f>ROUND(0.0,2)</f>
        <v/>
      </c>
      <c r="KI25" s="3">
        <f>ROUND(0.0,2)</f>
        <v/>
      </c>
      <c r="KJ25" s="4">
        <f>IFERROR((KD25/KC25),0)</f>
        <v/>
      </c>
      <c r="KK25" s="4">
        <f>IFERROR(((0+KB11+KB12+KB13+KB14+KB15+KB16+KB17+KB19+KB20+KB21+KB22+KB23+KB24+KB25)/T2),0)</f>
        <v/>
      </c>
      <c r="KL25" s="5">
        <f>IFERROR(ROUND(KB25/KD25,2),0)</f>
        <v/>
      </c>
      <c r="KM25" s="5">
        <f>IFERROR(ROUND(KB25/KE25,2),0)</f>
        <v/>
      </c>
      <c r="KN25" s="2" t="inlineStr">
        <is>
          <t>2023-10-03</t>
        </is>
      </c>
      <c r="KO25" s="5">
        <f>ROUND(1.1099999999999999,2)</f>
        <v/>
      </c>
      <c r="KP25" s="3">
        <f>ROUND(6468.0,2)</f>
        <v/>
      </c>
      <c r="KQ25" s="3">
        <f>ROUND(111.0,2)</f>
        <v/>
      </c>
      <c r="KR25" s="3">
        <f>ROUND(0.0,2)</f>
        <v/>
      </c>
      <c r="KS25" s="3">
        <f>ROUND(0.0,2)</f>
        <v/>
      </c>
      <c r="KT25" s="3">
        <f>ROUND(0.0,2)</f>
        <v/>
      </c>
      <c r="KU25" s="3">
        <f>ROUND(0.0,2)</f>
        <v/>
      </c>
      <c r="KV25" s="3">
        <f>ROUND(0.0,2)</f>
        <v/>
      </c>
      <c r="KW25" s="4">
        <f>IFERROR((KQ25/KP25),0)</f>
        <v/>
      </c>
      <c r="KX25" s="4">
        <f>IFERROR(((0+KO11+KO12+KO13+KO14+KO15+KO16+KO17+KO19+KO20+KO21+KO22+KO23+KO24+KO25)/T2),0)</f>
        <v/>
      </c>
      <c r="KY25" s="5">
        <f>IFERROR(ROUND(KO25/KQ25,2),0)</f>
        <v/>
      </c>
      <c r="KZ25" s="5">
        <f>IFERROR(ROUND(KO25/KR25,2),0)</f>
        <v/>
      </c>
      <c r="LA25" s="2" t="inlineStr">
        <is>
          <t>2023-10-03</t>
        </is>
      </c>
      <c r="LB25" s="5">
        <f>ROUND(0.57,2)</f>
        <v/>
      </c>
      <c r="LC25" s="3">
        <f>ROUND(3550.0,2)</f>
        <v/>
      </c>
      <c r="LD25" s="3">
        <f>ROUND(57.0,2)</f>
        <v/>
      </c>
      <c r="LE25" s="3">
        <f>ROUND(0.0,2)</f>
        <v/>
      </c>
      <c r="LF25" s="3">
        <f>ROUND(0.0,2)</f>
        <v/>
      </c>
      <c r="LG25" s="3">
        <f>ROUND(0.0,2)</f>
        <v/>
      </c>
      <c r="LH25" s="3">
        <f>ROUND(0.0,2)</f>
        <v/>
      </c>
      <c r="LI25" s="3">
        <f>ROUND(0.0,2)</f>
        <v/>
      </c>
      <c r="LJ25" s="4">
        <f>IFERROR((LD25/LC25),0)</f>
        <v/>
      </c>
      <c r="LK25" s="4">
        <f>IFERROR(((0+LB11+LB12+LB13+LB14+LB15+LB16+LB17+LB19+LB20+LB21+LB22+LB23+LB24+LB25)/T2),0)</f>
        <v/>
      </c>
      <c r="LL25" s="5">
        <f>IFERROR(ROUND(LB25/LD25,2),0)</f>
        <v/>
      </c>
      <c r="LM25" s="5">
        <f>IFERROR(ROUND(LB25/LE25,2),0)</f>
        <v/>
      </c>
      <c r="LN25" s="2" t="inlineStr">
        <is>
          <t>2023-10-03</t>
        </is>
      </c>
      <c r="LO25" s="5">
        <f>ROUND(0.59,2)</f>
        <v/>
      </c>
      <c r="LP25" s="3">
        <f>ROUND(3554.0,2)</f>
        <v/>
      </c>
      <c r="LQ25" s="3">
        <f>ROUND(59.0,2)</f>
        <v/>
      </c>
      <c r="LR25" s="3">
        <f>ROUND(0.0,2)</f>
        <v/>
      </c>
      <c r="LS25" s="3">
        <f>ROUND(0.0,2)</f>
        <v/>
      </c>
      <c r="LT25" s="3">
        <f>ROUND(0.0,2)</f>
        <v/>
      </c>
      <c r="LU25" s="3">
        <f>ROUND(0.0,2)</f>
        <v/>
      </c>
      <c r="LV25" s="3">
        <f>ROUND(0.0,2)</f>
        <v/>
      </c>
      <c r="LW25" s="4">
        <f>IFERROR((LQ25/LP25),0)</f>
        <v/>
      </c>
      <c r="LX25" s="4">
        <f>IFERROR(((0+LO11+LO12+LO13+LO14+LO15+LO16+LO17+LO19+LO20+LO21+LO22+LO23+LO24+LO25)/T2),0)</f>
        <v/>
      </c>
      <c r="LY25" s="5">
        <f>IFERROR(ROUND(LO25/LQ25,2),0)</f>
        <v/>
      </c>
      <c r="LZ25" s="5">
        <f>IFERROR(ROUND(LO25/LR25,2),0)</f>
        <v/>
      </c>
      <c r="MA25" s="2" t="inlineStr">
        <is>
          <t>2023-10-03</t>
        </is>
      </c>
      <c r="MB25" s="5">
        <f>ROUND(1.16,2)</f>
        <v/>
      </c>
      <c r="MC25" s="3">
        <f>ROUND(6200.0,2)</f>
        <v/>
      </c>
      <c r="MD25" s="3">
        <f>ROUND(116.0,2)</f>
        <v/>
      </c>
      <c r="ME25" s="3">
        <f>ROUND(0.0,2)</f>
        <v/>
      </c>
      <c r="MF25" s="3">
        <f>ROUND(0.0,2)</f>
        <v/>
      </c>
      <c r="MG25" s="3">
        <f>ROUND(0.0,2)</f>
        <v/>
      </c>
      <c r="MH25" s="3">
        <f>ROUND(0.0,2)</f>
        <v/>
      </c>
      <c r="MI25" s="3">
        <f>ROUND(0.0,2)</f>
        <v/>
      </c>
      <c r="MJ25" s="4">
        <f>IFERROR((MD25/MC25),0)</f>
        <v/>
      </c>
      <c r="MK25" s="4">
        <f>IFERROR(((0+MB11+MB12+MB13+MB14+MB15+MB16+MB17+MB19+MB20+MB21+MB22+MB23+MB24+MB25)/T2),0)</f>
        <v/>
      </c>
      <c r="ML25" s="5">
        <f>IFERROR(ROUND(MB25/MD25,2),0)</f>
        <v/>
      </c>
      <c r="MM25" s="5">
        <f>IFERROR(ROUND(MB25/ME25,2),0)</f>
        <v/>
      </c>
      <c r="MN25" s="2" t="inlineStr">
        <is>
          <t>2023-10-03</t>
        </is>
      </c>
      <c r="MO25" s="5">
        <f>ROUND(2.78,2)</f>
        <v/>
      </c>
      <c r="MP25" s="3">
        <f>ROUND(4960.0,2)</f>
        <v/>
      </c>
      <c r="MQ25" s="3">
        <f>ROUND(278.0,2)</f>
        <v/>
      </c>
      <c r="MR25" s="3">
        <f>ROUND(0.0,2)</f>
        <v/>
      </c>
      <c r="MS25" s="3">
        <f>ROUND(0.0,2)</f>
        <v/>
      </c>
      <c r="MT25" s="3">
        <f>ROUND(0.0,2)</f>
        <v/>
      </c>
      <c r="MU25" s="3">
        <f>ROUND(0.0,2)</f>
        <v/>
      </c>
      <c r="MV25" s="3">
        <f>ROUND(0.0,2)</f>
        <v/>
      </c>
      <c r="MW25" s="4">
        <f>IFERROR((MQ25/MP25),0)</f>
        <v/>
      </c>
      <c r="MX25" s="4">
        <f>IFERROR(((0+MO11+MO12+MO13+MO14+MO15+MO16+MO17+MO19+MO20+MO21+MO22+MO23+MO24+MO25)/T2),0)</f>
        <v/>
      </c>
      <c r="MY25" s="5">
        <f>IFERROR(ROUND(MO25/MQ25,2),0)</f>
        <v/>
      </c>
      <c r="MZ25" s="5">
        <f>IFERROR(ROUND(MO25/MR25,2),0)</f>
        <v/>
      </c>
      <c r="NA25" s="2" t="inlineStr">
        <is>
          <t>2023-10-03</t>
        </is>
      </c>
      <c r="NB25" s="5">
        <f>ROUND(1.65,2)</f>
        <v/>
      </c>
      <c r="NC25" s="3">
        <f>ROUND(7921.0,2)</f>
        <v/>
      </c>
      <c r="ND25" s="3">
        <f>ROUND(165.0,2)</f>
        <v/>
      </c>
      <c r="NE25" s="3">
        <f>ROUND(0.0,2)</f>
        <v/>
      </c>
      <c r="NF25" s="3">
        <f>ROUND(0.0,2)</f>
        <v/>
      </c>
      <c r="NG25" s="3">
        <f>ROUND(0.0,2)</f>
        <v/>
      </c>
      <c r="NH25" s="3">
        <f>ROUND(0.0,2)</f>
        <v/>
      </c>
      <c r="NI25" s="3">
        <f>ROUND(0.0,2)</f>
        <v/>
      </c>
      <c r="NJ25" s="4">
        <f>IFERROR((ND25/NC25),0)</f>
        <v/>
      </c>
      <c r="NK25" s="4">
        <f>IFERROR(((0+NB11+NB12+NB13+NB14+NB15+NB16+NB17+NB19+NB20+NB21+NB22+NB23+NB24+NB25)/T2),0)</f>
        <v/>
      </c>
      <c r="NL25" s="5">
        <f>IFERROR(ROUND(NB25/ND25,2),0)</f>
        <v/>
      </c>
      <c r="NM25" s="5">
        <f>IFERROR(ROUND(NB25/NE25,2),0)</f>
        <v/>
      </c>
      <c r="NN25" s="2" t="inlineStr">
        <is>
          <t>2023-10-03</t>
        </is>
      </c>
      <c r="NO25" s="5">
        <f>ROUND(0.26,2)</f>
        <v/>
      </c>
      <c r="NP25" s="3">
        <f>ROUND(936.0,2)</f>
        <v/>
      </c>
      <c r="NQ25" s="3">
        <f>ROUND(26.0,2)</f>
        <v/>
      </c>
      <c r="NR25" s="3">
        <f>ROUND(0.0,2)</f>
        <v/>
      </c>
      <c r="NS25" s="3">
        <f>ROUND(0.0,2)</f>
        <v/>
      </c>
      <c r="NT25" s="3">
        <f>ROUND(0.0,2)</f>
        <v/>
      </c>
      <c r="NU25" s="3">
        <f>ROUND(0.0,2)</f>
        <v/>
      </c>
      <c r="NV25" s="3">
        <f>ROUND(0.0,2)</f>
        <v/>
      </c>
      <c r="NW25" s="4">
        <f>IFERROR((NQ25/NP25),0)</f>
        <v/>
      </c>
      <c r="NX25" s="4">
        <f>IFERROR(((0+NO11+NO12+NO13+NO14+NO15+NO16+NO17+NO19+NO20+NO21+NO22+NO23+NO24+NO25)/T2),0)</f>
        <v/>
      </c>
      <c r="NY25" s="5">
        <f>IFERROR(ROUND(NO25/NQ25,2),0)</f>
        <v/>
      </c>
      <c r="NZ25" s="5">
        <f>IFERROR(ROUND(NO25/NR25,2),0)</f>
        <v/>
      </c>
      <c r="OA25" s="2" t="inlineStr">
        <is>
          <t>2023-10-03</t>
        </is>
      </c>
      <c r="OB25" s="5">
        <f>ROUND(0.27,2)</f>
        <v/>
      </c>
      <c r="OC25" s="3">
        <f>ROUND(822.0,2)</f>
        <v/>
      </c>
      <c r="OD25" s="3">
        <f>ROUND(27.0,2)</f>
        <v/>
      </c>
      <c r="OE25" s="3">
        <f>ROUND(0.0,2)</f>
        <v/>
      </c>
      <c r="OF25" s="3">
        <f>ROUND(0.0,2)</f>
        <v/>
      </c>
      <c r="OG25" s="3">
        <f>ROUND(0.0,2)</f>
        <v/>
      </c>
      <c r="OH25" s="3">
        <f>ROUND(0.0,2)</f>
        <v/>
      </c>
      <c r="OI25" s="3">
        <f>ROUND(0.0,2)</f>
        <v/>
      </c>
      <c r="OJ25" s="4">
        <f>IFERROR((OD25/OC25),0)</f>
        <v/>
      </c>
      <c r="OK25" s="4">
        <f>IFERROR(((0+OB11+OB12+OB13+OB14+OB15+OB16+OB17+OB19+OB20+OB21+OB22+OB23+OB24+OB25)/T2),0)</f>
        <v/>
      </c>
      <c r="OL25" s="5">
        <f>IFERROR(ROUND(OB25/OD25,2),0)</f>
        <v/>
      </c>
      <c r="OM25" s="5">
        <f>IFERROR(ROUND(OB25/OE25,2),0)</f>
        <v/>
      </c>
      <c r="ON25" s="2" t="inlineStr">
        <is>
          <t>2023-10-03</t>
        </is>
      </c>
      <c r="OO25" s="5">
        <f>ROUND(0.69,2)</f>
        <v/>
      </c>
      <c r="OP25" s="3">
        <f>ROUND(1527.0,2)</f>
        <v/>
      </c>
      <c r="OQ25" s="3">
        <f>ROUND(69.0,2)</f>
        <v/>
      </c>
      <c r="OR25" s="3">
        <f>ROUND(0.0,2)</f>
        <v/>
      </c>
      <c r="OS25" s="3">
        <f>ROUND(0.0,2)</f>
        <v/>
      </c>
      <c r="OT25" s="3">
        <f>ROUND(0.0,2)</f>
        <v/>
      </c>
      <c r="OU25" s="3">
        <f>ROUND(0.0,2)</f>
        <v/>
      </c>
      <c r="OV25" s="3">
        <f>ROUND(0.0,2)</f>
        <v/>
      </c>
      <c r="OW25" s="4">
        <f>IFERROR((OQ25/OP25),0)</f>
        <v/>
      </c>
      <c r="OX25" s="4">
        <f>IFERROR(((0+OO11+OO12+OO13+OO14+OO15+OO16+OO17+OO19+OO20+OO21+OO22+OO23+OO24+OO25)/T2),0)</f>
        <v/>
      </c>
      <c r="OY25" s="5">
        <f>IFERROR(ROUND(OO25/OQ25,2),0)</f>
        <v/>
      </c>
      <c r="OZ25" s="5">
        <f>IFERROR(ROUND(OO25/OR25,2),0)</f>
        <v/>
      </c>
      <c r="PA25" s="2" t="inlineStr">
        <is>
          <t>2023-10-03</t>
        </is>
      </c>
      <c r="PB25" s="5">
        <f>ROUND(1.4500000000000002,2)</f>
        <v/>
      </c>
      <c r="PC25" s="3">
        <f>ROUND(3215.0,2)</f>
        <v/>
      </c>
      <c r="PD25" s="3">
        <f>ROUND(145.0,2)</f>
        <v/>
      </c>
      <c r="PE25" s="3">
        <f>ROUND(0.0,2)</f>
        <v/>
      </c>
      <c r="PF25" s="3">
        <f>ROUND(0.0,2)</f>
        <v/>
      </c>
      <c r="PG25" s="3">
        <f>ROUND(0.0,2)</f>
        <v/>
      </c>
      <c r="PH25" s="3">
        <f>ROUND(0.0,2)</f>
        <v/>
      </c>
      <c r="PI25" s="3">
        <f>ROUND(0.0,2)</f>
        <v/>
      </c>
      <c r="PJ25" s="4">
        <f>IFERROR((PD25/PC25),0)</f>
        <v/>
      </c>
      <c r="PK25" s="4">
        <f>IFERROR(((0+PB11+PB12+PB13+PB14+PB15+PB16+PB17+PB19+PB20+PB21+PB22+PB23+PB24+PB25)/T2),0)</f>
        <v/>
      </c>
      <c r="PL25" s="5">
        <f>IFERROR(ROUND(PB25/PD25,2),0)</f>
        <v/>
      </c>
      <c r="PM25" s="5">
        <f>IFERROR(ROUND(PB25/PE25,2),0)</f>
        <v/>
      </c>
      <c r="PN25" s="2" t="inlineStr">
        <is>
          <t>2023-10-03</t>
        </is>
      </c>
      <c r="PO25" s="5">
        <f>ROUND(0.15000000000000002,2)</f>
        <v/>
      </c>
      <c r="PP25" s="3">
        <f>ROUND(862.0,2)</f>
        <v/>
      </c>
      <c r="PQ25" s="3">
        <f>ROUND(15.0,2)</f>
        <v/>
      </c>
      <c r="PR25" s="3">
        <f>ROUND(0.0,2)</f>
        <v/>
      </c>
      <c r="PS25" s="3">
        <f>ROUND(0.0,2)</f>
        <v/>
      </c>
      <c r="PT25" s="3">
        <f>ROUND(0.0,2)</f>
        <v/>
      </c>
      <c r="PU25" s="3">
        <f>ROUND(0.0,2)</f>
        <v/>
      </c>
      <c r="PV25" s="3">
        <f>ROUND(0.0,2)</f>
        <v/>
      </c>
      <c r="PW25" s="4">
        <f>IFERROR((PQ25/PP25),0)</f>
        <v/>
      </c>
      <c r="PX25" s="4">
        <f>IFERROR(((0+PO11+PO12+PO13+PO14+PO15+PO16+PO17+PO19+PO20+PO21+PO22+PO23+PO24+PO25)/T2),0)</f>
        <v/>
      </c>
      <c r="PY25" s="5">
        <f>IFERROR(ROUND(PO25/PQ25,2),0)</f>
        <v/>
      </c>
      <c r="PZ25" s="5">
        <f>IFERROR(ROUND(PO25/PR25,2),0)</f>
        <v/>
      </c>
      <c r="QA25" s="2" t="inlineStr">
        <is>
          <t>2023-10-03</t>
        </is>
      </c>
      <c r="QB25" s="5">
        <f>ROUND(0.14,2)</f>
        <v/>
      </c>
      <c r="QC25" s="3">
        <f>ROUND(675.0,2)</f>
        <v/>
      </c>
      <c r="QD25" s="3">
        <f>ROUND(14.0,2)</f>
        <v/>
      </c>
      <c r="QE25" s="3">
        <f>ROUND(0.0,2)</f>
        <v/>
      </c>
      <c r="QF25" s="3">
        <f>ROUND(0.0,2)</f>
        <v/>
      </c>
      <c r="QG25" s="3">
        <f>ROUND(0.0,2)</f>
        <v/>
      </c>
      <c r="QH25" s="3">
        <f>ROUND(0.0,2)</f>
        <v/>
      </c>
      <c r="QI25" s="3">
        <f>ROUND(0.0,2)</f>
        <v/>
      </c>
      <c r="QJ25" s="4">
        <f>IFERROR((QD25/QC25),0)</f>
        <v/>
      </c>
      <c r="QK25" s="4">
        <f>IFERROR(((0+QB11+QB12+QB13+QB14+QB15+QB16+QB17+QB19+QB20+QB21+QB22+QB23+QB24+QB25)/T2),0)</f>
        <v/>
      </c>
      <c r="QL25" s="5">
        <f>IFERROR(ROUND(QB25/QD25,2),0)</f>
        <v/>
      </c>
      <c r="QM25" s="5">
        <f>IFERROR(ROUND(QB25/QE25,2),0)</f>
        <v/>
      </c>
      <c r="QN25" s="2" t="inlineStr">
        <is>
          <t>2023-10-03</t>
        </is>
      </c>
      <c r="QO25" s="5">
        <f>ROUND(0.26,2)</f>
        <v/>
      </c>
      <c r="QP25" s="3">
        <f>ROUND(2459.0,2)</f>
        <v/>
      </c>
      <c r="QQ25" s="3">
        <f>ROUND(26.0,2)</f>
        <v/>
      </c>
      <c r="QR25" s="3">
        <f>ROUND(0.0,2)</f>
        <v/>
      </c>
      <c r="QS25" s="3">
        <f>ROUND(0.0,2)</f>
        <v/>
      </c>
      <c r="QT25" s="3">
        <f>ROUND(0.0,2)</f>
        <v/>
      </c>
      <c r="QU25" s="3">
        <f>ROUND(0.0,2)</f>
        <v/>
      </c>
      <c r="QV25" s="3">
        <f>ROUND(0.0,2)</f>
        <v/>
      </c>
      <c r="QW25" s="4">
        <f>IFERROR((QQ25/QP25),0)</f>
        <v/>
      </c>
      <c r="QX25" s="4">
        <f>IFERROR(((0+QO11+QO12+QO13+QO14+QO15+QO16+QO17+QO19+QO20+QO21+QO22+QO23+QO24+QO25)/T2),0)</f>
        <v/>
      </c>
      <c r="QY25" s="5">
        <f>IFERROR(ROUND(QO25/QQ25,2),0)</f>
        <v/>
      </c>
      <c r="QZ25" s="5">
        <f>IFERROR(ROUND(QO25/QR25,2),0)</f>
        <v/>
      </c>
      <c r="RA25" s="2" t="inlineStr">
        <is>
          <t>2023-10-03</t>
        </is>
      </c>
      <c r="RB25" s="5">
        <f>ROUND(1.25,2)</f>
        <v/>
      </c>
      <c r="RC25" s="3">
        <f>ROUND(2259.0,2)</f>
        <v/>
      </c>
      <c r="RD25" s="3">
        <f>ROUND(125.0,2)</f>
        <v/>
      </c>
      <c r="RE25" s="3">
        <f>ROUND(0.0,2)</f>
        <v/>
      </c>
      <c r="RF25" s="3">
        <f>ROUND(0.0,2)</f>
        <v/>
      </c>
      <c r="RG25" s="3">
        <f>ROUND(0.0,2)</f>
        <v/>
      </c>
      <c r="RH25" s="3">
        <f>ROUND(0.0,2)</f>
        <v/>
      </c>
      <c r="RI25" s="3">
        <f>ROUND(0.0,2)</f>
        <v/>
      </c>
      <c r="RJ25" s="4">
        <f>IFERROR((RD25/RC25),0)</f>
        <v/>
      </c>
      <c r="RK25" s="4">
        <f>IFERROR(((0+RB11+RB12+RB13+RB14+RB15+RB16+RB17+RB19+RB20+RB21+RB22+RB23+RB24+RB25)/T2),0)</f>
        <v/>
      </c>
      <c r="RL25" s="5">
        <f>IFERROR(ROUND(RB25/RD25,2),0)</f>
        <v/>
      </c>
      <c r="RM25" s="5">
        <f>IFERROR(ROUND(RB25/RE25,2),0)</f>
        <v/>
      </c>
      <c r="RN25" s="2" t="inlineStr">
        <is>
          <t>2023-10-03</t>
        </is>
      </c>
      <c r="RO25" s="5">
        <f>ROUND(0.46,2)</f>
        <v/>
      </c>
      <c r="RP25" s="3">
        <f>ROUND(919.0,2)</f>
        <v/>
      </c>
      <c r="RQ25" s="3">
        <f>ROUND(46.0,2)</f>
        <v/>
      </c>
      <c r="RR25" s="3">
        <f>ROUND(0.0,2)</f>
        <v/>
      </c>
      <c r="RS25" s="3">
        <f>ROUND(0.0,2)</f>
        <v/>
      </c>
      <c r="RT25" s="3">
        <f>ROUND(0.0,2)</f>
        <v/>
      </c>
      <c r="RU25" s="3">
        <f>ROUND(0.0,2)</f>
        <v/>
      </c>
      <c r="RV25" s="3">
        <f>ROUND(0.0,2)</f>
        <v/>
      </c>
      <c r="RW25" s="4">
        <f>IFERROR((RQ25/RP25),0)</f>
        <v/>
      </c>
      <c r="RX25" s="4">
        <f>IFERROR(((0+RO11+RO12+RO13+RO14+RO15+RO16+RO17+RO19+RO20+RO21+RO22+RO23+RO24+RO25)/T2),0)</f>
        <v/>
      </c>
      <c r="RY25" s="5">
        <f>IFERROR(ROUND(RO25/RQ25,2),0)</f>
        <v/>
      </c>
      <c r="RZ25" s="5">
        <f>IFERROR(ROUND(RO25/RR25,2),0)</f>
        <v/>
      </c>
      <c r="SA25" s="2" t="inlineStr">
        <is>
          <t>2023-10-03</t>
        </is>
      </c>
      <c r="SB25" s="5">
        <f>ROUND(0.96,2)</f>
        <v/>
      </c>
      <c r="SC25" s="3">
        <f>ROUND(2592.0,2)</f>
        <v/>
      </c>
      <c r="SD25" s="3">
        <f>ROUND(96.0,2)</f>
        <v/>
      </c>
      <c r="SE25" s="3">
        <f>ROUND(0.0,2)</f>
        <v/>
      </c>
      <c r="SF25" s="3">
        <f>ROUND(0.0,2)</f>
        <v/>
      </c>
      <c r="SG25" s="3">
        <f>ROUND(0.0,2)</f>
        <v/>
      </c>
      <c r="SH25" s="3">
        <f>ROUND(0.0,2)</f>
        <v/>
      </c>
      <c r="SI25" s="3">
        <f>ROUND(0.0,2)</f>
        <v/>
      </c>
      <c r="SJ25" s="4">
        <f>IFERROR((SD25/SC25),0)</f>
        <v/>
      </c>
      <c r="SK25" s="4">
        <f>IFERROR(((0+SB11+SB12+SB13+SB14+SB15+SB16+SB17+SB19+SB20+SB21+SB22+SB23+SB24+SB25)/T2),0)</f>
        <v/>
      </c>
      <c r="SL25" s="5">
        <f>IFERROR(ROUND(SB25/SD25,2),0)</f>
        <v/>
      </c>
      <c r="SM25" s="5">
        <f>IFERROR(ROUND(SB25/SE25,2),0)</f>
        <v/>
      </c>
      <c r="SN25" s="2" t="inlineStr">
        <is>
          <t>2023-10-03</t>
        </is>
      </c>
      <c r="SO25" s="5">
        <f>ROUND(0.2,2)</f>
        <v/>
      </c>
      <c r="SP25" s="3">
        <f>ROUND(724.0,2)</f>
        <v/>
      </c>
      <c r="SQ25" s="3">
        <f>ROUND(20.0,2)</f>
        <v/>
      </c>
      <c r="SR25" s="3">
        <f>ROUND(0.0,2)</f>
        <v/>
      </c>
      <c r="SS25" s="3">
        <f>ROUND(0.0,2)</f>
        <v/>
      </c>
      <c r="ST25" s="3">
        <f>ROUND(0.0,2)</f>
        <v/>
      </c>
      <c r="SU25" s="3">
        <f>ROUND(0.0,2)</f>
        <v/>
      </c>
      <c r="SV25" s="3">
        <f>ROUND(0.0,2)</f>
        <v/>
      </c>
      <c r="SW25" s="4">
        <f>IFERROR((SQ25/SP25),0)</f>
        <v/>
      </c>
      <c r="SX25" s="4">
        <f>IFERROR(((0+SO11+SO12+SO13+SO14+SO15+SO16+SO17+SO19+SO20+SO21+SO22+SO23+SO24+SO25)/T2),0)</f>
        <v/>
      </c>
      <c r="SY25" s="5">
        <f>IFERROR(ROUND(SO25/SQ25,2),0)</f>
        <v/>
      </c>
      <c r="SZ25" s="5">
        <f>IFERROR(ROUND(SO25/SR25,2),0)</f>
        <v/>
      </c>
    </row>
    <row r="26">
      <c r="A26" s="2" t="inlineStr">
        <is>
          <t>2 Weekly Total</t>
        </is>
      </c>
      <c r="B26" s="5">
        <f>ROUND(250.13,2)</f>
        <v/>
      </c>
      <c r="C26" s="3">
        <f>ROUND(771608.0,2)</f>
        <v/>
      </c>
      <c r="D26" s="3">
        <f>ROUND(25009.0,2)</f>
        <v/>
      </c>
      <c r="E26" s="3">
        <f>ROUND(0.0,2)</f>
        <v/>
      </c>
      <c r="F26" s="3">
        <f>ROUND(0.0,2)</f>
        <v/>
      </c>
      <c r="G26" s="3">
        <f>ROUND(0.0,2)</f>
        <v/>
      </c>
      <c r="H26" s="3">
        <f>ROUND(0.0,2)</f>
        <v/>
      </c>
      <c r="I26" s="3">
        <f>ROUND(0.0,2)</f>
        <v/>
      </c>
      <c r="J26" s="4">
        <f>IFERROR((D26/C26),0)</f>
        <v/>
      </c>
      <c r="K26" s="4">
        <f>IFERROR(((0+B11+B12+B13+B14+B15+B16+B17+B19+B20+B21+B22+B23+B24+B25)/T2),0)</f>
        <v/>
      </c>
      <c r="L26" s="5">
        <f>IFERROR(ROUND(B26/D26,2),0)</f>
        <v/>
      </c>
      <c r="M26" s="5">
        <f>IFERROR(ROUND(B26/E26,2),0)</f>
        <v/>
      </c>
      <c r="N26" s="2" t="inlineStr">
        <is>
          <t>2 Weekly Total</t>
        </is>
      </c>
      <c r="O26" s="5">
        <f>ROUND(15.86,2)</f>
        <v/>
      </c>
      <c r="P26" s="3">
        <f>ROUND(27485.0,2)</f>
        <v/>
      </c>
      <c r="Q26" s="3">
        <f>ROUND(1586.0,2)</f>
        <v/>
      </c>
      <c r="R26" s="3">
        <f>ROUND(0.0,2)</f>
        <v/>
      </c>
      <c r="S26" s="3">
        <f>ROUND(0.0,2)</f>
        <v/>
      </c>
      <c r="T26" s="3">
        <f>ROUND(0.0,2)</f>
        <v/>
      </c>
      <c r="U26" s="3">
        <f>ROUND(0.0,2)</f>
        <v/>
      </c>
      <c r="V26" s="3">
        <f>ROUND(0.0,2)</f>
        <v/>
      </c>
      <c r="W26" s="4">
        <f>IFERROR((Q26/P26),0)</f>
        <v/>
      </c>
      <c r="X26" s="4">
        <f>IFERROR(((0+O11+O12+O13+O14+O15+O16+O17+O19+O20+O21+O22+O23+O24+O25)/T2),0)</f>
        <v/>
      </c>
      <c r="Y26" s="5">
        <f>IFERROR(ROUND(O26/Q26,2),0)</f>
        <v/>
      </c>
      <c r="Z26" s="5">
        <f>IFERROR(ROUND(O26/R26,2),0)</f>
        <v/>
      </c>
      <c r="AA26" s="2" t="inlineStr">
        <is>
          <t>2 Weekly Total</t>
        </is>
      </c>
      <c r="AB26" s="5">
        <f>ROUND(1.35,2)</f>
        <v/>
      </c>
      <c r="AC26" s="3">
        <f>ROUND(2534.0,2)</f>
        <v/>
      </c>
      <c r="AD26" s="3">
        <f>ROUND(135.0,2)</f>
        <v/>
      </c>
      <c r="AE26" s="3">
        <f>ROUND(0.0,2)</f>
        <v/>
      </c>
      <c r="AF26" s="3">
        <f>ROUND(0.0,2)</f>
        <v/>
      </c>
      <c r="AG26" s="3">
        <f>ROUND(0.0,2)</f>
        <v/>
      </c>
      <c r="AH26" s="3">
        <f>ROUND(0.0,2)</f>
        <v/>
      </c>
      <c r="AI26" s="3">
        <f>ROUND(0.0,2)</f>
        <v/>
      </c>
      <c r="AJ26" s="4">
        <f>IFERROR((AD26/AC26),0)</f>
        <v/>
      </c>
      <c r="AK26" s="4">
        <f>IFERROR(((0+AB11+AB12+AB13+AB14+AB15+AB16+AB17+AB19+AB20+AB21+AB22+AB23+AB24+AB25)/T2),0)</f>
        <v/>
      </c>
      <c r="AL26" s="5">
        <f>IFERROR(ROUND(AB26/AD26,2),0)</f>
        <v/>
      </c>
      <c r="AM26" s="5">
        <f>IFERROR(ROUND(AB26/AE26,2),0)</f>
        <v/>
      </c>
      <c r="AN26" s="2" t="inlineStr">
        <is>
          <t>2 Weekly Total</t>
        </is>
      </c>
      <c r="AO26" s="5">
        <f>ROUND(5.49,2)</f>
        <v/>
      </c>
      <c r="AP26" s="3">
        <f>ROUND(18763.0,2)</f>
        <v/>
      </c>
      <c r="AQ26" s="3">
        <f>ROUND(549.0,2)</f>
        <v/>
      </c>
      <c r="AR26" s="3">
        <f>ROUND(0.0,2)</f>
        <v/>
      </c>
      <c r="AS26" s="3">
        <f>ROUND(0.0,2)</f>
        <v/>
      </c>
      <c r="AT26" s="3">
        <f>ROUND(0.0,2)</f>
        <v/>
      </c>
      <c r="AU26" s="3">
        <f>ROUND(0.0,2)</f>
        <v/>
      </c>
      <c r="AV26" s="3">
        <f>ROUND(0.0,2)</f>
        <v/>
      </c>
      <c r="AW26" s="4">
        <f>IFERROR((AQ26/AP26),0)</f>
        <v/>
      </c>
      <c r="AX26" s="4">
        <f>IFERROR(((0+AO11+AO12+AO13+AO14+AO15+AO16+AO17+AO19+AO20+AO21+AO22+AO23+AO24+AO25)/T2),0)</f>
        <v/>
      </c>
      <c r="AY26" s="5">
        <f>IFERROR(ROUND(AO26/AQ26,2),0)</f>
        <v/>
      </c>
      <c r="AZ26" s="5">
        <f>IFERROR(ROUND(AO26/AR26,2),0)</f>
        <v/>
      </c>
      <c r="BA26" s="2" t="inlineStr">
        <is>
          <t>2 Weekly Total</t>
        </is>
      </c>
      <c r="BB26" s="5">
        <f>ROUND(1.71,2)</f>
        <v/>
      </c>
      <c r="BC26" s="3">
        <f>ROUND(3764.0,2)</f>
        <v/>
      </c>
      <c r="BD26" s="3">
        <f>ROUND(171.0,2)</f>
        <v/>
      </c>
      <c r="BE26" s="3">
        <f>ROUND(0.0,2)</f>
        <v/>
      </c>
      <c r="BF26" s="3">
        <f>ROUND(0.0,2)</f>
        <v/>
      </c>
      <c r="BG26" s="3">
        <f>ROUND(0.0,2)</f>
        <v/>
      </c>
      <c r="BH26" s="3">
        <f>ROUND(0.0,2)</f>
        <v/>
      </c>
      <c r="BI26" s="3">
        <f>ROUND(0.0,2)</f>
        <v/>
      </c>
      <c r="BJ26" s="4">
        <f>IFERROR((BD26/BC26),0)</f>
        <v/>
      </c>
      <c r="BK26" s="4">
        <f>IFERROR(((0+BB11+BB12+BB13+BB14+BB15+BB16+BB17+BB19+BB20+BB21+BB22+BB23+BB24+BB25)/T2),0)</f>
        <v/>
      </c>
      <c r="BL26" s="5">
        <f>IFERROR(ROUND(BB26/BD26,2),0)</f>
        <v/>
      </c>
      <c r="BM26" s="5">
        <f>IFERROR(ROUND(BB26/BE26,2),0)</f>
        <v/>
      </c>
      <c r="BN26" s="2" t="inlineStr">
        <is>
          <t>2 Weekly Total</t>
        </is>
      </c>
      <c r="BO26" s="5">
        <f>ROUND(2.68,2)</f>
        <v/>
      </c>
      <c r="BP26" s="3">
        <f>ROUND(4578.0,2)</f>
        <v/>
      </c>
      <c r="BQ26" s="3">
        <f>ROUND(268.0,2)</f>
        <v/>
      </c>
      <c r="BR26" s="3">
        <f>ROUND(0.0,2)</f>
        <v/>
      </c>
      <c r="BS26" s="3">
        <f>ROUND(0.0,2)</f>
        <v/>
      </c>
      <c r="BT26" s="3">
        <f>ROUND(0.0,2)</f>
        <v/>
      </c>
      <c r="BU26" s="3">
        <f>ROUND(0.0,2)</f>
        <v/>
      </c>
      <c r="BV26" s="3">
        <f>ROUND(0.0,2)</f>
        <v/>
      </c>
      <c r="BW26" s="4">
        <f>IFERROR((BQ26/BP26),0)</f>
        <v/>
      </c>
      <c r="BX26" s="4">
        <f>IFERROR(((0+BO11+BO12+BO13+BO14+BO15+BO16+BO17+BO19+BO20+BO21+BO22+BO23+BO24+BO25)/T2),0)</f>
        <v/>
      </c>
      <c r="BY26" s="5">
        <f>IFERROR(ROUND(BO26/BQ26,2),0)</f>
        <v/>
      </c>
      <c r="BZ26" s="5">
        <f>IFERROR(ROUND(BO26/BR26,2),0)</f>
        <v/>
      </c>
      <c r="CA26" s="2" t="inlineStr">
        <is>
          <t>2 Weekly Total</t>
        </is>
      </c>
      <c r="CB26" s="5">
        <f>ROUND(2.4,2)</f>
        <v/>
      </c>
      <c r="CC26" s="3">
        <f>ROUND(4536.0,2)</f>
        <v/>
      </c>
      <c r="CD26" s="3">
        <f>ROUND(240.0,2)</f>
        <v/>
      </c>
      <c r="CE26" s="3">
        <f>ROUND(0.0,2)</f>
        <v/>
      </c>
      <c r="CF26" s="3">
        <f>ROUND(0.0,2)</f>
        <v/>
      </c>
      <c r="CG26" s="3">
        <f>ROUND(0.0,2)</f>
        <v/>
      </c>
      <c r="CH26" s="3">
        <f>ROUND(0.0,2)</f>
        <v/>
      </c>
      <c r="CI26" s="3">
        <f>ROUND(0.0,2)</f>
        <v/>
      </c>
      <c r="CJ26" s="4">
        <f>IFERROR((CD26/CC26),0)</f>
        <v/>
      </c>
      <c r="CK26" s="4">
        <f>IFERROR(((0+CB11+CB12+CB13+CB14+CB15+CB16+CB17+CB19+CB20+CB21+CB22+CB23+CB24+CB25)/T2),0)</f>
        <v/>
      </c>
      <c r="CL26" s="5">
        <f>IFERROR(ROUND(CB26/CD26,2),0)</f>
        <v/>
      </c>
      <c r="CM26" s="5">
        <f>IFERROR(ROUND(CB26/CE26,2),0)</f>
        <v/>
      </c>
      <c r="CN26" s="2" t="inlineStr">
        <is>
          <t>2 Weekly Total</t>
        </is>
      </c>
      <c r="CO26" s="5">
        <f>ROUND(5.53,2)</f>
        <v/>
      </c>
      <c r="CP26" s="3">
        <f>ROUND(24364.0,2)</f>
        <v/>
      </c>
      <c r="CQ26" s="3">
        <f>ROUND(553.0,2)</f>
        <v/>
      </c>
      <c r="CR26" s="3">
        <f>ROUND(0.0,2)</f>
        <v/>
      </c>
      <c r="CS26" s="3">
        <f>ROUND(0.0,2)</f>
        <v/>
      </c>
      <c r="CT26" s="3">
        <f>ROUND(0.0,2)</f>
        <v/>
      </c>
      <c r="CU26" s="3">
        <f>ROUND(0.0,2)</f>
        <v/>
      </c>
      <c r="CV26" s="3">
        <f>ROUND(0.0,2)</f>
        <v/>
      </c>
      <c r="CW26" s="4">
        <f>IFERROR((CQ26/CP26),0)</f>
        <v/>
      </c>
      <c r="CX26" s="4">
        <f>IFERROR(((0+CO11+CO12+CO13+CO14+CO15+CO16+CO17+CO19+CO20+CO21+CO22+CO23+CO24+CO25)/T2),0)</f>
        <v/>
      </c>
      <c r="CY26" s="5">
        <f>IFERROR(ROUND(CO26/CQ26,2),0)</f>
        <v/>
      </c>
      <c r="CZ26" s="5">
        <f>IFERROR(ROUND(CO26/CR26,2),0)</f>
        <v/>
      </c>
      <c r="DA26" s="2" t="inlineStr">
        <is>
          <t>2 Weekly Total</t>
        </is>
      </c>
      <c r="DB26" s="5">
        <f>ROUND(11.03,2)</f>
        <v/>
      </c>
      <c r="DC26" s="3">
        <f>ROUND(30459.0,2)</f>
        <v/>
      </c>
      <c r="DD26" s="3">
        <f>ROUND(1102.0,2)</f>
        <v/>
      </c>
      <c r="DE26" s="3">
        <f>ROUND(0.0,2)</f>
        <v/>
      </c>
      <c r="DF26" s="3">
        <f>ROUND(0.0,2)</f>
        <v/>
      </c>
      <c r="DG26" s="3">
        <f>ROUND(0.0,2)</f>
        <v/>
      </c>
      <c r="DH26" s="3">
        <f>ROUND(0.0,2)</f>
        <v/>
      </c>
      <c r="DI26" s="3">
        <f>ROUND(0.0,2)</f>
        <v/>
      </c>
      <c r="DJ26" s="4">
        <f>IFERROR((DD26/DC26),0)</f>
        <v/>
      </c>
      <c r="DK26" s="4">
        <f>IFERROR(((0+DB11+DB12+DB13+DB14+DB15+DB16+DB17+DB19+DB20+DB21+DB22+DB23+DB24+DB25)/T2),0)</f>
        <v/>
      </c>
      <c r="DL26" s="5">
        <f>IFERROR(ROUND(DB26/DD26,2),0)</f>
        <v/>
      </c>
      <c r="DM26" s="5">
        <f>IFERROR(ROUND(DB26/DE26,2),0)</f>
        <v/>
      </c>
      <c r="DN26" s="2" t="inlineStr">
        <is>
          <t>2 Weekly Total</t>
        </is>
      </c>
      <c r="DO26" s="5">
        <f>ROUND(1.38,2)</f>
        <v/>
      </c>
      <c r="DP26" s="3">
        <f>ROUND(2540.0,2)</f>
        <v/>
      </c>
      <c r="DQ26" s="3">
        <f>ROUND(138.0,2)</f>
        <v/>
      </c>
      <c r="DR26" s="3">
        <f>ROUND(0.0,2)</f>
        <v/>
      </c>
      <c r="DS26" s="3">
        <f>ROUND(0.0,2)</f>
        <v/>
      </c>
      <c r="DT26" s="3">
        <f>ROUND(0.0,2)</f>
        <v/>
      </c>
      <c r="DU26" s="3">
        <f>ROUND(0.0,2)</f>
        <v/>
      </c>
      <c r="DV26" s="3">
        <f>ROUND(0.0,2)</f>
        <v/>
      </c>
      <c r="DW26" s="4">
        <f>IFERROR((DQ26/DP26),0)</f>
        <v/>
      </c>
      <c r="DX26" s="4">
        <f>IFERROR(((0+DO11+DO12+DO13+DO14+DO15+DO16+DO17+DO19+DO20+DO21+DO22+DO23+DO24+DO25)/T2),0)</f>
        <v/>
      </c>
      <c r="DY26" s="5">
        <f>IFERROR(ROUND(DO26/DQ26,2),0)</f>
        <v/>
      </c>
      <c r="DZ26" s="5">
        <f>IFERROR(ROUND(DO26/DR26,2),0)</f>
        <v/>
      </c>
      <c r="EA26" s="2" t="inlineStr">
        <is>
          <t>2 Weekly Total</t>
        </is>
      </c>
      <c r="EB26" s="5">
        <f>ROUND(17.58,2)</f>
        <v/>
      </c>
      <c r="EC26" s="3">
        <f>ROUND(102909.0,2)</f>
        <v/>
      </c>
      <c r="ED26" s="3">
        <f>ROUND(1757.0,2)</f>
        <v/>
      </c>
      <c r="EE26" s="3">
        <f>ROUND(0.0,2)</f>
        <v/>
      </c>
      <c r="EF26" s="3">
        <f>ROUND(0.0,2)</f>
        <v/>
      </c>
      <c r="EG26" s="3">
        <f>ROUND(0.0,2)</f>
        <v/>
      </c>
      <c r="EH26" s="3">
        <f>ROUND(0.0,2)</f>
        <v/>
      </c>
      <c r="EI26" s="3">
        <f>ROUND(0.0,2)</f>
        <v/>
      </c>
      <c r="EJ26" s="4">
        <f>IFERROR((ED26/EC26),0)</f>
        <v/>
      </c>
      <c r="EK26" s="4">
        <f>IFERROR(((0+EB11+EB12+EB13+EB14+EB15+EB16+EB17+EB19+EB20+EB21+EB22+EB23+EB24+EB25)/T2),0)</f>
        <v/>
      </c>
      <c r="EL26" s="5">
        <f>IFERROR(ROUND(EB26/ED26,2),0)</f>
        <v/>
      </c>
      <c r="EM26" s="5">
        <f>IFERROR(ROUND(EB26/EE26,2),0)</f>
        <v/>
      </c>
      <c r="EN26" s="2" t="inlineStr">
        <is>
          <t>2 Weekly Total</t>
        </is>
      </c>
      <c r="EO26" s="5">
        <f>ROUND(3.22,2)</f>
        <v/>
      </c>
      <c r="EP26" s="3">
        <f>ROUND(5117.0,2)</f>
        <v/>
      </c>
      <c r="EQ26" s="3">
        <f>ROUND(322.0,2)</f>
        <v/>
      </c>
      <c r="ER26" s="3">
        <f>ROUND(0.0,2)</f>
        <v/>
      </c>
      <c r="ES26" s="3">
        <f>ROUND(0.0,2)</f>
        <v/>
      </c>
      <c r="ET26" s="3">
        <f>ROUND(0.0,2)</f>
        <v/>
      </c>
      <c r="EU26" s="3">
        <f>ROUND(0.0,2)</f>
        <v/>
      </c>
      <c r="EV26" s="3">
        <f>ROUND(0.0,2)</f>
        <v/>
      </c>
      <c r="EW26" s="4">
        <f>IFERROR((EQ26/EP26),0)</f>
        <v/>
      </c>
      <c r="EX26" s="4">
        <f>IFERROR(((0+EO11+EO12+EO13+EO14+EO15+EO16+EO17+EO19+EO20+EO21+EO22+EO23+EO24+EO25)/T2),0)</f>
        <v/>
      </c>
      <c r="EY26" s="5">
        <f>IFERROR(ROUND(EO26/EQ26,2),0)</f>
        <v/>
      </c>
      <c r="EZ26" s="5">
        <f>IFERROR(ROUND(EO26/ER26,2),0)</f>
        <v/>
      </c>
      <c r="FA26" s="2" t="inlineStr">
        <is>
          <t>2 Weekly Total</t>
        </is>
      </c>
      <c r="FB26" s="5">
        <f>ROUND(14.3,2)</f>
        <v/>
      </c>
      <c r="FC26" s="3">
        <f>ROUND(61814.0,2)</f>
        <v/>
      </c>
      <c r="FD26" s="3">
        <f>ROUND(1430.0,2)</f>
        <v/>
      </c>
      <c r="FE26" s="3">
        <f>ROUND(0.0,2)</f>
        <v/>
      </c>
      <c r="FF26" s="3">
        <f>ROUND(0.0,2)</f>
        <v/>
      </c>
      <c r="FG26" s="3">
        <f>ROUND(0.0,2)</f>
        <v/>
      </c>
      <c r="FH26" s="3">
        <f>ROUND(0.0,2)</f>
        <v/>
      </c>
      <c r="FI26" s="3">
        <f>ROUND(0.0,2)</f>
        <v/>
      </c>
      <c r="FJ26" s="4">
        <f>IFERROR((FD26/FC26),0)</f>
        <v/>
      </c>
      <c r="FK26" s="4">
        <f>IFERROR(((0+FB11+FB12+FB13+FB14+FB15+FB16+FB17+FB19+FB20+FB21+FB22+FB23+FB24+FB25)/T2),0)</f>
        <v/>
      </c>
      <c r="FL26" s="5">
        <f>IFERROR(ROUND(FB26/FD26,2),0)</f>
        <v/>
      </c>
      <c r="FM26" s="5">
        <f>IFERROR(ROUND(FB26/FE26,2),0)</f>
        <v/>
      </c>
      <c r="FN26" s="2" t="inlineStr">
        <is>
          <t>2 Weekly Total</t>
        </is>
      </c>
      <c r="FO26" s="5">
        <f>ROUND(55.93,2)</f>
        <v/>
      </c>
      <c r="FP26" s="3">
        <f>ROUND(135286.0,2)</f>
        <v/>
      </c>
      <c r="FQ26" s="3">
        <f>ROUND(5592.0,2)</f>
        <v/>
      </c>
      <c r="FR26" s="3">
        <f>ROUND(0.0,2)</f>
        <v/>
      </c>
      <c r="FS26" s="3">
        <f>ROUND(0.0,2)</f>
        <v/>
      </c>
      <c r="FT26" s="3">
        <f>ROUND(0.0,2)</f>
        <v/>
      </c>
      <c r="FU26" s="3">
        <f>ROUND(0.0,2)</f>
        <v/>
      </c>
      <c r="FV26" s="3">
        <f>ROUND(0.0,2)</f>
        <v/>
      </c>
      <c r="FW26" s="4">
        <f>IFERROR((FQ26/FP26),0)</f>
        <v/>
      </c>
      <c r="FX26" s="4">
        <f>IFERROR(((0+FO11+FO12+FO13+FO14+FO15+FO16+FO17+FO19+FO20+FO21+FO22+FO23+FO24+FO25)/T2),0)</f>
        <v/>
      </c>
      <c r="FY26" s="5">
        <f>IFERROR(ROUND(FO26/FQ26,2),0)</f>
        <v/>
      </c>
      <c r="FZ26" s="5">
        <f>IFERROR(ROUND(FO26/FR26,2),0)</f>
        <v/>
      </c>
      <c r="GA26" s="2" t="inlineStr">
        <is>
          <t>2 Weekly Total</t>
        </is>
      </c>
      <c r="GB26" s="5">
        <f>ROUND(1.59,2)</f>
        <v/>
      </c>
      <c r="GC26" s="3">
        <f>ROUND(2970.0,2)</f>
        <v/>
      </c>
      <c r="GD26" s="3">
        <f>ROUND(158.0,2)</f>
        <v/>
      </c>
      <c r="GE26" s="3">
        <f>ROUND(0.0,2)</f>
        <v/>
      </c>
      <c r="GF26" s="3">
        <f>ROUND(0.0,2)</f>
        <v/>
      </c>
      <c r="GG26" s="3">
        <f>ROUND(0.0,2)</f>
        <v/>
      </c>
      <c r="GH26" s="3">
        <f>ROUND(0.0,2)</f>
        <v/>
      </c>
      <c r="GI26" s="3">
        <f>ROUND(0.0,2)</f>
        <v/>
      </c>
      <c r="GJ26" s="4">
        <f>IFERROR((GD26/GC26),0)</f>
        <v/>
      </c>
      <c r="GK26" s="4">
        <f>IFERROR(((0+GB11+GB12+GB13+GB14+GB15+GB16+GB17+GB19+GB20+GB21+GB22+GB23+GB24+GB25)/T2),0)</f>
        <v/>
      </c>
      <c r="GL26" s="5">
        <f>IFERROR(ROUND(GB26/GD26,2),0)</f>
        <v/>
      </c>
      <c r="GM26" s="5">
        <f>IFERROR(ROUND(GB26/GE26,2),0)</f>
        <v/>
      </c>
      <c r="GN26" s="2" t="inlineStr">
        <is>
          <t>2 Weekly Total</t>
        </is>
      </c>
      <c r="GO26" s="5">
        <f>ROUND(8.17,2)</f>
        <v/>
      </c>
      <c r="GP26" s="3">
        <f>ROUND(38932.0,2)</f>
        <v/>
      </c>
      <c r="GQ26" s="3">
        <f>ROUND(817.0,2)</f>
        <v/>
      </c>
      <c r="GR26" s="3">
        <f>ROUND(0.0,2)</f>
        <v/>
      </c>
      <c r="GS26" s="3">
        <f>ROUND(0.0,2)</f>
        <v/>
      </c>
      <c r="GT26" s="3">
        <f>ROUND(0.0,2)</f>
        <v/>
      </c>
      <c r="GU26" s="3">
        <f>ROUND(0.0,2)</f>
        <v/>
      </c>
      <c r="GV26" s="3">
        <f>ROUND(0.0,2)</f>
        <v/>
      </c>
      <c r="GW26" s="4">
        <f>IFERROR((GQ26/GP26),0)</f>
        <v/>
      </c>
      <c r="GX26" s="4">
        <f>IFERROR(((0+GO11+GO12+GO13+GO14+GO15+GO16+GO17+GO19+GO20+GO21+GO22+GO23+GO24+GO25)/T2),0)</f>
        <v/>
      </c>
      <c r="GY26" s="5">
        <f>IFERROR(ROUND(GO26/GQ26,2),0)</f>
        <v/>
      </c>
      <c r="GZ26" s="5">
        <f>IFERROR(ROUND(GO26/GR26,2),0)</f>
        <v/>
      </c>
      <c r="HA26" s="2" t="inlineStr">
        <is>
          <t>2 Weekly Total</t>
        </is>
      </c>
      <c r="HB26" s="5">
        <f>ROUND(3.29,2)</f>
        <v/>
      </c>
      <c r="HC26" s="3">
        <f>ROUND(7440.0,2)</f>
        <v/>
      </c>
      <c r="HD26" s="3">
        <f>ROUND(329.0,2)</f>
        <v/>
      </c>
      <c r="HE26" s="3">
        <f>ROUND(0.0,2)</f>
        <v/>
      </c>
      <c r="HF26" s="3">
        <f>ROUND(0.0,2)</f>
        <v/>
      </c>
      <c r="HG26" s="3">
        <f>ROUND(0.0,2)</f>
        <v/>
      </c>
      <c r="HH26" s="3">
        <f>ROUND(0.0,2)</f>
        <v/>
      </c>
      <c r="HI26" s="3">
        <f>ROUND(0.0,2)</f>
        <v/>
      </c>
      <c r="HJ26" s="4">
        <f>IFERROR((HD26/HC26),0)</f>
        <v/>
      </c>
      <c r="HK26" s="4">
        <f>IFERROR(((0+HB11+HB12+HB13+HB14+HB15+HB16+HB17+HB19+HB20+HB21+HB22+HB23+HB24+HB25)/T2),0)</f>
        <v/>
      </c>
      <c r="HL26" s="5">
        <f>IFERROR(ROUND(HB26/HD26,2),0)</f>
        <v/>
      </c>
      <c r="HM26" s="5">
        <f>IFERROR(ROUND(HB26/HE26,2),0)</f>
        <v/>
      </c>
      <c r="HN26" s="2" t="inlineStr">
        <is>
          <t>2 Weekly Total</t>
        </is>
      </c>
      <c r="HO26" s="5">
        <f>ROUND(0.7,2)</f>
        <v/>
      </c>
      <c r="HP26" s="3">
        <f>ROUND(1411.0,2)</f>
        <v/>
      </c>
      <c r="HQ26" s="3">
        <f>ROUND(70.0,2)</f>
        <v/>
      </c>
      <c r="HR26" s="3">
        <f>ROUND(0.0,2)</f>
        <v/>
      </c>
      <c r="HS26" s="3">
        <f>ROUND(0.0,2)</f>
        <v/>
      </c>
      <c r="HT26" s="3">
        <f>ROUND(0.0,2)</f>
        <v/>
      </c>
      <c r="HU26" s="3">
        <f>ROUND(0.0,2)</f>
        <v/>
      </c>
      <c r="HV26" s="3">
        <f>ROUND(0.0,2)</f>
        <v/>
      </c>
      <c r="HW26" s="4">
        <f>IFERROR((HQ26/HP26),0)</f>
        <v/>
      </c>
      <c r="HX26" s="4">
        <f>IFERROR(((0+HO11+HO12+HO13+HO14+HO15+HO16+HO17+HO19+HO20+HO21+HO22+HO23+HO24+HO25)/T2),0)</f>
        <v/>
      </c>
      <c r="HY26" s="5">
        <f>IFERROR(ROUND(HO26/HQ26,2),0)</f>
        <v/>
      </c>
      <c r="HZ26" s="5">
        <f>IFERROR(ROUND(HO26/HR26,2),0)</f>
        <v/>
      </c>
      <c r="IA26" s="2" t="inlineStr">
        <is>
          <t>2 Weekly Total</t>
        </is>
      </c>
      <c r="IB26" s="5">
        <f>ROUND(2.39,2)</f>
        <v/>
      </c>
      <c r="IC26" s="3">
        <f>ROUND(3559.0,2)</f>
        <v/>
      </c>
      <c r="ID26" s="3">
        <f>ROUND(239.0,2)</f>
        <v/>
      </c>
      <c r="IE26" s="3">
        <f>ROUND(0.0,2)</f>
        <v/>
      </c>
      <c r="IF26" s="3">
        <f>ROUND(0.0,2)</f>
        <v/>
      </c>
      <c r="IG26" s="3">
        <f>ROUND(0.0,2)</f>
        <v/>
      </c>
      <c r="IH26" s="3">
        <f>ROUND(0.0,2)</f>
        <v/>
      </c>
      <c r="II26" s="3">
        <f>ROUND(0.0,2)</f>
        <v/>
      </c>
      <c r="IJ26" s="4">
        <f>IFERROR((ID26/IC26),0)</f>
        <v/>
      </c>
      <c r="IK26" s="4">
        <f>IFERROR(((0+IB11+IB12+IB13+IB14+IB15+IB16+IB17+IB19+IB20+IB21+IB22+IB23+IB24+IB25)/T2),0)</f>
        <v/>
      </c>
      <c r="IL26" s="5">
        <f>IFERROR(ROUND(IB26/ID26,2),0)</f>
        <v/>
      </c>
      <c r="IM26" s="5">
        <f>IFERROR(ROUND(IB26/IE26,2),0)</f>
        <v/>
      </c>
      <c r="IN26" s="2" t="inlineStr">
        <is>
          <t>2 Weekly Total</t>
        </is>
      </c>
      <c r="IO26" s="5">
        <f>ROUND(4.31,2)</f>
        <v/>
      </c>
      <c r="IP26" s="3">
        <f>ROUND(21100.0,2)</f>
        <v/>
      </c>
      <c r="IQ26" s="3">
        <f>ROUND(431.0,2)</f>
        <v/>
      </c>
      <c r="IR26" s="3">
        <f>ROUND(0.0,2)</f>
        <v/>
      </c>
      <c r="IS26" s="3">
        <f>ROUND(0.0,2)</f>
        <v/>
      </c>
      <c r="IT26" s="3">
        <f>ROUND(0.0,2)</f>
        <v/>
      </c>
      <c r="IU26" s="3">
        <f>ROUND(0.0,2)</f>
        <v/>
      </c>
      <c r="IV26" s="3">
        <f>ROUND(0.0,2)</f>
        <v/>
      </c>
      <c r="IW26" s="4">
        <f>IFERROR((IQ26/IP26),0)</f>
        <v/>
      </c>
      <c r="IX26" s="4">
        <f>IFERROR(((0+IO11+IO12+IO13+IO14+IO15+IO16+IO17+IO19+IO20+IO21+IO22+IO23+IO24+IO25)/T2),0)</f>
        <v/>
      </c>
      <c r="IY26" s="5">
        <f>IFERROR(ROUND(IO26/IQ26,2),0)</f>
        <v/>
      </c>
      <c r="IZ26" s="5">
        <f>IFERROR(ROUND(IO26/IR26,2),0)</f>
        <v/>
      </c>
      <c r="JA26" s="2" t="inlineStr">
        <is>
          <t>2 Weekly Total</t>
        </is>
      </c>
      <c r="JB26" s="5">
        <f>ROUND(2.21,2)</f>
        <v/>
      </c>
      <c r="JC26" s="3">
        <f>ROUND(4714.0,2)</f>
        <v/>
      </c>
      <c r="JD26" s="3">
        <f>ROUND(221.0,2)</f>
        <v/>
      </c>
      <c r="JE26" s="3">
        <f>ROUND(0.0,2)</f>
        <v/>
      </c>
      <c r="JF26" s="3">
        <f>ROUND(0.0,2)</f>
        <v/>
      </c>
      <c r="JG26" s="3">
        <f>ROUND(0.0,2)</f>
        <v/>
      </c>
      <c r="JH26" s="3">
        <f>ROUND(0.0,2)</f>
        <v/>
      </c>
      <c r="JI26" s="3">
        <f>ROUND(0.0,2)</f>
        <v/>
      </c>
      <c r="JJ26" s="4">
        <f>IFERROR((JD26/JC26),0)</f>
        <v/>
      </c>
      <c r="JK26" s="4">
        <f>IFERROR(((0+JB11+JB12+JB13+JB14+JB15+JB16+JB17+JB19+JB20+JB21+JB22+JB23+JB24+JB25)/T2),0)</f>
        <v/>
      </c>
      <c r="JL26" s="5">
        <f>IFERROR(ROUND(JB26/JD26,2),0)</f>
        <v/>
      </c>
      <c r="JM26" s="5">
        <f>IFERROR(ROUND(JB26/JE26,2),0)</f>
        <v/>
      </c>
      <c r="JN26" s="2" t="inlineStr">
        <is>
          <t>2 Weekly Total</t>
        </is>
      </c>
      <c r="JO26" s="5">
        <f>ROUND(2.54,2)</f>
        <v/>
      </c>
      <c r="JP26" s="3">
        <f>ROUND(4710.0,2)</f>
        <v/>
      </c>
      <c r="JQ26" s="3">
        <f>ROUND(254.0,2)</f>
        <v/>
      </c>
      <c r="JR26" s="3">
        <f>ROUND(0.0,2)</f>
        <v/>
      </c>
      <c r="JS26" s="3">
        <f>ROUND(0.0,2)</f>
        <v/>
      </c>
      <c r="JT26" s="3">
        <f>ROUND(0.0,2)</f>
        <v/>
      </c>
      <c r="JU26" s="3">
        <f>ROUND(0.0,2)</f>
        <v/>
      </c>
      <c r="JV26" s="3">
        <f>ROUND(0.0,2)</f>
        <v/>
      </c>
      <c r="JW26" s="4">
        <f>IFERROR((JQ26/JP26),0)</f>
        <v/>
      </c>
      <c r="JX26" s="4">
        <f>IFERROR(((0+JO11+JO12+JO13+JO14+JO15+JO16+JO17+JO19+JO20+JO21+JO22+JO23+JO24+JO25)/T2),0)</f>
        <v/>
      </c>
      <c r="JY26" s="5">
        <f>IFERROR(ROUND(JO26/JQ26,2),0)</f>
        <v/>
      </c>
      <c r="JZ26" s="5">
        <f>IFERROR(ROUND(JO26/JR26,2),0)</f>
        <v/>
      </c>
      <c r="KA26" s="2" t="inlineStr">
        <is>
          <t>2 Weekly Total</t>
        </is>
      </c>
      <c r="KB26" s="5">
        <f>ROUND(1.17,2)</f>
        <v/>
      </c>
      <c r="KC26" s="3">
        <f>ROUND(2278.0,2)</f>
        <v/>
      </c>
      <c r="KD26" s="3">
        <f>ROUND(117.0,2)</f>
        <v/>
      </c>
      <c r="KE26" s="3">
        <f>ROUND(0.0,2)</f>
        <v/>
      </c>
      <c r="KF26" s="3">
        <f>ROUND(0.0,2)</f>
        <v/>
      </c>
      <c r="KG26" s="3">
        <f>ROUND(0.0,2)</f>
        <v/>
      </c>
      <c r="KH26" s="3">
        <f>ROUND(0.0,2)</f>
        <v/>
      </c>
      <c r="KI26" s="3">
        <f>ROUND(0.0,2)</f>
        <v/>
      </c>
      <c r="KJ26" s="4">
        <f>IFERROR((KD26/KC26),0)</f>
        <v/>
      </c>
      <c r="KK26" s="4">
        <f>IFERROR(((0+KB11+KB12+KB13+KB14+KB15+KB16+KB17+KB19+KB20+KB21+KB22+KB23+KB24+KB25)/T2),0)</f>
        <v/>
      </c>
      <c r="KL26" s="5">
        <f>IFERROR(ROUND(KB26/KD26,2),0)</f>
        <v/>
      </c>
      <c r="KM26" s="5">
        <f>IFERROR(ROUND(KB26/KE26,2),0)</f>
        <v/>
      </c>
      <c r="KN26" s="2" t="inlineStr">
        <is>
          <t>2 Weekly Total</t>
        </is>
      </c>
      <c r="KO26" s="5">
        <f>ROUND(8.02,2)</f>
        <v/>
      </c>
      <c r="KP26" s="3">
        <f>ROUND(41172.0,2)</f>
        <v/>
      </c>
      <c r="KQ26" s="3">
        <f>ROUND(802.0,2)</f>
        <v/>
      </c>
      <c r="KR26" s="3">
        <f>ROUND(0.0,2)</f>
        <v/>
      </c>
      <c r="KS26" s="3">
        <f>ROUND(0.0,2)</f>
        <v/>
      </c>
      <c r="KT26" s="3">
        <f>ROUND(0.0,2)</f>
        <v/>
      </c>
      <c r="KU26" s="3">
        <f>ROUND(0.0,2)</f>
        <v/>
      </c>
      <c r="KV26" s="3">
        <f>ROUND(0.0,2)</f>
        <v/>
      </c>
      <c r="KW26" s="4">
        <f>IFERROR((KQ26/KP26),0)</f>
        <v/>
      </c>
      <c r="KX26" s="4">
        <f>IFERROR(((0+KO11+KO12+KO13+KO14+KO15+KO16+KO17+KO19+KO20+KO21+KO22+KO23+KO24+KO25)/T2),0)</f>
        <v/>
      </c>
      <c r="KY26" s="5">
        <f>IFERROR(ROUND(KO26/KQ26,2),0)</f>
        <v/>
      </c>
      <c r="KZ26" s="5">
        <f>IFERROR(ROUND(KO26/KR26,2),0)</f>
        <v/>
      </c>
      <c r="LA26" s="2" t="inlineStr">
        <is>
          <t>2 Weekly Total</t>
        </is>
      </c>
      <c r="LB26" s="5">
        <f>ROUND(6.97,2)</f>
        <v/>
      </c>
      <c r="LC26" s="3">
        <f>ROUND(39334.0,2)</f>
        <v/>
      </c>
      <c r="LD26" s="3">
        <f>ROUND(697.0,2)</f>
        <v/>
      </c>
      <c r="LE26" s="3">
        <f>ROUND(0.0,2)</f>
        <v/>
      </c>
      <c r="LF26" s="3">
        <f>ROUND(0.0,2)</f>
        <v/>
      </c>
      <c r="LG26" s="3">
        <f>ROUND(0.0,2)</f>
        <v/>
      </c>
      <c r="LH26" s="3">
        <f>ROUND(0.0,2)</f>
        <v/>
      </c>
      <c r="LI26" s="3">
        <f>ROUND(0.0,2)</f>
        <v/>
      </c>
      <c r="LJ26" s="4">
        <f>IFERROR((LD26/LC26),0)</f>
        <v/>
      </c>
      <c r="LK26" s="4">
        <f>IFERROR(((0+LB11+LB12+LB13+LB14+LB15+LB16+LB17+LB19+LB20+LB21+LB22+LB23+LB24+LB25)/T2),0)</f>
        <v/>
      </c>
      <c r="LL26" s="5">
        <f>IFERROR(ROUND(LB26/LD26,2),0)</f>
        <v/>
      </c>
      <c r="LM26" s="5">
        <f>IFERROR(ROUND(LB26/LE26,2),0)</f>
        <v/>
      </c>
      <c r="LN26" s="2" t="inlineStr">
        <is>
          <t>2 Weekly Total</t>
        </is>
      </c>
      <c r="LO26" s="5">
        <f>ROUND(3.73,2)</f>
        <v/>
      </c>
      <c r="LP26" s="3">
        <f>ROUND(11381.0,2)</f>
        <v/>
      </c>
      <c r="LQ26" s="3">
        <f>ROUND(373.0,2)</f>
        <v/>
      </c>
      <c r="LR26" s="3">
        <f>ROUND(0.0,2)</f>
        <v/>
      </c>
      <c r="LS26" s="3">
        <f>ROUND(0.0,2)</f>
        <v/>
      </c>
      <c r="LT26" s="3">
        <f>ROUND(0.0,2)</f>
        <v/>
      </c>
      <c r="LU26" s="3">
        <f>ROUND(0.0,2)</f>
        <v/>
      </c>
      <c r="LV26" s="3">
        <f>ROUND(0.0,2)</f>
        <v/>
      </c>
      <c r="LW26" s="4">
        <f>IFERROR((LQ26/LP26),0)</f>
        <v/>
      </c>
      <c r="LX26" s="4">
        <f>IFERROR(((0+LO11+LO12+LO13+LO14+LO15+LO16+LO17+LO19+LO20+LO21+LO22+LO23+LO24+LO25)/T2),0)</f>
        <v/>
      </c>
      <c r="LY26" s="5">
        <f>IFERROR(ROUND(LO26/LQ26,2),0)</f>
        <v/>
      </c>
      <c r="LZ26" s="5">
        <f>IFERROR(ROUND(LO26/LR26,2),0)</f>
        <v/>
      </c>
      <c r="MA26" s="2" t="inlineStr">
        <is>
          <t>2 Weekly Total</t>
        </is>
      </c>
      <c r="MB26" s="5">
        <f>ROUND(4.79,2)</f>
        <v/>
      </c>
      <c r="MC26" s="3">
        <f>ROUND(22266.0,2)</f>
        <v/>
      </c>
      <c r="MD26" s="3">
        <f>ROUND(479.0,2)</f>
        <v/>
      </c>
      <c r="ME26" s="3">
        <f>ROUND(0.0,2)</f>
        <v/>
      </c>
      <c r="MF26" s="3">
        <f>ROUND(0.0,2)</f>
        <v/>
      </c>
      <c r="MG26" s="3">
        <f>ROUND(0.0,2)</f>
        <v/>
      </c>
      <c r="MH26" s="3">
        <f>ROUND(0.0,2)</f>
        <v/>
      </c>
      <c r="MI26" s="3">
        <f>ROUND(0.0,2)</f>
        <v/>
      </c>
      <c r="MJ26" s="4">
        <f>IFERROR((MD26/MC26),0)</f>
        <v/>
      </c>
      <c r="MK26" s="4">
        <f>IFERROR(((0+MB11+MB12+MB13+MB14+MB15+MB16+MB17+MB19+MB20+MB21+MB22+MB23+MB24+MB25)/T2),0)</f>
        <v/>
      </c>
      <c r="ML26" s="5">
        <f>IFERROR(ROUND(MB26/MD26,2),0)</f>
        <v/>
      </c>
      <c r="MM26" s="5">
        <f>IFERROR(ROUND(MB26/ME26,2),0)</f>
        <v/>
      </c>
      <c r="MN26" s="2" t="inlineStr">
        <is>
          <t>2 Weekly Total</t>
        </is>
      </c>
      <c r="MO26" s="5">
        <f>ROUND(22.73,2)</f>
        <v/>
      </c>
      <c r="MP26" s="3">
        <f>ROUND(36458.0,2)</f>
        <v/>
      </c>
      <c r="MQ26" s="3">
        <f>ROUND(2273.0,2)</f>
        <v/>
      </c>
      <c r="MR26" s="3">
        <f>ROUND(0.0,2)</f>
        <v/>
      </c>
      <c r="MS26" s="3">
        <f>ROUND(0.0,2)</f>
        <v/>
      </c>
      <c r="MT26" s="3">
        <f>ROUND(0.0,2)</f>
        <v/>
      </c>
      <c r="MU26" s="3">
        <f>ROUND(0.0,2)</f>
        <v/>
      </c>
      <c r="MV26" s="3">
        <f>ROUND(0.0,2)</f>
        <v/>
      </c>
      <c r="MW26" s="4">
        <f>IFERROR((MQ26/MP26),0)</f>
        <v/>
      </c>
      <c r="MX26" s="4">
        <f>IFERROR(((0+MO11+MO12+MO13+MO14+MO15+MO16+MO17+MO19+MO20+MO21+MO22+MO23+MO24+MO25)/T2),0)</f>
        <v/>
      </c>
      <c r="MY26" s="5">
        <f>IFERROR(ROUND(MO26/MQ26,2),0)</f>
        <v/>
      </c>
      <c r="MZ26" s="5">
        <f>IFERROR(ROUND(MO26/MR26,2),0)</f>
        <v/>
      </c>
      <c r="NA26" s="2" t="inlineStr">
        <is>
          <t>2 Weekly Total</t>
        </is>
      </c>
      <c r="NB26" s="5">
        <f>ROUND(6.12,2)</f>
        <v/>
      </c>
      <c r="NC26" s="3">
        <f>ROUND(30058.0,2)</f>
        <v/>
      </c>
      <c r="ND26" s="3">
        <f>ROUND(612.0,2)</f>
        <v/>
      </c>
      <c r="NE26" s="3">
        <f>ROUND(0.0,2)</f>
        <v/>
      </c>
      <c r="NF26" s="3">
        <f>ROUND(0.0,2)</f>
        <v/>
      </c>
      <c r="NG26" s="3">
        <f>ROUND(0.0,2)</f>
        <v/>
      </c>
      <c r="NH26" s="3">
        <f>ROUND(0.0,2)</f>
        <v/>
      </c>
      <c r="NI26" s="3">
        <f>ROUND(0.0,2)</f>
        <v/>
      </c>
      <c r="NJ26" s="4">
        <f>IFERROR((ND26/NC26),0)</f>
        <v/>
      </c>
      <c r="NK26" s="4">
        <f>IFERROR(((0+NB11+NB12+NB13+NB14+NB15+NB16+NB17+NB19+NB20+NB21+NB22+NB23+NB24+NB25)/T2),0)</f>
        <v/>
      </c>
      <c r="NL26" s="5">
        <f>IFERROR(ROUND(NB26/ND26,2),0)</f>
        <v/>
      </c>
      <c r="NM26" s="5">
        <f>IFERROR(ROUND(NB26/NE26,2),0)</f>
        <v/>
      </c>
      <c r="NN26" s="2" t="inlineStr">
        <is>
          <t>2 Weekly Total</t>
        </is>
      </c>
      <c r="NO26" s="5">
        <f>ROUND(0.81,2)</f>
        <v/>
      </c>
      <c r="NP26" s="3">
        <f>ROUND(2239.0,2)</f>
        <v/>
      </c>
      <c r="NQ26" s="3">
        <f>ROUND(81.0,2)</f>
        <v/>
      </c>
      <c r="NR26" s="3">
        <f>ROUND(0.0,2)</f>
        <v/>
      </c>
      <c r="NS26" s="3">
        <f>ROUND(0.0,2)</f>
        <v/>
      </c>
      <c r="NT26" s="3">
        <f>ROUND(0.0,2)</f>
        <v/>
      </c>
      <c r="NU26" s="3">
        <f>ROUND(0.0,2)</f>
        <v/>
      </c>
      <c r="NV26" s="3">
        <f>ROUND(0.0,2)</f>
        <v/>
      </c>
      <c r="NW26" s="4">
        <f>IFERROR((NQ26/NP26),0)</f>
        <v/>
      </c>
      <c r="NX26" s="4">
        <f>IFERROR(((0+NO11+NO12+NO13+NO14+NO15+NO16+NO17+NO19+NO20+NO21+NO22+NO23+NO24+NO25)/T2),0)</f>
        <v/>
      </c>
      <c r="NY26" s="5">
        <f>IFERROR(ROUND(NO26/NQ26,2),0)</f>
        <v/>
      </c>
      <c r="NZ26" s="5">
        <f>IFERROR(ROUND(NO26/NR26,2),0)</f>
        <v/>
      </c>
      <c r="OA26" s="2" t="inlineStr">
        <is>
          <t>2 Weekly Total</t>
        </is>
      </c>
      <c r="OB26" s="5">
        <f>ROUND(1.2,2)</f>
        <v/>
      </c>
      <c r="OC26" s="3">
        <f>ROUND(2961.0,2)</f>
        <v/>
      </c>
      <c r="OD26" s="3">
        <f>ROUND(120.0,2)</f>
        <v/>
      </c>
      <c r="OE26" s="3">
        <f>ROUND(0.0,2)</f>
        <v/>
      </c>
      <c r="OF26" s="3">
        <f>ROUND(0.0,2)</f>
        <v/>
      </c>
      <c r="OG26" s="3">
        <f>ROUND(0.0,2)</f>
        <v/>
      </c>
      <c r="OH26" s="3">
        <f>ROUND(0.0,2)</f>
        <v/>
      </c>
      <c r="OI26" s="3">
        <f>ROUND(0.0,2)</f>
        <v/>
      </c>
      <c r="OJ26" s="4">
        <f>IFERROR((OD26/OC26),0)</f>
        <v/>
      </c>
      <c r="OK26" s="4">
        <f>IFERROR(((0+OB11+OB12+OB13+OB14+OB15+OB16+OB17+OB19+OB20+OB21+OB22+OB23+OB24+OB25)/T2),0)</f>
        <v/>
      </c>
      <c r="OL26" s="5">
        <f>IFERROR(ROUND(OB26/OD26,2),0)</f>
        <v/>
      </c>
      <c r="OM26" s="5">
        <f>IFERROR(ROUND(OB26/OE26,2),0)</f>
        <v/>
      </c>
      <c r="ON26" s="2" t="inlineStr">
        <is>
          <t>2 Weekly Total</t>
        </is>
      </c>
      <c r="OO26" s="5">
        <f>ROUND(2.33,2)</f>
        <v/>
      </c>
      <c r="OP26" s="3">
        <f>ROUND(5994.0,2)</f>
        <v/>
      </c>
      <c r="OQ26" s="3">
        <f>ROUND(233.0,2)</f>
        <v/>
      </c>
      <c r="OR26" s="3">
        <f>ROUND(0.0,2)</f>
        <v/>
      </c>
      <c r="OS26" s="3">
        <f>ROUND(0.0,2)</f>
        <v/>
      </c>
      <c r="OT26" s="3">
        <f>ROUND(0.0,2)</f>
        <v/>
      </c>
      <c r="OU26" s="3">
        <f>ROUND(0.0,2)</f>
        <v/>
      </c>
      <c r="OV26" s="3">
        <f>ROUND(0.0,2)</f>
        <v/>
      </c>
      <c r="OW26" s="4">
        <f>IFERROR((OQ26/OP26),0)</f>
        <v/>
      </c>
      <c r="OX26" s="4">
        <f>IFERROR(((0+OO11+OO12+OO13+OO14+OO15+OO16+OO17+OO19+OO20+OO21+OO22+OO23+OO24+OO25)/T2),0)</f>
        <v/>
      </c>
      <c r="OY26" s="5">
        <f>IFERROR(ROUND(OO26/OQ26,2),0)</f>
        <v/>
      </c>
      <c r="OZ26" s="5">
        <f>IFERROR(ROUND(OO26/OR26,2),0)</f>
        <v/>
      </c>
      <c r="PA26" s="2" t="inlineStr">
        <is>
          <t>2 Weekly Total</t>
        </is>
      </c>
      <c r="PB26" s="5">
        <f>ROUND(5.66,2)</f>
        <v/>
      </c>
      <c r="PC26" s="3">
        <f>ROUND(9068.0,2)</f>
        <v/>
      </c>
      <c r="PD26" s="3">
        <f>ROUND(566.0,2)</f>
        <v/>
      </c>
      <c r="PE26" s="3">
        <f>ROUND(0.0,2)</f>
        <v/>
      </c>
      <c r="PF26" s="3">
        <f>ROUND(0.0,2)</f>
        <v/>
      </c>
      <c r="PG26" s="3">
        <f>ROUND(0.0,2)</f>
        <v/>
      </c>
      <c r="PH26" s="3">
        <f>ROUND(0.0,2)</f>
        <v/>
      </c>
      <c r="PI26" s="3">
        <f>ROUND(0.0,2)</f>
        <v/>
      </c>
      <c r="PJ26" s="4">
        <f>IFERROR((PD26/PC26),0)</f>
        <v/>
      </c>
      <c r="PK26" s="4">
        <f>IFERROR(((0+PB11+PB12+PB13+PB14+PB15+PB16+PB17+PB19+PB20+PB21+PB22+PB23+PB24+PB25)/T2),0)</f>
        <v/>
      </c>
      <c r="PL26" s="5">
        <f>IFERROR(ROUND(PB26/PD26,2),0)</f>
        <v/>
      </c>
      <c r="PM26" s="5">
        <f>IFERROR(ROUND(PB26/PE26,2),0)</f>
        <v/>
      </c>
      <c r="PN26" s="2" t="inlineStr">
        <is>
          <t>2 Weekly Total</t>
        </is>
      </c>
      <c r="PO26" s="5">
        <f>ROUND(0.78,2)</f>
        <v/>
      </c>
      <c r="PP26" s="3">
        <f>ROUND(1911.0,2)</f>
        <v/>
      </c>
      <c r="PQ26" s="3">
        <f>ROUND(78.0,2)</f>
        <v/>
      </c>
      <c r="PR26" s="3">
        <f>ROUND(0.0,2)</f>
        <v/>
      </c>
      <c r="PS26" s="3">
        <f>ROUND(0.0,2)</f>
        <v/>
      </c>
      <c r="PT26" s="3">
        <f>ROUND(0.0,2)</f>
        <v/>
      </c>
      <c r="PU26" s="3">
        <f>ROUND(0.0,2)</f>
        <v/>
      </c>
      <c r="PV26" s="3">
        <f>ROUND(0.0,2)</f>
        <v/>
      </c>
      <c r="PW26" s="4">
        <f>IFERROR((PQ26/PP26),0)</f>
        <v/>
      </c>
      <c r="PX26" s="4">
        <f>IFERROR(((0+PO11+PO12+PO13+PO14+PO15+PO16+PO17+PO19+PO20+PO21+PO22+PO23+PO24+PO25)/T2),0)</f>
        <v/>
      </c>
      <c r="PY26" s="5">
        <f>IFERROR(ROUND(PO26/PQ26,2),0)</f>
        <v/>
      </c>
      <c r="PZ26" s="5">
        <f>IFERROR(ROUND(PO26/PR26,2),0)</f>
        <v/>
      </c>
      <c r="QA26" s="2" t="inlineStr">
        <is>
          <t>2 Weekly Total</t>
        </is>
      </c>
      <c r="QB26" s="5">
        <f>ROUND(0.76,2)</f>
        <v/>
      </c>
      <c r="QC26" s="3">
        <f>ROUND(1960.0,2)</f>
        <v/>
      </c>
      <c r="QD26" s="3">
        <f>ROUND(76.0,2)</f>
        <v/>
      </c>
      <c r="QE26" s="3">
        <f>ROUND(0.0,2)</f>
        <v/>
      </c>
      <c r="QF26" s="3">
        <f>ROUND(0.0,2)</f>
        <v/>
      </c>
      <c r="QG26" s="3">
        <f>ROUND(0.0,2)</f>
        <v/>
      </c>
      <c r="QH26" s="3">
        <f>ROUND(0.0,2)</f>
        <v/>
      </c>
      <c r="QI26" s="3">
        <f>ROUND(0.0,2)</f>
        <v/>
      </c>
      <c r="QJ26" s="4">
        <f>IFERROR((QD26/QC26),0)</f>
        <v/>
      </c>
      <c r="QK26" s="4">
        <f>IFERROR(((0+QB11+QB12+QB13+QB14+QB15+QB16+QB17+QB19+QB20+QB21+QB22+QB23+QB24+QB25)/T2),0)</f>
        <v/>
      </c>
      <c r="QL26" s="5">
        <f>IFERROR(ROUND(QB26/QD26,2),0)</f>
        <v/>
      </c>
      <c r="QM26" s="5">
        <f>IFERROR(ROUND(QB26/QE26,2),0)</f>
        <v/>
      </c>
      <c r="QN26" s="2" t="inlineStr">
        <is>
          <t>2 Weekly Total</t>
        </is>
      </c>
      <c r="QO26" s="5">
        <f>ROUND(2.37,2)</f>
        <v/>
      </c>
      <c r="QP26" s="3">
        <f>ROUND(9345.0,2)</f>
        <v/>
      </c>
      <c r="QQ26" s="3">
        <f>ROUND(237.0,2)</f>
        <v/>
      </c>
      <c r="QR26" s="3">
        <f>ROUND(0.0,2)</f>
        <v/>
      </c>
      <c r="QS26" s="3">
        <f>ROUND(0.0,2)</f>
        <v/>
      </c>
      <c r="QT26" s="3">
        <f>ROUND(0.0,2)</f>
        <v/>
      </c>
      <c r="QU26" s="3">
        <f>ROUND(0.0,2)</f>
        <v/>
      </c>
      <c r="QV26" s="3">
        <f>ROUND(0.0,2)</f>
        <v/>
      </c>
      <c r="QW26" s="4">
        <f>IFERROR((QQ26/QP26),0)</f>
        <v/>
      </c>
      <c r="QX26" s="4">
        <f>IFERROR(((0+QO11+QO12+QO13+QO14+QO15+QO16+QO17+QO19+QO20+QO21+QO22+QO23+QO24+QO25)/T2),0)</f>
        <v/>
      </c>
      <c r="QY26" s="5">
        <f>IFERROR(ROUND(QO26/QQ26,2),0)</f>
        <v/>
      </c>
      <c r="QZ26" s="5">
        <f>IFERROR(ROUND(QO26/QR26,2),0)</f>
        <v/>
      </c>
      <c r="RA26" s="2" t="inlineStr">
        <is>
          <t>2 Weekly Total</t>
        </is>
      </c>
      <c r="RB26" s="5">
        <f>ROUND(4.92,2)</f>
        <v/>
      </c>
      <c r="RC26" s="3">
        <f>ROUND(7757.0,2)</f>
        <v/>
      </c>
      <c r="RD26" s="3">
        <f>ROUND(492.0,2)</f>
        <v/>
      </c>
      <c r="RE26" s="3">
        <f>ROUND(0.0,2)</f>
        <v/>
      </c>
      <c r="RF26" s="3">
        <f>ROUND(0.0,2)</f>
        <v/>
      </c>
      <c r="RG26" s="3">
        <f>ROUND(0.0,2)</f>
        <v/>
      </c>
      <c r="RH26" s="3">
        <f>ROUND(0.0,2)</f>
        <v/>
      </c>
      <c r="RI26" s="3">
        <f>ROUND(0.0,2)</f>
        <v/>
      </c>
      <c r="RJ26" s="4">
        <f>IFERROR((RD26/RC26),0)</f>
        <v/>
      </c>
      <c r="RK26" s="4">
        <f>IFERROR(((0+RB11+RB12+RB13+RB14+RB15+RB16+RB17+RB19+RB20+RB21+RB22+RB23+RB24+RB25)/T2),0)</f>
        <v/>
      </c>
      <c r="RL26" s="5">
        <f>IFERROR(ROUND(RB26/RD26,2),0)</f>
        <v/>
      </c>
      <c r="RM26" s="5">
        <f>IFERROR(ROUND(RB26/RE26,2),0)</f>
        <v/>
      </c>
      <c r="RN26" s="2" t="inlineStr">
        <is>
          <t>2 Weekly Total</t>
        </is>
      </c>
      <c r="RO26" s="5">
        <f>ROUND(2.18,2)</f>
        <v/>
      </c>
      <c r="RP26" s="3">
        <f>ROUND(3705.0,2)</f>
        <v/>
      </c>
      <c r="RQ26" s="3">
        <f>ROUND(218.0,2)</f>
        <v/>
      </c>
      <c r="RR26" s="3">
        <f>ROUND(0.0,2)</f>
        <v/>
      </c>
      <c r="RS26" s="3">
        <f>ROUND(0.0,2)</f>
        <v/>
      </c>
      <c r="RT26" s="3">
        <f>ROUND(0.0,2)</f>
        <v/>
      </c>
      <c r="RU26" s="3">
        <f>ROUND(0.0,2)</f>
        <v/>
      </c>
      <c r="RV26" s="3">
        <f>ROUND(0.0,2)</f>
        <v/>
      </c>
      <c r="RW26" s="4">
        <f>IFERROR((RQ26/RP26),0)</f>
        <v/>
      </c>
      <c r="RX26" s="4">
        <f>IFERROR(((0+RO11+RO12+RO13+RO14+RO15+RO16+RO17+RO19+RO20+RO21+RO22+RO23+RO24+RO25)/T2),0)</f>
        <v/>
      </c>
      <c r="RY26" s="5">
        <f>IFERROR(ROUND(RO26/RQ26,2),0)</f>
        <v/>
      </c>
      <c r="RZ26" s="5">
        <f>IFERROR(ROUND(RO26/RR26,2),0)</f>
        <v/>
      </c>
      <c r="SA26" s="2" t="inlineStr">
        <is>
          <t>2 Weekly Total</t>
        </is>
      </c>
      <c r="SB26" s="5">
        <f>ROUND(5.62,2)</f>
        <v/>
      </c>
      <c r="SC26" s="3">
        <f>ROUND(20166.0,2)</f>
        <v/>
      </c>
      <c r="SD26" s="3">
        <f>ROUND(562.0,2)</f>
        <v/>
      </c>
      <c r="SE26" s="3">
        <f>ROUND(0.0,2)</f>
        <v/>
      </c>
      <c r="SF26" s="3">
        <f>ROUND(0.0,2)</f>
        <v/>
      </c>
      <c r="SG26" s="3">
        <f>ROUND(0.0,2)</f>
        <v/>
      </c>
      <c r="SH26" s="3">
        <f>ROUND(0.0,2)</f>
        <v/>
      </c>
      <c r="SI26" s="3">
        <f>ROUND(0.0,2)</f>
        <v/>
      </c>
      <c r="SJ26" s="4">
        <f>IFERROR((SD26/SC26),0)</f>
        <v/>
      </c>
      <c r="SK26" s="4">
        <f>IFERROR(((0+SB11+SB12+SB13+SB14+SB15+SB16+SB17+SB19+SB20+SB21+SB22+SB23+SB24+SB25)/T2),0)</f>
        <v/>
      </c>
      <c r="SL26" s="5">
        <f>IFERROR(ROUND(SB26/SD26,2),0)</f>
        <v/>
      </c>
      <c r="SM26" s="5">
        <f>IFERROR(ROUND(SB26/SE26,2),0)</f>
        <v/>
      </c>
      <c r="SN26" s="2" t="inlineStr">
        <is>
          <t>2 Weekly Total</t>
        </is>
      </c>
      <c r="SO26" s="5">
        <f>ROUND(6.31,2)</f>
        <v/>
      </c>
      <c r="SP26" s="3">
        <f>ROUND(14570.0,2)</f>
        <v/>
      </c>
      <c r="SQ26" s="3">
        <f>ROUND(631.0,2)</f>
        <v/>
      </c>
      <c r="SR26" s="3">
        <f>ROUND(0.0,2)</f>
        <v/>
      </c>
      <c r="SS26" s="3">
        <f>ROUND(0.0,2)</f>
        <v/>
      </c>
      <c r="ST26" s="3">
        <f>ROUND(0.0,2)</f>
        <v/>
      </c>
      <c r="SU26" s="3">
        <f>ROUND(0.0,2)</f>
        <v/>
      </c>
      <c r="SV26" s="3">
        <f>ROUND(0.0,2)</f>
        <v/>
      </c>
      <c r="SW26" s="4">
        <f>IFERROR((SQ26/SP26),0)</f>
        <v/>
      </c>
      <c r="SX26" s="4">
        <f>IFERROR(((0+SO11+SO12+SO13+SO14+SO15+SO16+SO17+SO19+SO20+SO21+SO22+SO23+SO24+SO25)/T2),0)</f>
        <v/>
      </c>
      <c r="SY26" s="5">
        <f>IFERROR(ROUND(SO26/SQ26,2),0)</f>
        <v/>
      </c>
      <c r="SZ26" s="5">
        <f>IFERROR(ROUND(SO26/SR26,2),0)</f>
        <v/>
      </c>
    </row>
    <row r="27">
      <c r="A27" s="2" t="inlineStr">
        <is>
          <t>2023-10-04</t>
        </is>
      </c>
      <c r="B27" s="5">
        <f>ROUND(40.43,2)</f>
        <v/>
      </c>
      <c r="C27" s="3">
        <f>ROUND(123929.0,2)</f>
        <v/>
      </c>
      <c r="D27" s="3">
        <f>ROUND(4043.0,2)</f>
        <v/>
      </c>
      <c r="E27" s="3">
        <f>ROUND(0.0,2)</f>
        <v/>
      </c>
      <c r="F27" s="3">
        <f>ROUND(0.0,2)</f>
        <v/>
      </c>
      <c r="G27" s="3">
        <f>ROUND(0.0,2)</f>
        <v/>
      </c>
      <c r="H27" s="3">
        <f>ROUND(0.0,2)</f>
        <v/>
      </c>
      <c r="I27" s="3">
        <f>ROUND(0.0,2)</f>
        <v/>
      </c>
      <c r="J27" s="4">
        <f>IFERROR((D27/C27),0)</f>
        <v/>
      </c>
      <c r="K27" s="4">
        <f>IFERROR(((0+B11+B12+B13+B14+B15+B16+B17+B19+B20+B21+B22+B23+B24+B25+B27)/T2),0)</f>
        <v/>
      </c>
      <c r="L27" s="5">
        <f>IFERROR(ROUND(B27/D27,2),0)</f>
        <v/>
      </c>
      <c r="M27" s="5">
        <f>IFERROR(ROUND(B27/E27,2),0)</f>
        <v/>
      </c>
      <c r="N27" s="2" t="inlineStr">
        <is>
          <t>2023-10-04</t>
        </is>
      </c>
      <c r="O27" s="5">
        <f>ROUND(6.629999999999999,2)</f>
        <v/>
      </c>
      <c r="P27" s="3">
        <f>ROUND(10370.0,2)</f>
        <v/>
      </c>
      <c r="Q27" s="3">
        <f>ROUND(663.0,2)</f>
        <v/>
      </c>
      <c r="R27" s="3">
        <f>ROUND(0.0,2)</f>
        <v/>
      </c>
      <c r="S27" s="3">
        <f>ROUND(0.0,2)</f>
        <v/>
      </c>
      <c r="T27" s="3">
        <f>ROUND(0.0,2)</f>
        <v/>
      </c>
      <c r="U27" s="3">
        <f>ROUND(0.0,2)</f>
        <v/>
      </c>
      <c r="V27" s="3">
        <f>ROUND(0.0,2)</f>
        <v/>
      </c>
      <c r="W27" s="4">
        <f>IFERROR((Q27/P27),0)</f>
        <v/>
      </c>
      <c r="X27" s="4">
        <f>IFERROR(((0+O11+O12+O13+O14+O15+O16+O17+O19+O20+O21+O22+O23+O24+O25+O27)/T2),0)</f>
        <v/>
      </c>
      <c r="Y27" s="5">
        <f>IFERROR(ROUND(O27/Q27,2),0)</f>
        <v/>
      </c>
      <c r="Z27" s="5">
        <f>IFERROR(ROUND(O27/R27,2),0)</f>
        <v/>
      </c>
      <c r="AA27" s="2" t="inlineStr">
        <is>
          <t>2023-10-04</t>
        </is>
      </c>
      <c r="AB27" s="5">
        <f>ROUND(0.13,2)</f>
        <v/>
      </c>
      <c r="AC27" s="3">
        <f>ROUND(425.0,2)</f>
        <v/>
      </c>
      <c r="AD27" s="3">
        <f>ROUND(13.0,2)</f>
        <v/>
      </c>
      <c r="AE27" s="3">
        <f>ROUND(0.0,2)</f>
        <v/>
      </c>
      <c r="AF27" s="3">
        <f>ROUND(0.0,2)</f>
        <v/>
      </c>
      <c r="AG27" s="3">
        <f>ROUND(0.0,2)</f>
        <v/>
      </c>
      <c r="AH27" s="3">
        <f>ROUND(0.0,2)</f>
        <v/>
      </c>
      <c r="AI27" s="3">
        <f>ROUND(0.0,2)</f>
        <v/>
      </c>
      <c r="AJ27" s="4">
        <f>IFERROR((AD27/AC27),0)</f>
        <v/>
      </c>
      <c r="AK27" s="4">
        <f>IFERROR(((0+AB11+AB12+AB13+AB14+AB15+AB16+AB17+AB19+AB20+AB21+AB22+AB23+AB24+AB25+AB27)/T2),0)</f>
        <v/>
      </c>
      <c r="AL27" s="5">
        <f>IFERROR(ROUND(AB27/AD27,2),0)</f>
        <v/>
      </c>
      <c r="AM27" s="5">
        <f>IFERROR(ROUND(AB27/AE27,2),0)</f>
        <v/>
      </c>
      <c r="AN27" s="2" t="inlineStr">
        <is>
          <t>2023-10-04</t>
        </is>
      </c>
      <c r="AO27" s="5">
        <f>ROUND(0.65,2)</f>
        <v/>
      </c>
      <c r="AP27" s="3">
        <f>ROUND(4731.0,2)</f>
        <v/>
      </c>
      <c r="AQ27" s="3">
        <f>ROUND(65.0,2)</f>
        <v/>
      </c>
      <c r="AR27" s="3">
        <f>ROUND(0.0,2)</f>
        <v/>
      </c>
      <c r="AS27" s="3">
        <f>ROUND(0.0,2)</f>
        <v/>
      </c>
      <c r="AT27" s="3">
        <f>ROUND(0.0,2)</f>
        <v/>
      </c>
      <c r="AU27" s="3">
        <f>ROUND(0.0,2)</f>
        <v/>
      </c>
      <c r="AV27" s="3">
        <f>ROUND(0.0,2)</f>
        <v/>
      </c>
      <c r="AW27" s="4">
        <f>IFERROR((AQ27/AP27),0)</f>
        <v/>
      </c>
      <c r="AX27" s="4">
        <f>IFERROR(((0+AO11+AO12+AO13+AO14+AO15+AO16+AO17+AO19+AO20+AO21+AO22+AO23+AO24+AO25+AO27)/T2),0)</f>
        <v/>
      </c>
      <c r="AY27" s="5">
        <f>IFERROR(ROUND(AO27/AQ27,2),0)</f>
        <v/>
      </c>
      <c r="AZ27" s="5">
        <f>IFERROR(ROUND(AO27/AR27,2),0)</f>
        <v/>
      </c>
      <c r="BA27" s="2" t="inlineStr">
        <is>
          <t>2023-10-04</t>
        </is>
      </c>
      <c r="BB27" s="5">
        <f>ROUND(0.30000000000000004,2)</f>
        <v/>
      </c>
      <c r="BC27" s="3">
        <f>ROUND(551.0,2)</f>
        <v/>
      </c>
      <c r="BD27" s="3">
        <f>ROUND(30.0,2)</f>
        <v/>
      </c>
      <c r="BE27" s="3">
        <f>ROUND(0.0,2)</f>
        <v/>
      </c>
      <c r="BF27" s="3">
        <f>ROUND(0.0,2)</f>
        <v/>
      </c>
      <c r="BG27" s="3">
        <f>ROUND(0.0,2)</f>
        <v/>
      </c>
      <c r="BH27" s="3">
        <f>ROUND(0.0,2)</f>
        <v/>
      </c>
      <c r="BI27" s="3">
        <f>ROUND(0.0,2)</f>
        <v/>
      </c>
      <c r="BJ27" s="4">
        <f>IFERROR((BD27/BC27),0)</f>
        <v/>
      </c>
      <c r="BK27" s="4">
        <f>IFERROR(((0+BB11+BB12+BB13+BB14+BB15+BB16+BB17+BB19+BB20+BB21+BB22+BB23+BB24+BB25+BB27)/T2),0)</f>
        <v/>
      </c>
      <c r="BL27" s="5">
        <f>IFERROR(ROUND(BB27/BD27,2),0)</f>
        <v/>
      </c>
      <c r="BM27" s="5">
        <f>IFERROR(ROUND(BB27/BE27,2),0)</f>
        <v/>
      </c>
      <c r="BN27" s="2" t="inlineStr">
        <is>
          <t>2023-10-04</t>
        </is>
      </c>
      <c r="BO27" s="5">
        <f>ROUND(0.36000000000000004,2)</f>
        <v/>
      </c>
      <c r="BP27" s="3">
        <f>ROUND(826.0,2)</f>
        <v/>
      </c>
      <c r="BQ27" s="3">
        <f>ROUND(36.0,2)</f>
        <v/>
      </c>
      <c r="BR27" s="3">
        <f>ROUND(0.0,2)</f>
        <v/>
      </c>
      <c r="BS27" s="3">
        <f>ROUND(0.0,2)</f>
        <v/>
      </c>
      <c r="BT27" s="3">
        <f>ROUND(0.0,2)</f>
        <v/>
      </c>
      <c r="BU27" s="3">
        <f>ROUND(0.0,2)</f>
        <v/>
      </c>
      <c r="BV27" s="3">
        <f>ROUND(0.0,2)</f>
        <v/>
      </c>
      <c r="BW27" s="4">
        <f>IFERROR((BQ27/BP27),0)</f>
        <v/>
      </c>
      <c r="BX27" s="4">
        <f>IFERROR(((0+BO11+BO12+BO13+BO14+BO15+BO16+BO17+BO19+BO20+BO21+BO22+BO23+BO24+BO25+BO27)/T2),0)</f>
        <v/>
      </c>
      <c r="BY27" s="5">
        <f>IFERROR(ROUND(BO27/BQ27,2),0)</f>
        <v/>
      </c>
      <c r="BZ27" s="5">
        <f>IFERROR(ROUND(BO27/BR27,2),0)</f>
        <v/>
      </c>
      <c r="CA27" s="2" t="inlineStr">
        <is>
          <t>2023-10-04</t>
        </is>
      </c>
      <c r="CB27" s="5">
        <f>ROUND(0.9400000000000001,2)</f>
        <v/>
      </c>
      <c r="CC27" s="3">
        <f>ROUND(1849.0,2)</f>
        <v/>
      </c>
      <c r="CD27" s="3">
        <f>ROUND(94.0,2)</f>
        <v/>
      </c>
      <c r="CE27" s="3">
        <f>ROUND(0.0,2)</f>
        <v/>
      </c>
      <c r="CF27" s="3">
        <f>ROUND(0.0,2)</f>
        <v/>
      </c>
      <c r="CG27" s="3">
        <f>ROUND(0.0,2)</f>
        <v/>
      </c>
      <c r="CH27" s="3">
        <f>ROUND(0.0,2)</f>
        <v/>
      </c>
      <c r="CI27" s="3">
        <f>ROUND(0.0,2)</f>
        <v/>
      </c>
      <c r="CJ27" s="4">
        <f>IFERROR((CD27/CC27),0)</f>
        <v/>
      </c>
      <c r="CK27" s="4">
        <f>IFERROR(((0+CB11+CB12+CB13+CB14+CB15+CB16+CB17+CB19+CB20+CB21+CB22+CB23+CB24+CB25+CB27)/T2),0)</f>
        <v/>
      </c>
      <c r="CL27" s="5">
        <f>IFERROR(ROUND(CB27/CD27,2),0)</f>
        <v/>
      </c>
      <c r="CM27" s="5">
        <f>IFERROR(ROUND(CB27/CE27,2),0)</f>
        <v/>
      </c>
      <c r="CN27" s="2" t="inlineStr">
        <is>
          <t>2023-10-04</t>
        </is>
      </c>
      <c r="CO27" s="5">
        <f>ROUND(1.58,2)</f>
        <v/>
      </c>
      <c r="CP27" s="3">
        <f>ROUND(7364.0,2)</f>
        <v/>
      </c>
      <c r="CQ27" s="3">
        <f>ROUND(158.0,2)</f>
        <v/>
      </c>
      <c r="CR27" s="3">
        <f>ROUND(0.0,2)</f>
        <v/>
      </c>
      <c r="CS27" s="3">
        <f>ROUND(0.0,2)</f>
        <v/>
      </c>
      <c r="CT27" s="3">
        <f>ROUND(0.0,2)</f>
        <v/>
      </c>
      <c r="CU27" s="3">
        <f>ROUND(0.0,2)</f>
        <v/>
      </c>
      <c r="CV27" s="3">
        <f>ROUND(0.0,2)</f>
        <v/>
      </c>
      <c r="CW27" s="4">
        <f>IFERROR((CQ27/CP27),0)</f>
        <v/>
      </c>
      <c r="CX27" s="4">
        <f>IFERROR(((0+CO11+CO12+CO13+CO14+CO15+CO16+CO17+CO19+CO20+CO21+CO22+CO23+CO24+CO25+CO27)/T2),0)</f>
        <v/>
      </c>
      <c r="CY27" s="5">
        <f>IFERROR(ROUND(CO27/CQ27,2),0)</f>
        <v/>
      </c>
      <c r="CZ27" s="5">
        <f>IFERROR(ROUND(CO27/CR27,2),0)</f>
        <v/>
      </c>
      <c r="DA27" s="2" t="inlineStr">
        <is>
          <t>2023-10-04</t>
        </is>
      </c>
      <c r="DB27" s="5">
        <f>ROUND(1.16,2)</f>
        <v/>
      </c>
      <c r="DC27" s="3">
        <f>ROUND(2794.0,2)</f>
        <v/>
      </c>
      <c r="DD27" s="3">
        <f>ROUND(116.0,2)</f>
        <v/>
      </c>
      <c r="DE27" s="3">
        <f>ROUND(0.0,2)</f>
        <v/>
      </c>
      <c r="DF27" s="3">
        <f>ROUND(0.0,2)</f>
        <v/>
      </c>
      <c r="DG27" s="3">
        <f>ROUND(0.0,2)</f>
        <v/>
      </c>
      <c r="DH27" s="3">
        <f>ROUND(0.0,2)</f>
        <v/>
      </c>
      <c r="DI27" s="3">
        <f>ROUND(0.0,2)</f>
        <v/>
      </c>
      <c r="DJ27" s="4">
        <f>IFERROR((DD27/DC27),0)</f>
        <v/>
      </c>
      <c r="DK27" s="4">
        <f>IFERROR(((0+DB11+DB12+DB13+DB14+DB15+DB16+DB17+DB19+DB20+DB21+DB22+DB23+DB24+DB25+DB27)/T2),0)</f>
        <v/>
      </c>
      <c r="DL27" s="5">
        <f>IFERROR(ROUND(DB27/DD27,2),0)</f>
        <v/>
      </c>
      <c r="DM27" s="5">
        <f>IFERROR(ROUND(DB27/DE27,2),0)</f>
        <v/>
      </c>
      <c r="DN27" s="2" t="inlineStr">
        <is>
          <t>2023-10-04</t>
        </is>
      </c>
      <c r="DO27" s="5">
        <f>ROUND(0.09,2)</f>
        <v/>
      </c>
      <c r="DP27" s="3">
        <f>ROUND(426.0,2)</f>
        <v/>
      </c>
      <c r="DQ27" s="3">
        <f>ROUND(9.0,2)</f>
        <v/>
      </c>
      <c r="DR27" s="3">
        <f>ROUND(0.0,2)</f>
        <v/>
      </c>
      <c r="DS27" s="3">
        <f>ROUND(0.0,2)</f>
        <v/>
      </c>
      <c r="DT27" s="3">
        <f>ROUND(0.0,2)</f>
        <v/>
      </c>
      <c r="DU27" s="3">
        <f>ROUND(0.0,2)</f>
        <v/>
      </c>
      <c r="DV27" s="3">
        <f>ROUND(0.0,2)</f>
        <v/>
      </c>
      <c r="DW27" s="4">
        <f>IFERROR((DQ27/DP27),0)</f>
        <v/>
      </c>
      <c r="DX27" s="4">
        <f>IFERROR(((0+DO11+DO12+DO13+DO14+DO15+DO16+DO17+DO19+DO20+DO21+DO22+DO23+DO24+DO25+DO27)/T2),0)</f>
        <v/>
      </c>
      <c r="DY27" s="5">
        <f>IFERROR(ROUND(DO27/DQ27,2),0)</f>
        <v/>
      </c>
      <c r="DZ27" s="5">
        <f>IFERROR(ROUND(DO27/DR27,2),0)</f>
        <v/>
      </c>
      <c r="EA27" s="2" t="inlineStr">
        <is>
          <t>2023-10-04</t>
        </is>
      </c>
      <c r="EB27" s="5">
        <f>ROUND(2.3,2)</f>
        <v/>
      </c>
      <c r="EC27" s="3">
        <f>ROUND(10735.0,2)</f>
        <v/>
      </c>
      <c r="ED27" s="3">
        <f>ROUND(230.0,2)</f>
        <v/>
      </c>
      <c r="EE27" s="3">
        <f>ROUND(0.0,2)</f>
        <v/>
      </c>
      <c r="EF27" s="3">
        <f>ROUND(0.0,2)</f>
        <v/>
      </c>
      <c r="EG27" s="3">
        <f>ROUND(0.0,2)</f>
        <v/>
      </c>
      <c r="EH27" s="3">
        <f>ROUND(0.0,2)</f>
        <v/>
      </c>
      <c r="EI27" s="3">
        <f>ROUND(0.0,2)</f>
        <v/>
      </c>
      <c r="EJ27" s="4">
        <f>IFERROR((ED27/EC27),0)</f>
        <v/>
      </c>
      <c r="EK27" s="4">
        <f>IFERROR(((0+EB11+EB12+EB13+EB14+EB15+EB16+EB17+EB19+EB20+EB21+EB22+EB23+EB24+EB25+EB27)/T2),0)</f>
        <v/>
      </c>
      <c r="EL27" s="5">
        <f>IFERROR(ROUND(EB27/ED27,2),0)</f>
        <v/>
      </c>
      <c r="EM27" s="5">
        <f>IFERROR(ROUND(EB27/EE27,2),0)</f>
        <v/>
      </c>
      <c r="EN27" s="2" t="inlineStr">
        <is>
          <t>2023-10-04</t>
        </is>
      </c>
      <c r="EO27" s="5">
        <f>ROUND(0.45,2)</f>
        <v/>
      </c>
      <c r="EP27" s="3">
        <f>ROUND(941.0,2)</f>
        <v/>
      </c>
      <c r="EQ27" s="3">
        <f>ROUND(45.0,2)</f>
        <v/>
      </c>
      <c r="ER27" s="3">
        <f>ROUND(0.0,2)</f>
        <v/>
      </c>
      <c r="ES27" s="3">
        <f>ROUND(0.0,2)</f>
        <v/>
      </c>
      <c r="ET27" s="3">
        <f>ROUND(0.0,2)</f>
        <v/>
      </c>
      <c r="EU27" s="3">
        <f>ROUND(0.0,2)</f>
        <v/>
      </c>
      <c r="EV27" s="3">
        <f>ROUND(0.0,2)</f>
        <v/>
      </c>
      <c r="EW27" s="4">
        <f>IFERROR((EQ27/EP27),0)</f>
        <v/>
      </c>
      <c r="EX27" s="4">
        <f>IFERROR(((0+EO11+EO12+EO13+EO14+EO15+EO16+EO17+EO19+EO20+EO21+EO22+EO23+EO24+EO25+EO27)/T2),0)</f>
        <v/>
      </c>
      <c r="EY27" s="5">
        <f>IFERROR(ROUND(EO27/EQ27,2),0)</f>
        <v/>
      </c>
      <c r="EZ27" s="5">
        <f>IFERROR(ROUND(EO27/ER27,2),0)</f>
        <v/>
      </c>
      <c r="FA27" s="2" t="inlineStr">
        <is>
          <t>2023-10-04</t>
        </is>
      </c>
      <c r="FB27" s="5">
        <f>ROUND(2.41,2)</f>
        <v/>
      </c>
      <c r="FC27" s="3">
        <f>ROUND(11709.0,2)</f>
        <v/>
      </c>
      <c r="FD27" s="3">
        <f>ROUND(241.0,2)</f>
        <v/>
      </c>
      <c r="FE27" s="3">
        <f>ROUND(0.0,2)</f>
        <v/>
      </c>
      <c r="FF27" s="3">
        <f>ROUND(0.0,2)</f>
        <v/>
      </c>
      <c r="FG27" s="3">
        <f>ROUND(0.0,2)</f>
        <v/>
      </c>
      <c r="FH27" s="3">
        <f>ROUND(0.0,2)</f>
        <v/>
      </c>
      <c r="FI27" s="3">
        <f>ROUND(0.0,2)</f>
        <v/>
      </c>
      <c r="FJ27" s="4">
        <f>IFERROR((FD27/FC27),0)</f>
        <v/>
      </c>
      <c r="FK27" s="4">
        <f>IFERROR(((0+FB11+FB12+FB13+FB14+FB15+FB16+FB17+FB19+FB20+FB21+FB22+FB23+FB24+FB25+FB27)/T2),0)</f>
        <v/>
      </c>
      <c r="FL27" s="5">
        <f>IFERROR(ROUND(FB27/FD27,2),0)</f>
        <v/>
      </c>
      <c r="FM27" s="5">
        <f>IFERROR(ROUND(FB27/FE27,2),0)</f>
        <v/>
      </c>
      <c r="FN27" s="2" t="inlineStr">
        <is>
          <t>2023-10-04</t>
        </is>
      </c>
      <c r="FO27" s="5">
        <f>ROUND(3.2199999999999998,2)</f>
        <v/>
      </c>
      <c r="FP27" s="3">
        <f>ROUND(7969.0,2)</f>
        <v/>
      </c>
      <c r="FQ27" s="3">
        <f>ROUND(322.0,2)</f>
        <v/>
      </c>
      <c r="FR27" s="3">
        <f>ROUND(0.0,2)</f>
        <v/>
      </c>
      <c r="FS27" s="3">
        <f>ROUND(0.0,2)</f>
        <v/>
      </c>
      <c r="FT27" s="3">
        <f>ROUND(0.0,2)</f>
        <v/>
      </c>
      <c r="FU27" s="3">
        <f>ROUND(0.0,2)</f>
        <v/>
      </c>
      <c r="FV27" s="3">
        <f>ROUND(0.0,2)</f>
        <v/>
      </c>
      <c r="FW27" s="4">
        <f>IFERROR((FQ27/FP27),0)</f>
        <v/>
      </c>
      <c r="FX27" s="4">
        <f>IFERROR(((0+FO11+FO12+FO13+FO14+FO15+FO16+FO17+FO19+FO20+FO21+FO22+FO23+FO24+FO25+FO27)/T2),0)</f>
        <v/>
      </c>
      <c r="FY27" s="5">
        <f>IFERROR(ROUND(FO27/FQ27,2),0)</f>
        <v/>
      </c>
      <c r="FZ27" s="5">
        <f>IFERROR(ROUND(FO27/FR27,2),0)</f>
        <v/>
      </c>
      <c r="GA27" s="2" t="inlineStr">
        <is>
          <t>2023-10-04</t>
        </is>
      </c>
      <c r="GB27" s="5">
        <f>ROUND(0.43,2)</f>
        <v/>
      </c>
      <c r="GC27" s="3">
        <f>ROUND(927.0,2)</f>
        <v/>
      </c>
      <c r="GD27" s="3">
        <f>ROUND(43.0,2)</f>
        <v/>
      </c>
      <c r="GE27" s="3">
        <f>ROUND(0.0,2)</f>
        <v/>
      </c>
      <c r="GF27" s="3">
        <f>ROUND(0.0,2)</f>
        <v/>
      </c>
      <c r="GG27" s="3">
        <f>ROUND(0.0,2)</f>
        <v/>
      </c>
      <c r="GH27" s="3">
        <f>ROUND(0.0,2)</f>
        <v/>
      </c>
      <c r="GI27" s="3">
        <f>ROUND(0.0,2)</f>
        <v/>
      </c>
      <c r="GJ27" s="4">
        <f>IFERROR((GD27/GC27),0)</f>
        <v/>
      </c>
      <c r="GK27" s="4">
        <f>IFERROR(((0+GB11+GB12+GB13+GB14+GB15+GB16+GB17+GB19+GB20+GB21+GB22+GB23+GB24+GB25+GB27)/T2),0)</f>
        <v/>
      </c>
      <c r="GL27" s="5">
        <f>IFERROR(ROUND(GB27/GD27,2),0)</f>
        <v/>
      </c>
      <c r="GM27" s="5">
        <f>IFERROR(ROUND(GB27/GE27,2),0)</f>
        <v/>
      </c>
      <c r="GN27" s="2" t="inlineStr">
        <is>
          <t>2023-10-04</t>
        </is>
      </c>
      <c r="GO27" s="5">
        <f>ROUND(1.01,2)</f>
        <v/>
      </c>
      <c r="GP27" s="3">
        <f>ROUND(4608.0,2)</f>
        <v/>
      </c>
      <c r="GQ27" s="3">
        <f>ROUND(101.0,2)</f>
        <v/>
      </c>
      <c r="GR27" s="3">
        <f>ROUND(0.0,2)</f>
        <v/>
      </c>
      <c r="GS27" s="3">
        <f>ROUND(0.0,2)</f>
        <v/>
      </c>
      <c r="GT27" s="3">
        <f>ROUND(0.0,2)</f>
        <v/>
      </c>
      <c r="GU27" s="3">
        <f>ROUND(0.0,2)</f>
        <v/>
      </c>
      <c r="GV27" s="3">
        <f>ROUND(0.0,2)</f>
        <v/>
      </c>
      <c r="GW27" s="4">
        <f>IFERROR((GQ27/GP27),0)</f>
        <v/>
      </c>
      <c r="GX27" s="4">
        <f>IFERROR(((0+GO11+GO12+GO13+GO14+GO15+GO16+GO17+GO19+GO20+GO21+GO22+GO23+GO24+GO25+GO27)/T2),0)</f>
        <v/>
      </c>
      <c r="GY27" s="5">
        <f>IFERROR(ROUND(GO27/GQ27,2),0)</f>
        <v/>
      </c>
      <c r="GZ27" s="5">
        <f>IFERROR(ROUND(GO27/GR27,2),0)</f>
        <v/>
      </c>
      <c r="HA27" s="2" t="inlineStr">
        <is>
          <t>2023-10-04</t>
        </is>
      </c>
      <c r="HB27" s="5">
        <f>ROUND(1.44,2)</f>
        <v/>
      </c>
      <c r="HC27" s="3">
        <f>ROUND(2485.0,2)</f>
        <v/>
      </c>
      <c r="HD27" s="3">
        <f>ROUND(144.0,2)</f>
        <v/>
      </c>
      <c r="HE27" s="3">
        <f>ROUND(0.0,2)</f>
        <v/>
      </c>
      <c r="HF27" s="3">
        <f>ROUND(0.0,2)</f>
        <v/>
      </c>
      <c r="HG27" s="3">
        <f>ROUND(0.0,2)</f>
        <v/>
      </c>
      <c r="HH27" s="3">
        <f>ROUND(0.0,2)</f>
        <v/>
      </c>
      <c r="HI27" s="3">
        <f>ROUND(0.0,2)</f>
        <v/>
      </c>
      <c r="HJ27" s="4">
        <f>IFERROR((HD27/HC27),0)</f>
        <v/>
      </c>
      <c r="HK27" s="4">
        <f>IFERROR(((0+HB11+HB12+HB13+HB14+HB15+HB16+HB17+HB19+HB20+HB21+HB22+HB23+HB24+HB25+HB27)/T2),0)</f>
        <v/>
      </c>
      <c r="HL27" s="5">
        <f>IFERROR(ROUND(HB27/HD27,2),0)</f>
        <v/>
      </c>
      <c r="HM27" s="5">
        <f>IFERROR(ROUND(HB27/HE27,2),0)</f>
        <v/>
      </c>
      <c r="HN27" s="2" t="inlineStr">
        <is>
          <t>2023-10-04</t>
        </is>
      </c>
      <c r="HO27" s="5">
        <f>ROUND(0.25,2)</f>
        <v/>
      </c>
      <c r="HP27" s="3">
        <f>ROUND(576.0,2)</f>
        <v/>
      </c>
      <c r="HQ27" s="3">
        <f>ROUND(25.0,2)</f>
        <v/>
      </c>
      <c r="HR27" s="3">
        <f>ROUND(0.0,2)</f>
        <v/>
      </c>
      <c r="HS27" s="3">
        <f>ROUND(0.0,2)</f>
        <v/>
      </c>
      <c r="HT27" s="3">
        <f>ROUND(0.0,2)</f>
        <v/>
      </c>
      <c r="HU27" s="3">
        <f>ROUND(0.0,2)</f>
        <v/>
      </c>
      <c r="HV27" s="3">
        <f>ROUND(0.0,2)</f>
        <v/>
      </c>
      <c r="HW27" s="4">
        <f>IFERROR((HQ27/HP27),0)</f>
        <v/>
      </c>
      <c r="HX27" s="4">
        <f>IFERROR(((0+HO11+HO12+HO13+HO14+HO15+HO16+HO17+HO19+HO20+HO21+HO22+HO23+HO24+HO25+HO27)/T2),0)</f>
        <v/>
      </c>
      <c r="HY27" s="5">
        <f>IFERROR(ROUND(HO27/HQ27,2),0)</f>
        <v/>
      </c>
      <c r="HZ27" s="5">
        <f>IFERROR(ROUND(HO27/HR27,2),0)</f>
        <v/>
      </c>
      <c r="IA27" s="2" t="inlineStr">
        <is>
          <t>2023-10-04</t>
        </is>
      </c>
      <c r="IB27" s="5">
        <f>ROUND(0.33,2)</f>
        <v/>
      </c>
      <c r="IC27" s="3">
        <f>ROUND(888.0,2)</f>
        <v/>
      </c>
      <c r="ID27" s="3">
        <f>ROUND(33.0,2)</f>
        <v/>
      </c>
      <c r="IE27" s="3">
        <f>ROUND(0.0,2)</f>
        <v/>
      </c>
      <c r="IF27" s="3">
        <f>ROUND(0.0,2)</f>
        <v/>
      </c>
      <c r="IG27" s="3">
        <f>ROUND(0.0,2)</f>
        <v/>
      </c>
      <c r="IH27" s="3">
        <f>ROUND(0.0,2)</f>
        <v/>
      </c>
      <c r="II27" s="3">
        <f>ROUND(0.0,2)</f>
        <v/>
      </c>
      <c r="IJ27" s="4">
        <f>IFERROR((ID27/IC27),0)</f>
        <v/>
      </c>
      <c r="IK27" s="4">
        <f>IFERROR(((0+IB11+IB12+IB13+IB14+IB15+IB16+IB17+IB19+IB20+IB21+IB22+IB23+IB24+IB25+IB27)/T2),0)</f>
        <v/>
      </c>
      <c r="IL27" s="5">
        <f>IFERROR(ROUND(IB27/ID27,2),0)</f>
        <v/>
      </c>
      <c r="IM27" s="5">
        <f>IFERROR(ROUND(IB27/IE27,2),0)</f>
        <v/>
      </c>
      <c r="IN27" s="2" t="inlineStr">
        <is>
          <t>2023-10-04</t>
        </is>
      </c>
      <c r="IO27" s="5">
        <f>ROUND(1.01,2)</f>
        <v/>
      </c>
      <c r="IP27" s="3">
        <f>ROUND(4830.0,2)</f>
        <v/>
      </c>
      <c r="IQ27" s="3">
        <f>ROUND(101.0,2)</f>
        <v/>
      </c>
      <c r="IR27" s="3">
        <f>ROUND(0.0,2)</f>
        <v/>
      </c>
      <c r="IS27" s="3">
        <f>ROUND(0.0,2)</f>
        <v/>
      </c>
      <c r="IT27" s="3">
        <f>ROUND(0.0,2)</f>
        <v/>
      </c>
      <c r="IU27" s="3">
        <f>ROUND(0.0,2)</f>
        <v/>
      </c>
      <c r="IV27" s="3">
        <f>ROUND(0.0,2)</f>
        <v/>
      </c>
      <c r="IW27" s="4">
        <f>IFERROR((IQ27/IP27),0)</f>
        <v/>
      </c>
      <c r="IX27" s="4">
        <f>IFERROR(((0+IO11+IO12+IO13+IO14+IO15+IO16+IO17+IO19+IO20+IO21+IO22+IO23+IO24+IO25+IO27)/T2),0)</f>
        <v/>
      </c>
      <c r="IY27" s="5">
        <f>IFERROR(ROUND(IO27/IQ27,2),0)</f>
        <v/>
      </c>
      <c r="IZ27" s="5">
        <f>IFERROR(ROUND(IO27/IR27,2),0)</f>
        <v/>
      </c>
      <c r="JA27" s="2" t="inlineStr">
        <is>
          <t>2023-10-04</t>
        </is>
      </c>
      <c r="JB27" s="5">
        <f>ROUND(0.61,2)</f>
        <v/>
      </c>
      <c r="JC27" s="3">
        <f>ROUND(1553.0,2)</f>
        <v/>
      </c>
      <c r="JD27" s="3">
        <f>ROUND(61.0,2)</f>
        <v/>
      </c>
      <c r="JE27" s="3">
        <f>ROUND(0.0,2)</f>
        <v/>
      </c>
      <c r="JF27" s="3">
        <f>ROUND(0.0,2)</f>
        <v/>
      </c>
      <c r="JG27" s="3">
        <f>ROUND(0.0,2)</f>
        <v/>
      </c>
      <c r="JH27" s="3">
        <f>ROUND(0.0,2)</f>
        <v/>
      </c>
      <c r="JI27" s="3">
        <f>ROUND(0.0,2)</f>
        <v/>
      </c>
      <c r="JJ27" s="4">
        <f>IFERROR((JD27/JC27),0)</f>
        <v/>
      </c>
      <c r="JK27" s="4">
        <f>IFERROR(((0+JB11+JB12+JB13+JB14+JB15+JB16+JB17+JB19+JB20+JB21+JB22+JB23+JB24+JB25+JB27)/T2),0)</f>
        <v/>
      </c>
      <c r="JL27" s="5">
        <f>IFERROR(ROUND(JB27/JD27,2),0)</f>
        <v/>
      </c>
      <c r="JM27" s="5">
        <f>IFERROR(ROUND(JB27/JE27,2),0)</f>
        <v/>
      </c>
      <c r="JN27" s="2" t="inlineStr">
        <is>
          <t>2023-10-04</t>
        </is>
      </c>
      <c r="JO27" s="5">
        <f>ROUND(0.27,2)</f>
        <v/>
      </c>
      <c r="JP27" s="3">
        <f>ROUND(1058.0,2)</f>
        <v/>
      </c>
      <c r="JQ27" s="3">
        <f>ROUND(27.0,2)</f>
        <v/>
      </c>
      <c r="JR27" s="3">
        <f>ROUND(0.0,2)</f>
        <v/>
      </c>
      <c r="JS27" s="3">
        <f>ROUND(0.0,2)</f>
        <v/>
      </c>
      <c r="JT27" s="3">
        <f>ROUND(0.0,2)</f>
        <v/>
      </c>
      <c r="JU27" s="3">
        <f>ROUND(0.0,2)</f>
        <v/>
      </c>
      <c r="JV27" s="3">
        <f>ROUND(0.0,2)</f>
        <v/>
      </c>
      <c r="JW27" s="4">
        <f>IFERROR((JQ27/JP27),0)</f>
        <v/>
      </c>
      <c r="JX27" s="4">
        <f>IFERROR(((0+JO11+JO12+JO13+JO14+JO15+JO16+JO17+JO19+JO20+JO21+JO22+JO23+JO24+JO25+JO27)/T2),0)</f>
        <v/>
      </c>
      <c r="JY27" s="5">
        <f>IFERROR(ROUND(JO27/JQ27,2),0)</f>
        <v/>
      </c>
      <c r="JZ27" s="5">
        <f>IFERROR(ROUND(JO27/JR27,2),0)</f>
        <v/>
      </c>
      <c r="KA27" s="2" t="inlineStr">
        <is>
          <t>2023-10-04</t>
        </is>
      </c>
      <c r="KB27" s="5">
        <f>ROUND(0.29,2)</f>
        <v/>
      </c>
      <c r="KC27" s="3">
        <f>ROUND(720.0,2)</f>
        <v/>
      </c>
      <c r="KD27" s="3">
        <f>ROUND(29.0,2)</f>
        <v/>
      </c>
      <c r="KE27" s="3">
        <f>ROUND(0.0,2)</f>
        <v/>
      </c>
      <c r="KF27" s="3">
        <f>ROUND(0.0,2)</f>
        <v/>
      </c>
      <c r="KG27" s="3">
        <f>ROUND(0.0,2)</f>
        <v/>
      </c>
      <c r="KH27" s="3">
        <f>ROUND(0.0,2)</f>
        <v/>
      </c>
      <c r="KI27" s="3">
        <f>ROUND(0.0,2)</f>
        <v/>
      </c>
      <c r="KJ27" s="4">
        <f>IFERROR((KD27/KC27),0)</f>
        <v/>
      </c>
      <c r="KK27" s="4">
        <f>IFERROR(((0+KB11+KB12+KB13+KB14+KB15+KB16+KB17+KB19+KB20+KB21+KB22+KB23+KB24+KB25+KB27)/T2),0)</f>
        <v/>
      </c>
      <c r="KL27" s="5">
        <f>IFERROR(ROUND(KB27/KD27,2),0)</f>
        <v/>
      </c>
      <c r="KM27" s="5">
        <f>IFERROR(ROUND(KB27/KE27,2),0)</f>
        <v/>
      </c>
      <c r="KN27" s="2" t="inlineStr">
        <is>
          <t>2023-10-04</t>
        </is>
      </c>
      <c r="KO27" s="5">
        <f>ROUND(1.1900000000000002,2)</f>
        <v/>
      </c>
      <c r="KP27" s="3">
        <f>ROUND(5422.0,2)</f>
        <v/>
      </c>
      <c r="KQ27" s="3">
        <f>ROUND(119.0,2)</f>
        <v/>
      </c>
      <c r="KR27" s="3">
        <f>ROUND(0.0,2)</f>
        <v/>
      </c>
      <c r="KS27" s="3">
        <f>ROUND(0.0,2)</f>
        <v/>
      </c>
      <c r="KT27" s="3">
        <f>ROUND(0.0,2)</f>
        <v/>
      </c>
      <c r="KU27" s="3">
        <f>ROUND(0.0,2)</f>
        <v/>
      </c>
      <c r="KV27" s="3">
        <f>ROUND(0.0,2)</f>
        <v/>
      </c>
      <c r="KW27" s="4">
        <f>IFERROR((KQ27/KP27),0)</f>
        <v/>
      </c>
      <c r="KX27" s="4">
        <f>IFERROR(((0+KO11+KO12+KO13+KO14+KO15+KO16+KO17+KO19+KO20+KO21+KO22+KO23+KO24+KO25+KO27)/T2),0)</f>
        <v/>
      </c>
      <c r="KY27" s="5">
        <f>IFERROR(ROUND(KO27/KQ27,2),0)</f>
        <v/>
      </c>
      <c r="KZ27" s="5">
        <f>IFERROR(ROUND(KO27/KR27,2),0)</f>
        <v/>
      </c>
      <c r="LA27" s="2" t="inlineStr">
        <is>
          <t>2023-10-04</t>
        </is>
      </c>
      <c r="LB27" s="5">
        <f>ROUND(0.46,2)</f>
        <v/>
      </c>
      <c r="LC27" s="3">
        <f>ROUND(3519.0,2)</f>
        <v/>
      </c>
      <c r="LD27" s="3">
        <f>ROUND(46.0,2)</f>
        <v/>
      </c>
      <c r="LE27" s="3">
        <f>ROUND(0.0,2)</f>
        <v/>
      </c>
      <c r="LF27" s="3">
        <f>ROUND(0.0,2)</f>
        <v/>
      </c>
      <c r="LG27" s="3">
        <f>ROUND(0.0,2)</f>
        <v/>
      </c>
      <c r="LH27" s="3">
        <f>ROUND(0.0,2)</f>
        <v/>
      </c>
      <c r="LI27" s="3">
        <f>ROUND(0.0,2)</f>
        <v/>
      </c>
      <c r="LJ27" s="4">
        <f>IFERROR((LD27/LC27),0)</f>
        <v/>
      </c>
      <c r="LK27" s="4">
        <f>IFERROR(((0+LB11+LB12+LB13+LB14+LB15+LB16+LB17+LB19+LB20+LB21+LB22+LB23+LB24+LB25+LB27)/T2),0)</f>
        <v/>
      </c>
      <c r="LL27" s="5">
        <f>IFERROR(ROUND(LB27/LD27,2),0)</f>
        <v/>
      </c>
      <c r="LM27" s="5">
        <f>IFERROR(ROUND(LB27/LE27,2),0)</f>
        <v/>
      </c>
      <c r="LN27" s="2" t="inlineStr">
        <is>
          <t>2023-10-04</t>
        </is>
      </c>
      <c r="LO27" s="5">
        <f>ROUND(0.55,2)</f>
        <v/>
      </c>
      <c r="LP27" s="3">
        <f>ROUND(3807.0,2)</f>
        <v/>
      </c>
      <c r="LQ27" s="3">
        <f>ROUND(55.0,2)</f>
        <v/>
      </c>
      <c r="LR27" s="3">
        <f>ROUND(0.0,2)</f>
        <v/>
      </c>
      <c r="LS27" s="3">
        <f>ROUND(0.0,2)</f>
        <v/>
      </c>
      <c r="LT27" s="3">
        <f>ROUND(0.0,2)</f>
        <v/>
      </c>
      <c r="LU27" s="3">
        <f>ROUND(0.0,2)</f>
        <v/>
      </c>
      <c r="LV27" s="3">
        <f>ROUND(0.0,2)</f>
        <v/>
      </c>
      <c r="LW27" s="4">
        <f>IFERROR((LQ27/LP27),0)</f>
        <v/>
      </c>
      <c r="LX27" s="4">
        <f>IFERROR(((0+LO11+LO12+LO13+LO14+LO15+LO16+LO17+LO19+LO20+LO21+LO22+LO23+LO24+LO25+LO27)/T2),0)</f>
        <v/>
      </c>
      <c r="LY27" s="5">
        <f>IFERROR(ROUND(LO27/LQ27,2),0)</f>
        <v/>
      </c>
      <c r="LZ27" s="5">
        <f>IFERROR(ROUND(LO27/LR27,2),0)</f>
        <v/>
      </c>
      <c r="MA27" s="2" t="inlineStr">
        <is>
          <t>2023-10-04</t>
        </is>
      </c>
      <c r="MB27" s="5">
        <f>ROUND(0.8300000000000001,2)</f>
        <v/>
      </c>
      <c r="MC27" s="3">
        <f>ROUND(3048.0,2)</f>
        <v/>
      </c>
      <c r="MD27" s="3">
        <f>ROUND(83.0,2)</f>
        <v/>
      </c>
      <c r="ME27" s="3">
        <f>ROUND(0.0,2)</f>
        <v/>
      </c>
      <c r="MF27" s="3">
        <f>ROUND(0.0,2)</f>
        <v/>
      </c>
      <c r="MG27" s="3">
        <f>ROUND(0.0,2)</f>
        <v/>
      </c>
      <c r="MH27" s="3">
        <f>ROUND(0.0,2)</f>
        <v/>
      </c>
      <c r="MI27" s="3">
        <f>ROUND(0.0,2)</f>
        <v/>
      </c>
      <c r="MJ27" s="4">
        <f>IFERROR((MD27/MC27),0)</f>
        <v/>
      </c>
      <c r="MK27" s="4">
        <f>IFERROR(((0+MB11+MB12+MB13+MB14+MB15+MB16+MB17+MB19+MB20+MB21+MB22+MB23+MB24+MB25+MB27)/T2),0)</f>
        <v/>
      </c>
      <c r="ML27" s="5">
        <f>IFERROR(ROUND(MB27/MD27,2),0)</f>
        <v/>
      </c>
      <c r="MM27" s="5">
        <f>IFERROR(ROUND(MB27/ME27,2),0)</f>
        <v/>
      </c>
      <c r="MN27" s="2" t="inlineStr">
        <is>
          <t>2023-10-04</t>
        </is>
      </c>
      <c r="MO27" s="5">
        <f>ROUND(5.2700000000000005,2)</f>
        <v/>
      </c>
      <c r="MP27" s="3">
        <f>ROUND(9247.0,2)</f>
        <v/>
      </c>
      <c r="MQ27" s="3">
        <f>ROUND(527.0,2)</f>
        <v/>
      </c>
      <c r="MR27" s="3">
        <f>ROUND(0.0,2)</f>
        <v/>
      </c>
      <c r="MS27" s="3">
        <f>ROUND(0.0,2)</f>
        <v/>
      </c>
      <c r="MT27" s="3">
        <f>ROUND(0.0,2)</f>
        <v/>
      </c>
      <c r="MU27" s="3">
        <f>ROUND(0.0,2)</f>
        <v/>
      </c>
      <c r="MV27" s="3">
        <f>ROUND(0.0,2)</f>
        <v/>
      </c>
      <c r="MW27" s="4">
        <f>IFERROR((MQ27/MP27),0)</f>
        <v/>
      </c>
      <c r="MX27" s="4">
        <f>IFERROR(((0+MO11+MO12+MO13+MO14+MO15+MO16+MO17+MO19+MO20+MO21+MO22+MO23+MO24+MO25+MO27)/T2),0)</f>
        <v/>
      </c>
      <c r="MY27" s="5">
        <f>IFERROR(ROUND(MO27/MQ27,2),0)</f>
        <v/>
      </c>
      <c r="MZ27" s="5">
        <f>IFERROR(ROUND(MO27/MR27,2),0)</f>
        <v/>
      </c>
      <c r="NA27" s="2" t="inlineStr">
        <is>
          <t>2023-10-04</t>
        </is>
      </c>
      <c r="NB27" s="5">
        <f>ROUND(1.57,2)</f>
        <v/>
      </c>
      <c r="NC27" s="3">
        <f>ROUND(6483.0,2)</f>
        <v/>
      </c>
      <c r="ND27" s="3">
        <f>ROUND(157.0,2)</f>
        <v/>
      </c>
      <c r="NE27" s="3">
        <f>ROUND(0.0,2)</f>
        <v/>
      </c>
      <c r="NF27" s="3">
        <f>ROUND(0.0,2)</f>
        <v/>
      </c>
      <c r="NG27" s="3">
        <f>ROUND(0.0,2)</f>
        <v/>
      </c>
      <c r="NH27" s="3">
        <f>ROUND(0.0,2)</f>
        <v/>
      </c>
      <c r="NI27" s="3">
        <f>ROUND(0.0,2)</f>
        <v/>
      </c>
      <c r="NJ27" s="4">
        <f>IFERROR((ND27/NC27),0)</f>
        <v/>
      </c>
      <c r="NK27" s="4">
        <f>IFERROR(((0+NB11+NB12+NB13+NB14+NB15+NB16+NB17+NB19+NB20+NB21+NB22+NB23+NB24+NB25+NB27)/T2),0)</f>
        <v/>
      </c>
      <c r="NL27" s="5">
        <f>IFERROR(ROUND(NB27/ND27,2),0)</f>
        <v/>
      </c>
      <c r="NM27" s="5">
        <f>IFERROR(ROUND(NB27/NE27,2),0)</f>
        <v/>
      </c>
      <c r="NN27" s="2" t="inlineStr">
        <is>
          <t>2023-10-04</t>
        </is>
      </c>
      <c r="NO27" s="5">
        <f>ROUND(0.13,2)</f>
        <v/>
      </c>
      <c r="NP27" s="3">
        <f>ROUND(679.0,2)</f>
        <v/>
      </c>
      <c r="NQ27" s="3">
        <f>ROUND(13.0,2)</f>
        <v/>
      </c>
      <c r="NR27" s="3">
        <f>ROUND(0.0,2)</f>
        <v/>
      </c>
      <c r="NS27" s="3">
        <f>ROUND(0.0,2)</f>
        <v/>
      </c>
      <c r="NT27" s="3">
        <f>ROUND(0.0,2)</f>
        <v/>
      </c>
      <c r="NU27" s="3">
        <f>ROUND(0.0,2)</f>
        <v/>
      </c>
      <c r="NV27" s="3">
        <f>ROUND(0.0,2)</f>
        <v/>
      </c>
      <c r="NW27" s="4">
        <f>IFERROR((NQ27/NP27),0)</f>
        <v/>
      </c>
      <c r="NX27" s="4">
        <f>IFERROR(((0+NO11+NO12+NO13+NO14+NO15+NO16+NO17+NO19+NO20+NO21+NO22+NO23+NO24+NO25+NO27)/T2),0)</f>
        <v/>
      </c>
      <c r="NY27" s="5">
        <f>IFERROR(ROUND(NO27/NQ27,2),0)</f>
        <v/>
      </c>
      <c r="NZ27" s="5">
        <f>IFERROR(ROUND(NO27/NR27,2),0)</f>
        <v/>
      </c>
      <c r="OA27" s="2" t="inlineStr">
        <is>
          <t>2023-10-04</t>
        </is>
      </c>
      <c r="OB27" s="5">
        <f>ROUND(0.39,2)</f>
        <v/>
      </c>
      <c r="OC27" s="3">
        <f>ROUND(880.0,2)</f>
        <v/>
      </c>
      <c r="OD27" s="3">
        <f>ROUND(39.0,2)</f>
        <v/>
      </c>
      <c r="OE27" s="3">
        <f>ROUND(0.0,2)</f>
        <v/>
      </c>
      <c r="OF27" s="3">
        <f>ROUND(0.0,2)</f>
        <v/>
      </c>
      <c r="OG27" s="3">
        <f>ROUND(0.0,2)</f>
        <v/>
      </c>
      <c r="OH27" s="3">
        <f>ROUND(0.0,2)</f>
        <v/>
      </c>
      <c r="OI27" s="3">
        <f>ROUND(0.0,2)</f>
        <v/>
      </c>
      <c r="OJ27" s="4">
        <f>IFERROR((OD27/OC27),0)</f>
        <v/>
      </c>
      <c r="OK27" s="4">
        <f>IFERROR(((0+OB11+OB12+OB13+OB14+OB15+OB16+OB17+OB19+OB20+OB21+OB22+OB23+OB24+OB25+OB27)/T2),0)</f>
        <v/>
      </c>
      <c r="OL27" s="5">
        <f>IFERROR(ROUND(OB27/OD27,2),0)</f>
        <v/>
      </c>
      <c r="OM27" s="5">
        <f>IFERROR(ROUND(OB27/OE27,2),0)</f>
        <v/>
      </c>
      <c r="ON27" s="2" t="inlineStr">
        <is>
          <t>2023-10-04</t>
        </is>
      </c>
      <c r="OO27" s="5">
        <f>ROUND(0.34,2)</f>
        <v/>
      </c>
      <c r="OP27" s="3">
        <f>ROUND(992.0,2)</f>
        <v/>
      </c>
      <c r="OQ27" s="3">
        <f>ROUND(34.0,2)</f>
        <v/>
      </c>
      <c r="OR27" s="3">
        <f>ROUND(0.0,2)</f>
        <v/>
      </c>
      <c r="OS27" s="3">
        <f>ROUND(0.0,2)</f>
        <v/>
      </c>
      <c r="OT27" s="3">
        <f>ROUND(0.0,2)</f>
        <v/>
      </c>
      <c r="OU27" s="3">
        <f>ROUND(0.0,2)</f>
        <v/>
      </c>
      <c r="OV27" s="3">
        <f>ROUND(0.0,2)</f>
        <v/>
      </c>
      <c r="OW27" s="4">
        <f>IFERROR((OQ27/OP27),0)</f>
        <v/>
      </c>
      <c r="OX27" s="4">
        <f>IFERROR(((0+OO11+OO12+OO13+OO14+OO15+OO16+OO17+OO19+OO20+OO21+OO22+OO23+OO24+OO25+OO27)/T2),0)</f>
        <v/>
      </c>
      <c r="OY27" s="5">
        <f>IFERROR(ROUND(OO27/OQ27,2),0)</f>
        <v/>
      </c>
      <c r="OZ27" s="5">
        <f>IFERROR(ROUND(OO27/OR27,2),0)</f>
        <v/>
      </c>
      <c r="PA27" s="2" t="inlineStr">
        <is>
          <t>2023-10-04</t>
        </is>
      </c>
      <c r="PB27" s="5">
        <f>ROUND(0.28,2)</f>
        <v/>
      </c>
      <c r="PC27" s="3">
        <f>ROUND(857.0,2)</f>
        <v/>
      </c>
      <c r="PD27" s="3">
        <f>ROUND(28.0,2)</f>
        <v/>
      </c>
      <c r="PE27" s="3">
        <f>ROUND(0.0,2)</f>
        <v/>
      </c>
      <c r="PF27" s="3">
        <f>ROUND(0.0,2)</f>
        <v/>
      </c>
      <c r="PG27" s="3">
        <f>ROUND(0.0,2)</f>
        <v/>
      </c>
      <c r="PH27" s="3">
        <f>ROUND(0.0,2)</f>
        <v/>
      </c>
      <c r="PI27" s="3">
        <f>ROUND(0.0,2)</f>
        <v/>
      </c>
      <c r="PJ27" s="4">
        <f>IFERROR((PD27/PC27),0)</f>
        <v/>
      </c>
      <c r="PK27" s="4">
        <f>IFERROR(((0+PB11+PB12+PB13+PB14+PB15+PB16+PB17+PB19+PB20+PB21+PB22+PB23+PB24+PB25+PB27)/T2),0)</f>
        <v/>
      </c>
      <c r="PL27" s="5">
        <f>IFERROR(ROUND(PB27/PD27,2),0)</f>
        <v/>
      </c>
      <c r="PM27" s="5">
        <f>IFERROR(ROUND(PB27/PE27,2),0)</f>
        <v/>
      </c>
      <c r="PN27" s="2" t="inlineStr">
        <is>
          <t>2023-10-04</t>
        </is>
      </c>
      <c r="PO27" s="5">
        <f>ROUND(0.15000000000000002,2)</f>
        <v/>
      </c>
      <c r="PP27" s="3">
        <f>ROUND(732.0,2)</f>
        <v/>
      </c>
      <c r="PQ27" s="3">
        <f>ROUND(15.0,2)</f>
        <v/>
      </c>
      <c r="PR27" s="3">
        <f>ROUND(0.0,2)</f>
        <v/>
      </c>
      <c r="PS27" s="3">
        <f>ROUND(0.0,2)</f>
        <v/>
      </c>
      <c r="PT27" s="3">
        <f>ROUND(0.0,2)</f>
        <v/>
      </c>
      <c r="PU27" s="3">
        <f>ROUND(0.0,2)</f>
        <v/>
      </c>
      <c r="PV27" s="3">
        <f>ROUND(0.0,2)</f>
        <v/>
      </c>
      <c r="PW27" s="4">
        <f>IFERROR((PQ27/PP27),0)</f>
        <v/>
      </c>
      <c r="PX27" s="4">
        <f>IFERROR(((0+PO11+PO12+PO13+PO14+PO15+PO16+PO17+PO19+PO20+PO21+PO22+PO23+PO24+PO25+PO27)/T2),0)</f>
        <v/>
      </c>
      <c r="PY27" s="5">
        <f>IFERROR(ROUND(PO27/PQ27,2),0)</f>
        <v/>
      </c>
      <c r="PZ27" s="5">
        <f>IFERROR(ROUND(PO27/PR27,2),0)</f>
        <v/>
      </c>
      <c r="QA27" s="2" t="inlineStr">
        <is>
          <t>2023-10-04</t>
        </is>
      </c>
      <c r="QB27" s="5">
        <f>ROUND(0.25,2)</f>
        <v/>
      </c>
      <c r="QC27" s="3">
        <f>ROUND(753.0,2)</f>
        <v/>
      </c>
      <c r="QD27" s="3">
        <f>ROUND(25.0,2)</f>
        <v/>
      </c>
      <c r="QE27" s="3">
        <f>ROUND(0.0,2)</f>
        <v/>
      </c>
      <c r="QF27" s="3">
        <f>ROUND(0.0,2)</f>
        <v/>
      </c>
      <c r="QG27" s="3">
        <f>ROUND(0.0,2)</f>
        <v/>
      </c>
      <c r="QH27" s="3">
        <f>ROUND(0.0,2)</f>
        <v/>
      </c>
      <c r="QI27" s="3">
        <f>ROUND(0.0,2)</f>
        <v/>
      </c>
      <c r="QJ27" s="4">
        <f>IFERROR((QD27/QC27),0)</f>
        <v/>
      </c>
      <c r="QK27" s="4">
        <f>IFERROR(((0+QB11+QB12+QB13+QB14+QB15+QB16+QB17+QB19+QB20+QB21+QB22+QB23+QB24+QB25+QB27)/T2),0)</f>
        <v/>
      </c>
      <c r="QL27" s="5">
        <f>IFERROR(ROUND(QB27/QD27,2),0)</f>
        <v/>
      </c>
      <c r="QM27" s="5">
        <f>IFERROR(ROUND(QB27/QE27,2),0)</f>
        <v/>
      </c>
      <c r="QN27" s="2" t="inlineStr">
        <is>
          <t>2023-10-04</t>
        </is>
      </c>
      <c r="QO27" s="5">
        <f>ROUND(0.4,2)</f>
        <v/>
      </c>
      <c r="QP27" s="3">
        <f>ROUND(2654.0,2)</f>
        <v/>
      </c>
      <c r="QQ27" s="3">
        <f>ROUND(40.0,2)</f>
        <v/>
      </c>
      <c r="QR27" s="3">
        <f>ROUND(0.0,2)</f>
        <v/>
      </c>
      <c r="QS27" s="3">
        <f>ROUND(0.0,2)</f>
        <v/>
      </c>
      <c r="QT27" s="3">
        <f>ROUND(0.0,2)</f>
        <v/>
      </c>
      <c r="QU27" s="3">
        <f>ROUND(0.0,2)</f>
        <v/>
      </c>
      <c r="QV27" s="3">
        <f>ROUND(0.0,2)</f>
        <v/>
      </c>
      <c r="QW27" s="4">
        <f>IFERROR((QQ27/QP27),0)</f>
        <v/>
      </c>
      <c r="QX27" s="4">
        <f>IFERROR(((0+QO11+QO12+QO13+QO14+QO15+QO16+QO17+QO19+QO20+QO21+QO22+QO23+QO24+QO25+QO27)/T2),0)</f>
        <v/>
      </c>
      <c r="QY27" s="5">
        <f>IFERROR(ROUND(QO27/QQ27,2),0)</f>
        <v/>
      </c>
      <c r="QZ27" s="5">
        <f>IFERROR(ROUND(QO27/QR27,2),0)</f>
        <v/>
      </c>
      <c r="RA27" s="2" t="inlineStr">
        <is>
          <t>2023-10-04</t>
        </is>
      </c>
      <c r="RB27" s="5">
        <f>ROUND(1.12,2)</f>
        <v/>
      </c>
      <c r="RC27" s="3">
        <f>ROUND(2006.0,2)</f>
        <v/>
      </c>
      <c r="RD27" s="3">
        <f>ROUND(112.0,2)</f>
        <v/>
      </c>
      <c r="RE27" s="3">
        <f>ROUND(0.0,2)</f>
        <v/>
      </c>
      <c r="RF27" s="3">
        <f>ROUND(0.0,2)</f>
        <v/>
      </c>
      <c r="RG27" s="3">
        <f>ROUND(0.0,2)</f>
        <v/>
      </c>
      <c r="RH27" s="3">
        <f>ROUND(0.0,2)</f>
        <v/>
      </c>
      <c r="RI27" s="3">
        <f>ROUND(0.0,2)</f>
        <v/>
      </c>
      <c r="RJ27" s="4">
        <f>IFERROR((RD27/RC27),0)</f>
        <v/>
      </c>
      <c r="RK27" s="4">
        <f>IFERROR(((0+RB11+RB12+RB13+RB14+RB15+RB16+RB17+RB19+RB20+RB21+RB22+RB23+RB24+RB25+RB27)/T2),0)</f>
        <v/>
      </c>
      <c r="RL27" s="5">
        <f>IFERROR(ROUND(RB27/RD27,2),0)</f>
        <v/>
      </c>
      <c r="RM27" s="5">
        <f>IFERROR(ROUND(RB27/RE27,2),0)</f>
        <v/>
      </c>
      <c r="RN27" s="2" t="inlineStr">
        <is>
          <t>2023-10-04</t>
        </is>
      </c>
      <c r="RO27" s="5">
        <f>ROUND(0.6900000000000001,2)</f>
        <v/>
      </c>
      <c r="RP27" s="3">
        <f>ROUND(1160.0,2)</f>
        <v/>
      </c>
      <c r="RQ27" s="3">
        <f>ROUND(69.0,2)</f>
        <v/>
      </c>
      <c r="RR27" s="3">
        <f>ROUND(0.0,2)</f>
        <v/>
      </c>
      <c r="RS27" s="3">
        <f>ROUND(0.0,2)</f>
        <v/>
      </c>
      <c r="RT27" s="3">
        <f>ROUND(0.0,2)</f>
        <v/>
      </c>
      <c r="RU27" s="3">
        <f>ROUND(0.0,2)</f>
        <v/>
      </c>
      <c r="RV27" s="3">
        <f>ROUND(0.0,2)</f>
        <v/>
      </c>
      <c r="RW27" s="4">
        <f>IFERROR((RQ27/RP27),0)</f>
        <v/>
      </c>
      <c r="RX27" s="4">
        <f>IFERROR(((0+RO11+RO12+RO13+RO14+RO15+RO16+RO17+RO19+RO20+RO21+RO22+RO23+RO24+RO25+RO27)/T2),0)</f>
        <v/>
      </c>
      <c r="RY27" s="5">
        <f>IFERROR(ROUND(RO27/RQ27,2),0)</f>
        <v/>
      </c>
      <c r="RZ27" s="5">
        <f>IFERROR(ROUND(RO27/RR27,2),0)</f>
        <v/>
      </c>
      <c r="SA27" s="2" t="inlineStr">
        <is>
          <t>2023-10-04</t>
        </is>
      </c>
      <c r="SB27" s="5">
        <f>ROUND(0.71,2)</f>
        <v/>
      </c>
      <c r="SC27" s="3">
        <f>ROUND(2526.0,2)</f>
        <v/>
      </c>
      <c r="SD27" s="3">
        <f>ROUND(71.0,2)</f>
        <v/>
      </c>
      <c r="SE27" s="3">
        <f>ROUND(0.0,2)</f>
        <v/>
      </c>
      <c r="SF27" s="3">
        <f>ROUND(0.0,2)</f>
        <v/>
      </c>
      <c r="SG27" s="3">
        <f>ROUND(0.0,2)</f>
        <v/>
      </c>
      <c r="SH27" s="3">
        <f>ROUND(0.0,2)</f>
        <v/>
      </c>
      <c r="SI27" s="3">
        <f>ROUND(0.0,2)</f>
        <v/>
      </c>
      <c r="SJ27" s="4">
        <f>IFERROR((SD27/SC27),0)</f>
        <v/>
      </c>
      <c r="SK27" s="4">
        <f>IFERROR(((0+SB11+SB12+SB13+SB14+SB15+SB16+SB17+SB19+SB20+SB21+SB22+SB23+SB24+SB25+SB27)/T2),0)</f>
        <v/>
      </c>
      <c r="SL27" s="5">
        <f>IFERROR(ROUND(SB27/SD27,2),0)</f>
        <v/>
      </c>
      <c r="SM27" s="5">
        <f>IFERROR(ROUND(SB27/SE27,2),0)</f>
        <v/>
      </c>
      <c r="SN27" s="2" t="inlineStr">
        <is>
          <t>2023-10-04</t>
        </is>
      </c>
      <c r="SO27" s="5">
        <f>ROUND(0.24,2)</f>
        <v/>
      </c>
      <c r="SP27" s="3">
        <f>ROUND(829.0,2)</f>
        <v/>
      </c>
      <c r="SQ27" s="3">
        <f>ROUND(24.0,2)</f>
        <v/>
      </c>
      <c r="SR27" s="3">
        <f>ROUND(0.0,2)</f>
        <v/>
      </c>
      <c r="SS27" s="3">
        <f>ROUND(0.0,2)</f>
        <v/>
      </c>
      <c r="ST27" s="3">
        <f>ROUND(0.0,2)</f>
        <v/>
      </c>
      <c r="SU27" s="3">
        <f>ROUND(0.0,2)</f>
        <v/>
      </c>
      <c r="SV27" s="3">
        <f>ROUND(0.0,2)</f>
        <v/>
      </c>
      <c r="SW27" s="4">
        <f>IFERROR((SQ27/SP27),0)</f>
        <v/>
      </c>
      <c r="SX27" s="4">
        <f>IFERROR(((0+SO11+SO12+SO13+SO14+SO15+SO16+SO17+SO19+SO20+SO21+SO22+SO23+SO24+SO25+SO27)/T2),0)</f>
        <v/>
      </c>
      <c r="SY27" s="5">
        <f>IFERROR(ROUND(SO27/SQ27,2),0)</f>
        <v/>
      </c>
      <c r="SZ27" s="5">
        <f>IFERROR(ROUND(SO27/SR27,2),0)</f>
        <v/>
      </c>
    </row>
    <row r="28">
      <c r="A28" s="2" t="inlineStr">
        <is>
          <t>2023-10-05</t>
        </is>
      </c>
      <c r="B28" s="5">
        <f>ROUND(41.91,2)</f>
        <v/>
      </c>
      <c r="C28" s="3">
        <f>ROUND(123671.0,2)</f>
        <v/>
      </c>
      <c r="D28" s="3">
        <f>ROUND(4191.0,2)</f>
        <v/>
      </c>
      <c r="E28" s="3">
        <f>ROUND(0.0,2)</f>
        <v/>
      </c>
      <c r="F28" s="3">
        <f>ROUND(0.0,2)</f>
        <v/>
      </c>
      <c r="G28" s="3">
        <f>ROUND(0.0,2)</f>
        <v/>
      </c>
      <c r="H28" s="3">
        <f>ROUND(0.0,2)</f>
        <v/>
      </c>
      <c r="I28" s="3">
        <f>ROUND(0.0,2)</f>
        <v/>
      </c>
      <c r="J28" s="4">
        <f>IFERROR((D28/C28),0)</f>
        <v/>
      </c>
      <c r="K28" s="4">
        <f>IFERROR(((0+B11+B12+B13+B14+B15+B16+B17+B19+B20+B21+B22+B23+B24+B25+B27+B28)/T2),0)</f>
        <v/>
      </c>
      <c r="L28" s="5">
        <f>IFERROR(ROUND(B28/D28,2),0)</f>
        <v/>
      </c>
      <c r="M28" s="5">
        <f>IFERROR(ROUND(B28/E28,2),0)</f>
        <v/>
      </c>
      <c r="N28" s="2" t="inlineStr">
        <is>
          <t>2023-10-05</t>
        </is>
      </c>
      <c r="O28" s="5">
        <f>ROUND(0.88,2)</f>
        <v/>
      </c>
      <c r="P28" s="3">
        <f>ROUND(1015.0,2)</f>
        <v/>
      </c>
      <c r="Q28" s="3">
        <f>ROUND(88.0,2)</f>
        <v/>
      </c>
      <c r="R28" s="3">
        <f>ROUND(0.0,2)</f>
        <v/>
      </c>
      <c r="S28" s="3">
        <f>ROUND(0.0,2)</f>
        <v/>
      </c>
      <c r="T28" s="3">
        <f>ROUND(0.0,2)</f>
        <v/>
      </c>
      <c r="U28" s="3">
        <f>ROUND(0.0,2)</f>
        <v/>
      </c>
      <c r="V28" s="3">
        <f>ROUND(0.0,2)</f>
        <v/>
      </c>
      <c r="W28" s="4">
        <f>IFERROR((Q28/P28),0)</f>
        <v/>
      </c>
      <c r="X28" s="4">
        <f>IFERROR(((0+O11+O12+O13+O14+O15+O16+O17+O19+O20+O21+O22+O23+O24+O25+O27+O28)/T2),0)</f>
        <v/>
      </c>
      <c r="Y28" s="5">
        <f>IFERROR(ROUND(O28/Q28,2),0)</f>
        <v/>
      </c>
      <c r="Z28" s="5">
        <f>IFERROR(ROUND(O28/R28,2),0)</f>
        <v/>
      </c>
      <c r="AA28" s="2" t="inlineStr">
        <is>
          <t>2023-10-05</t>
        </is>
      </c>
      <c r="AB28" s="5">
        <f>ROUND(0.03,2)</f>
        <v/>
      </c>
      <c r="AC28" s="3">
        <f>ROUND(57.0,2)</f>
        <v/>
      </c>
      <c r="AD28" s="3">
        <f>ROUND(3.0,2)</f>
        <v/>
      </c>
      <c r="AE28" s="3">
        <f>ROUND(0.0,2)</f>
        <v/>
      </c>
      <c r="AF28" s="3">
        <f>ROUND(0.0,2)</f>
        <v/>
      </c>
      <c r="AG28" s="3">
        <f>ROUND(0.0,2)</f>
        <v/>
      </c>
      <c r="AH28" s="3">
        <f>ROUND(0.0,2)</f>
        <v/>
      </c>
      <c r="AI28" s="3">
        <f>ROUND(0.0,2)</f>
        <v/>
      </c>
      <c r="AJ28" s="4">
        <f>IFERROR((AD28/AC28),0)</f>
        <v/>
      </c>
      <c r="AK28" s="4">
        <f>IFERROR(((0+AB11+AB12+AB13+AB14+AB15+AB16+AB17+AB19+AB20+AB21+AB22+AB23+AB24+AB25+AB27+AB28)/T2),0)</f>
        <v/>
      </c>
      <c r="AL28" s="5">
        <f>IFERROR(ROUND(AB28/AD28,2),0)</f>
        <v/>
      </c>
      <c r="AM28" s="5">
        <f>IFERROR(ROUND(AB28/AE28,2),0)</f>
        <v/>
      </c>
      <c r="AN28" s="2" t="inlineStr">
        <is>
          <t>2023-10-05</t>
        </is>
      </c>
      <c r="AO28" s="5">
        <f>ROUND(3.5599999999999996,2)</f>
        <v/>
      </c>
      <c r="AP28" s="3">
        <f>ROUND(22099.0,2)</f>
        <v/>
      </c>
      <c r="AQ28" s="3">
        <f>ROUND(356.0,2)</f>
        <v/>
      </c>
      <c r="AR28" s="3">
        <f>ROUND(0.0,2)</f>
        <v/>
      </c>
      <c r="AS28" s="3">
        <f>ROUND(0.0,2)</f>
        <v/>
      </c>
      <c r="AT28" s="3">
        <f>ROUND(0.0,2)</f>
        <v/>
      </c>
      <c r="AU28" s="3">
        <f>ROUND(0.0,2)</f>
        <v/>
      </c>
      <c r="AV28" s="3">
        <f>ROUND(0.0,2)</f>
        <v/>
      </c>
      <c r="AW28" s="4">
        <f>IFERROR((AQ28/AP28),0)</f>
        <v/>
      </c>
      <c r="AX28" s="4">
        <f>IFERROR(((0+AO11+AO12+AO13+AO14+AO15+AO16+AO17+AO19+AO20+AO21+AO22+AO23+AO24+AO25+AO27+AO28)/T2),0)</f>
        <v/>
      </c>
      <c r="AY28" s="5">
        <f>IFERROR(ROUND(AO28/AQ28,2),0)</f>
        <v/>
      </c>
      <c r="AZ28" s="5">
        <f>IFERROR(ROUND(AO28/AR28,2),0)</f>
        <v/>
      </c>
      <c r="BA28" s="2" t="inlineStr">
        <is>
          <t>2023-10-05</t>
        </is>
      </c>
      <c r="BB28" s="5">
        <f>ROUND(0.04,2)</f>
        <v/>
      </c>
      <c r="BC28" s="3">
        <f>ROUND(48.0,2)</f>
        <v/>
      </c>
      <c r="BD28" s="3">
        <f>ROUND(4.0,2)</f>
        <v/>
      </c>
      <c r="BE28" s="3">
        <f>ROUND(0.0,2)</f>
        <v/>
      </c>
      <c r="BF28" s="3">
        <f>ROUND(0.0,2)</f>
        <v/>
      </c>
      <c r="BG28" s="3">
        <f>ROUND(0.0,2)</f>
        <v/>
      </c>
      <c r="BH28" s="3">
        <f>ROUND(0.0,2)</f>
        <v/>
      </c>
      <c r="BI28" s="3">
        <f>ROUND(0.0,2)</f>
        <v/>
      </c>
      <c r="BJ28" s="4">
        <f>IFERROR((BD28/BC28),0)</f>
        <v/>
      </c>
      <c r="BK28" s="4">
        <f>IFERROR(((0+BB11+BB12+BB13+BB14+BB15+BB16+BB17+BB19+BB20+BB21+BB22+BB23+BB24+BB25+BB27+BB28)/T2),0)</f>
        <v/>
      </c>
      <c r="BL28" s="5">
        <f>IFERROR(ROUND(BB28/BD28,2),0)</f>
        <v/>
      </c>
      <c r="BM28" s="5">
        <f>IFERROR(ROUND(BB28/BE28,2),0)</f>
        <v/>
      </c>
      <c r="BN28" s="2" t="inlineStr">
        <is>
          <t>2023-10-05</t>
        </is>
      </c>
      <c r="BO28" s="5">
        <f>ROUND(0.56,2)</f>
        <v/>
      </c>
      <c r="BP28" s="3">
        <f>ROUND(729.0,2)</f>
        <v/>
      </c>
      <c r="BQ28" s="3">
        <f>ROUND(56.0,2)</f>
        <v/>
      </c>
      <c r="BR28" s="3">
        <f>ROUND(0.0,2)</f>
        <v/>
      </c>
      <c r="BS28" s="3">
        <f>ROUND(0.0,2)</f>
        <v/>
      </c>
      <c r="BT28" s="3">
        <f>ROUND(0.0,2)</f>
        <v/>
      </c>
      <c r="BU28" s="3">
        <f>ROUND(0.0,2)</f>
        <v/>
      </c>
      <c r="BV28" s="3">
        <f>ROUND(0.0,2)</f>
        <v/>
      </c>
      <c r="BW28" s="4">
        <f>IFERROR((BQ28/BP28),0)</f>
        <v/>
      </c>
      <c r="BX28" s="4">
        <f>IFERROR(((0+BO11+BO12+BO13+BO14+BO15+BO16+BO17+BO19+BO20+BO21+BO22+BO23+BO24+BO25+BO27+BO28)/T2),0)</f>
        <v/>
      </c>
      <c r="BY28" s="5">
        <f>IFERROR(ROUND(BO28/BQ28,2),0)</f>
        <v/>
      </c>
      <c r="BZ28" s="5">
        <f>IFERROR(ROUND(BO28/BR28,2),0)</f>
        <v/>
      </c>
      <c r="CA28" s="2" t="inlineStr">
        <is>
          <t>2023-10-05</t>
        </is>
      </c>
      <c r="CB28" s="5">
        <f>ROUND(0.08,2)</f>
        <v/>
      </c>
      <c r="CC28" s="3">
        <f>ROUND(86.0,2)</f>
        <v/>
      </c>
      <c r="CD28" s="3">
        <f>ROUND(8.0,2)</f>
        <v/>
      </c>
      <c r="CE28" s="3">
        <f>ROUND(0.0,2)</f>
        <v/>
      </c>
      <c r="CF28" s="3">
        <f>ROUND(0.0,2)</f>
        <v/>
      </c>
      <c r="CG28" s="3">
        <f>ROUND(0.0,2)</f>
        <v/>
      </c>
      <c r="CH28" s="3">
        <f>ROUND(0.0,2)</f>
        <v/>
      </c>
      <c r="CI28" s="3">
        <f>ROUND(0.0,2)</f>
        <v/>
      </c>
      <c r="CJ28" s="4">
        <f>IFERROR((CD28/CC28),0)</f>
        <v/>
      </c>
      <c r="CK28" s="4">
        <f>IFERROR(((0+CB11+CB12+CB13+CB14+CB15+CB16+CB17+CB19+CB20+CB21+CB22+CB23+CB24+CB25+CB27+CB28)/T2),0)</f>
        <v/>
      </c>
      <c r="CL28" s="5">
        <f>IFERROR(ROUND(CB28/CD28,2),0)</f>
        <v/>
      </c>
      <c r="CM28" s="5">
        <f>IFERROR(ROUND(CB28/CE28,2),0)</f>
        <v/>
      </c>
      <c r="CN28" s="2" t="inlineStr">
        <is>
          <t>2023-10-05</t>
        </is>
      </c>
      <c r="CO28" s="5">
        <f>ROUND(0.71,2)</f>
        <v/>
      </c>
      <c r="CP28" s="3">
        <f>ROUND(3711.0,2)</f>
        <v/>
      </c>
      <c r="CQ28" s="3">
        <f>ROUND(71.0,2)</f>
        <v/>
      </c>
      <c r="CR28" s="3">
        <f>ROUND(0.0,2)</f>
        <v/>
      </c>
      <c r="CS28" s="3">
        <f>ROUND(0.0,2)</f>
        <v/>
      </c>
      <c r="CT28" s="3">
        <f>ROUND(0.0,2)</f>
        <v/>
      </c>
      <c r="CU28" s="3">
        <f>ROUND(0.0,2)</f>
        <v/>
      </c>
      <c r="CV28" s="3">
        <f>ROUND(0.0,2)</f>
        <v/>
      </c>
      <c r="CW28" s="4">
        <f>IFERROR((CQ28/CP28),0)</f>
        <v/>
      </c>
      <c r="CX28" s="4">
        <f>IFERROR(((0+CO11+CO12+CO13+CO14+CO15+CO16+CO17+CO19+CO20+CO21+CO22+CO23+CO24+CO25+CO27+CO28)/T2),0)</f>
        <v/>
      </c>
      <c r="CY28" s="5">
        <f>IFERROR(ROUND(CO28/CQ28,2),0)</f>
        <v/>
      </c>
      <c r="CZ28" s="5">
        <f>IFERROR(ROUND(CO28/CR28,2),0)</f>
        <v/>
      </c>
      <c r="DA28" s="2" t="inlineStr">
        <is>
          <t>2023-10-05</t>
        </is>
      </c>
      <c r="DB28" s="5">
        <f>ROUND(2.69,2)</f>
        <v/>
      </c>
      <c r="DC28" s="3">
        <f>ROUND(5360.0,2)</f>
        <v/>
      </c>
      <c r="DD28" s="3">
        <f>ROUND(269.0,2)</f>
        <v/>
      </c>
      <c r="DE28" s="3">
        <f>ROUND(0.0,2)</f>
        <v/>
      </c>
      <c r="DF28" s="3">
        <f>ROUND(0.0,2)</f>
        <v/>
      </c>
      <c r="DG28" s="3">
        <f>ROUND(0.0,2)</f>
        <v/>
      </c>
      <c r="DH28" s="3">
        <f>ROUND(0.0,2)</f>
        <v/>
      </c>
      <c r="DI28" s="3">
        <f>ROUND(0.0,2)</f>
        <v/>
      </c>
      <c r="DJ28" s="4">
        <f>IFERROR((DD28/DC28),0)</f>
        <v/>
      </c>
      <c r="DK28" s="4">
        <f>IFERROR(((0+DB11+DB12+DB13+DB14+DB15+DB16+DB17+DB19+DB20+DB21+DB22+DB23+DB24+DB25+DB27+DB28)/T2),0)</f>
        <v/>
      </c>
      <c r="DL28" s="5">
        <f>IFERROR(ROUND(DB28/DD28,2),0)</f>
        <v/>
      </c>
      <c r="DM28" s="5">
        <f>IFERROR(ROUND(DB28/DE28,2),0)</f>
        <v/>
      </c>
      <c r="DN28" s="2" t="inlineStr">
        <is>
          <t>2023-10-05</t>
        </is>
      </c>
      <c r="DO28" s="5">
        <f>ROUND(0.0,2)</f>
        <v/>
      </c>
      <c r="DP28" s="3">
        <f>ROUND(8.0,2)</f>
        <v/>
      </c>
      <c r="DQ28" s="3">
        <f>ROUND(0.0,2)</f>
        <v/>
      </c>
      <c r="DR28" s="3">
        <f>ROUND(0.0,2)</f>
        <v/>
      </c>
      <c r="DS28" s="3">
        <f>ROUND(0.0,2)</f>
        <v/>
      </c>
      <c r="DT28" s="3">
        <f>ROUND(0.0,2)</f>
        <v/>
      </c>
      <c r="DU28" s="3">
        <f>ROUND(0.0,2)</f>
        <v/>
      </c>
      <c r="DV28" s="3">
        <f>ROUND(0.0,2)</f>
        <v/>
      </c>
      <c r="DW28" s="4">
        <f>IFERROR((DQ28/DP28),0)</f>
        <v/>
      </c>
      <c r="DX28" s="4">
        <f>IFERROR(((0+DO11+DO12+DO13+DO14+DO15+DO16+DO17+DO19+DO20+DO21+DO22+DO23+DO24+DO25+DO27+DO28)/T2),0)</f>
        <v/>
      </c>
      <c r="DY28" s="5">
        <f>IFERROR(ROUND(DO28/DQ28,2),0)</f>
        <v/>
      </c>
      <c r="DZ28" s="5">
        <f>IFERROR(ROUND(DO28/DR28,2),0)</f>
        <v/>
      </c>
      <c r="EA28" s="2" t="inlineStr">
        <is>
          <t>2023-10-05</t>
        </is>
      </c>
      <c r="EB28" s="5">
        <f>ROUND(3.82,2)</f>
        <v/>
      </c>
      <c r="EC28" s="3">
        <f>ROUND(20690.0,2)</f>
        <v/>
      </c>
      <c r="ED28" s="3">
        <f>ROUND(382.0,2)</f>
        <v/>
      </c>
      <c r="EE28" s="3">
        <f>ROUND(0.0,2)</f>
        <v/>
      </c>
      <c r="EF28" s="3">
        <f>ROUND(0.0,2)</f>
        <v/>
      </c>
      <c r="EG28" s="3">
        <f>ROUND(0.0,2)</f>
        <v/>
      </c>
      <c r="EH28" s="3">
        <f>ROUND(0.0,2)</f>
        <v/>
      </c>
      <c r="EI28" s="3">
        <f>ROUND(0.0,2)</f>
        <v/>
      </c>
      <c r="EJ28" s="4">
        <f>IFERROR((ED28/EC28),0)</f>
        <v/>
      </c>
      <c r="EK28" s="4">
        <f>IFERROR(((0+EB11+EB12+EB13+EB14+EB15+EB16+EB17+EB19+EB20+EB21+EB22+EB23+EB24+EB25+EB27+EB28)/T2),0)</f>
        <v/>
      </c>
      <c r="EL28" s="5">
        <f>IFERROR(ROUND(EB28/ED28,2),0)</f>
        <v/>
      </c>
      <c r="EM28" s="5">
        <f>IFERROR(ROUND(EB28/EE28,2),0)</f>
        <v/>
      </c>
      <c r="EN28" s="2" t="inlineStr">
        <is>
          <t>2023-10-05</t>
        </is>
      </c>
      <c r="EO28" s="5">
        <f>ROUND(6.79,2)</f>
        <v/>
      </c>
      <c r="EP28" s="3">
        <f>ROUND(8096.0,2)</f>
        <v/>
      </c>
      <c r="EQ28" s="3">
        <f>ROUND(679.0,2)</f>
        <v/>
      </c>
      <c r="ER28" s="3">
        <f>ROUND(0.0,2)</f>
        <v/>
      </c>
      <c r="ES28" s="3">
        <f>ROUND(0.0,2)</f>
        <v/>
      </c>
      <c r="ET28" s="3">
        <f>ROUND(0.0,2)</f>
        <v/>
      </c>
      <c r="EU28" s="3">
        <f>ROUND(0.0,2)</f>
        <v/>
      </c>
      <c r="EV28" s="3">
        <f>ROUND(0.0,2)</f>
        <v/>
      </c>
      <c r="EW28" s="4">
        <f>IFERROR((EQ28/EP28),0)</f>
        <v/>
      </c>
      <c r="EX28" s="4">
        <f>IFERROR(((0+EO11+EO12+EO13+EO14+EO15+EO16+EO17+EO19+EO20+EO21+EO22+EO23+EO24+EO25+EO27+EO28)/T2),0)</f>
        <v/>
      </c>
      <c r="EY28" s="5">
        <f>IFERROR(ROUND(EO28/EQ28,2),0)</f>
        <v/>
      </c>
      <c r="EZ28" s="5">
        <f>IFERROR(ROUND(EO28/ER28,2),0)</f>
        <v/>
      </c>
      <c r="FA28" s="2" t="inlineStr">
        <is>
          <t>2023-10-05</t>
        </is>
      </c>
      <c r="FB28" s="5">
        <f>ROUND(0.14,2)</f>
        <v/>
      </c>
      <c r="FC28" s="3">
        <f>ROUND(1187.0,2)</f>
        <v/>
      </c>
      <c r="FD28" s="3">
        <f>ROUND(14.0,2)</f>
        <v/>
      </c>
      <c r="FE28" s="3">
        <f>ROUND(0.0,2)</f>
        <v/>
      </c>
      <c r="FF28" s="3">
        <f>ROUND(0.0,2)</f>
        <v/>
      </c>
      <c r="FG28" s="3">
        <f>ROUND(0.0,2)</f>
        <v/>
      </c>
      <c r="FH28" s="3">
        <f>ROUND(0.0,2)</f>
        <v/>
      </c>
      <c r="FI28" s="3">
        <f>ROUND(0.0,2)</f>
        <v/>
      </c>
      <c r="FJ28" s="4">
        <f>IFERROR((FD28/FC28),0)</f>
        <v/>
      </c>
      <c r="FK28" s="4">
        <f>IFERROR(((0+FB11+FB12+FB13+FB14+FB15+FB16+FB17+FB19+FB20+FB21+FB22+FB23+FB24+FB25+FB27+FB28)/T2),0)</f>
        <v/>
      </c>
      <c r="FL28" s="5">
        <f>IFERROR(ROUND(FB28/FD28,2),0)</f>
        <v/>
      </c>
      <c r="FM28" s="5">
        <f>IFERROR(ROUND(FB28/FE28,2),0)</f>
        <v/>
      </c>
      <c r="FN28" s="2" t="inlineStr">
        <is>
          <t>2023-10-05</t>
        </is>
      </c>
      <c r="FO28" s="5">
        <f>ROUND(0.29000000000000004,2)</f>
        <v/>
      </c>
      <c r="FP28" s="3">
        <f>ROUND(610.0,2)</f>
        <v/>
      </c>
      <c r="FQ28" s="3">
        <f>ROUND(29.0,2)</f>
        <v/>
      </c>
      <c r="FR28" s="3">
        <f>ROUND(0.0,2)</f>
        <v/>
      </c>
      <c r="FS28" s="3">
        <f>ROUND(0.0,2)</f>
        <v/>
      </c>
      <c r="FT28" s="3">
        <f>ROUND(0.0,2)</f>
        <v/>
      </c>
      <c r="FU28" s="3">
        <f>ROUND(0.0,2)</f>
        <v/>
      </c>
      <c r="FV28" s="3">
        <f>ROUND(0.0,2)</f>
        <v/>
      </c>
      <c r="FW28" s="4">
        <f>IFERROR((FQ28/FP28),0)</f>
        <v/>
      </c>
      <c r="FX28" s="4">
        <f>IFERROR(((0+FO11+FO12+FO13+FO14+FO15+FO16+FO17+FO19+FO20+FO21+FO22+FO23+FO24+FO25+FO27+FO28)/T2),0)</f>
        <v/>
      </c>
      <c r="FY28" s="5">
        <f>IFERROR(ROUND(FO28/FQ28,2),0)</f>
        <v/>
      </c>
      <c r="FZ28" s="5">
        <f>IFERROR(ROUND(FO28/FR28,2),0)</f>
        <v/>
      </c>
      <c r="GA28" s="2" t="inlineStr">
        <is>
          <t>2023-10-05</t>
        </is>
      </c>
      <c r="GB28" s="5">
        <f>ROUND(0.49,2)</f>
        <v/>
      </c>
      <c r="GC28" s="3">
        <f>ROUND(3031.0,2)</f>
        <v/>
      </c>
      <c r="GD28" s="3">
        <f>ROUND(49.0,2)</f>
        <v/>
      </c>
      <c r="GE28" s="3">
        <f>ROUND(0.0,2)</f>
        <v/>
      </c>
      <c r="GF28" s="3">
        <f>ROUND(0.0,2)</f>
        <v/>
      </c>
      <c r="GG28" s="3">
        <f>ROUND(0.0,2)</f>
        <v/>
      </c>
      <c r="GH28" s="3">
        <f>ROUND(0.0,2)</f>
        <v/>
      </c>
      <c r="GI28" s="3">
        <f>ROUND(0.0,2)</f>
        <v/>
      </c>
      <c r="GJ28" s="4">
        <f>IFERROR((GD28/GC28),0)</f>
        <v/>
      </c>
      <c r="GK28" s="4">
        <f>IFERROR(((0+GB11+GB12+GB13+GB14+GB15+GB16+GB17+GB19+GB20+GB21+GB22+GB23+GB24+GB25+GB27+GB28)/T2),0)</f>
        <v/>
      </c>
      <c r="GL28" s="5">
        <f>IFERROR(ROUND(GB28/GD28,2),0)</f>
        <v/>
      </c>
      <c r="GM28" s="5">
        <f>IFERROR(ROUND(GB28/GE28,2),0)</f>
        <v/>
      </c>
      <c r="GN28" s="2" t="inlineStr">
        <is>
          <t>2023-10-05</t>
        </is>
      </c>
      <c r="GO28" s="5">
        <f>ROUND(0.32,2)</f>
        <v/>
      </c>
      <c r="GP28" s="3">
        <f>ROUND(561.0,2)</f>
        <v/>
      </c>
      <c r="GQ28" s="3">
        <f>ROUND(32.0,2)</f>
        <v/>
      </c>
      <c r="GR28" s="3">
        <f>ROUND(0.0,2)</f>
        <v/>
      </c>
      <c r="GS28" s="3">
        <f>ROUND(0.0,2)</f>
        <v/>
      </c>
      <c r="GT28" s="3">
        <f>ROUND(0.0,2)</f>
        <v/>
      </c>
      <c r="GU28" s="3">
        <f>ROUND(0.0,2)</f>
        <v/>
      </c>
      <c r="GV28" s="3">
        <f>ROUND(0.0,2)</f>
        <v/>
      </c>
      <c r="GW28" s="4">
        <f>IFERROR((GQ28/GP28),0)</f>
        <v/>
      </c>
      <c r="GX28" s="4">
        <f>IFERROR(((0+GO11+GO12+GO13+GO14+GO15+GO16+GO17+GO19+GO20+GO21+GO22+GO23+GO24+GO25+GO27+GO28)/T2),0)</f>
        <v/>
      </c>
      <c r="GY28" s="5">
        <f>IFERROR(ROUND(GO28/GQ28,2),0)</f>
        <v/>
      </c>
      <c r="GZ28" s="5">
        <f>IFERROR(ROUND(GO28/GR28,2),0)</f>
        <v/>
      </c>
      <c r="HA28" s="2" t="inlineStr">
        <is>
          <t>2023-10-05</t>
        </is>
      </c>
      <c r="HB28" s="5">
        <f>ROUND(4.77,2)</f>
        <v/>
      </c>
      <c r="HC28" s="3">
        <f>ROUND(7600.0,2)</f>
        <v/>
      </c>
      <c r="HD28" s="3">
        <f>ROUND(477.0,2)</f>
        <v/>
      </c>
      <c r="HE28" s="3">
        <f>ROUND(0.0,2)</f>
        <v/>
      </c>
      <c r="HF28" s="3">
        <f>ROUND(0.0,2)</f>
        <v/>
      </c>
      <c r="HG28" s="3">
        <f>ROUND(0.0,2)</f>
        <v/>
      </c>
      <c r="HH28" s="3">
        <f>ROUND(0.0,2)</f>
        <v/>
      </c>
      <c r="HI28" s="3">
        <f>ROUND(0.0,2)</f>
        <v/>
      </c>
      <c r="HJ28" s="4">
        <f>IFERROR((HD28/HC28),0)</f>
        <v/>
      </c>
      <c r="HK28" s="4">
        <f>IFERROR(((0+HB11+HB12+HB13+HB14+HB15+HB16+HB17+HB19+HB20+HB21+HB22+HB23+HB24+HB25+HB27+HB28)/T2),0)</f>
        <v/>
      </c>
      <c r="HL28" s="5">
        <f>IFERROR(ROUND(HB28/HD28,2),0)</f>
        <v/>
      </c>
      <c r="HM28" s="5">
        <f>IFERROR(ROUND(HB28/HE28,2),0)</f>
        <v/>
      </c>
      <c r="HN28" s="2" t="inlineStr">
        <is>
          <t>2023-10-05</t>
        </is>
      </c>
      <c r="HO28" s="5">
        <f>ROUND(0.030000000000000002,2)</f>
        <v/>
      </c>
      <c r="HP28" s="3">
        <f>ROUND(73.0,2)</f>
        <v/>
      </c>
      <c r="HQ28" s="3">
        <f>ROUND(3.0,2)</f>
        <v/>
      </c>
      <c r="HR28" s="3">
        <f>ROUND(0.0,2)</f>
        <v/>
      </c>
      <c r="HS28" s="3">
        <f>ROUND(0.0,2)</f>
        <v/>
      </c>
      <c r="HT28" s="3">
        <f>ROUND(0.0,2)</f>
        <v/>
      </c>
      <c r="HU28" s="3">
        <f>ROUND(0.0,2)</f>
        <v/>
      </c>
      <c r="HV28" s="3">
        <f>ROUND(0.0,2)</f>
        <v/>
      </c>
      <c r="HW28" s="4">
        <f>IFERROR((HQ28/HP28),0)</f>
        <v/>
      </c>
      <c r="HX28" s="4">
        <f>IFERROR(((0+HO11+HO12+HO13+HO14+HO15+HO16+HO17+HO19+HO20+HO21+HO22+HO23+HO24+HO25+HO27+HO28)/T2),0)</f>
        <v/>
      </c>
      <c r="HY28" s="5">
        <f>IFERROR(ROUND(HO28/HQ28,2),0)</f>
        <v/>
      </c>
      <c r="HZ28" s="5">
        <f>IFERROR(ROUND(HO28/HR28,2),0)</f>
        <v/>
      </c>
      <c r="IA28" s="2" t="inlineStr">
        <is>
          <t>2023-10-05</t>
        </is>
      </c>
      <c r="IB28" s="5">
        <f>ROUND(0.45,2)</f>
        <v/>
      </c>
      <c r="IC28" s="3">
        <f>ROUND(701.0,2)</f>
        <v/>
      </c>
      <c r="ID28" s="3">
        <f>ROUND(45.0,2)</f>
        <v/>
      </c>
      <c r="IE28" s="3">
        <f>ROUND(0.0,2)</f>
        <v/>
      </c>
      <c r="IF28" s="3">
        <f>ROUND(0.0,2)</f>
        <v/>
      </c>
      <c r="IG28" s="3">
        <f>ROUND(0.0,2)</f>
        <v/>
      </c>
      <c r="IH28" s="3">
        <f>ROUND(0.0,2)</f>
        <v/>
      </c>
      <c r="II28" s="3">
        <f>ROUND(0.0,2)</f>
        <v/>
      </c>
      <c r="IJ28" s="4">
        <f>IFERROR((ID28/IC28),0)</f>
        <v/>
      </c>
      <c r="IK28" s="4">
        <f>IFERROR(((0+IB11+IB12+IB13+IB14+IB15+IB16+IB17+IB19+IB20+IB21+IB22+IB23+IB24+IB25+IB27+IB28)/T2),0)</f>
        <v/>
      </c>
      <c r="IL28" s="5">
        <f>IFERROR(ROUND(IB28/ID28,2),0)</f>
        <v/>
      </c>
      <c r="IM28" s="5">
        <f>IFERROR(ROUND(IB28/IE28,2),0)</f>
        <v/>
      </c>
      <c r="IN28" s="2" t="inlineStr">
        <is>
          <t>2023-10-05</t>
        </is>
      </c>
      <c r="IO28" s="5">
        <f>ROUND(0.16,2)</f>
        <v/>
      </c>
      <c r="IP28" s="3">
        <f>ROUND(739.0,2)</f>
        <v/>
      </c>
      <c r="IQ28" s="3">
        <f>ROUND(16.0,2)</f>
        <v/>
      </c>
      <c r="IR28" s="3">
        <f>ROUND(0.0,2)</f>
        <v/>
      </c>
      <c r="IS28" s="3">
        <f>ROUND(0.0,2)</f>
        <v/>
      </c>
      <c r="IT28" s="3">
        <f>ROUND(0.0,2)</f>
        <v/>
      </c>
      <c r="IU28" s="3">
        <f>ROUND(0.0,2)</f>
        <v/>
      </c>
      <c r="IV28" s="3">
        <f>ROUND(0.0,2)</f>
        <v/>
      </c>
      <c r="IW28" s="4">
        <f>IFERROR((IQ28/IP28),0)</f>
        <v/>
      </c>
      <c r="IX28" s="4">
        <f>IFERROR(((0+IO11+IO12+IO13+IO14+IO15+IO16+IO17+IO19+IO20+IO21+IO22+IO23+IO24+IO25+IO27+IO28)/T2),0)</f>
        <v/>
      </c>
      <c r="IY28" s="5">
        <f>IFERROR(ROUND(IO28/IQ28,2),0)</f>
        <v/>
      </c>
      <c r="IZ28" s="5">
        <f>IFERROR(ROUND(IO28/IR28,2),0)</f>
        <v/>
      </c>
      <c r="JA28" s="2" t="inlineStr">
        <is>
          <t>2023-10-05</t>
        </is>
      </c>
      <c r="JB28" s="5">
        <f>ROUND(0.53,2)</f>
        <v/>
      </c>
      <c r="JC28" s="3">
        <f>ROUND(2216.0,2)</f>
        <v/>
      </c>
      <c r="JD28" s="3">
        <f>ROUND(53.0,2)</f>
        <v/>
      </c>
      <c r="JE28" s="3">
        <f>ROUND(0.0,2)</f>
        <v/>
      </c>
      <c r="JF28" s="3">
        <f>ROUND(0.0,2)</f>
        <v/>
      </c>
      <c r="JG28" s="3">
        <f>ROUND(0.0,2)</f>
        <v/>
      </c>
      <c r="JH28" s="3">
        <f>ROUND(0.0,2)</f>
        <v/>
      </c>
      <c r="JI28" s="3">
        <f>ROUND(0.0,2)</f>
        <v/>
      </c>
      <c r="JJ28" s="4">
        <f>IFERROR((JD28/JC28),0)</f>
        <v/>
      </c>
      <c r="JK28" s="4">
        <f>IFERROR(((0+JB11+JB12+JB13+JB14+JB15+JB16+JB17+JB19+JB20+JB21+JB22+JB23+JB24+JB25+JB27+JB28)/T2),0)</f>
        <v/>
      </c>
      <c r="JL28" s="5">
        <f>IFERROR(ROUND(JB28/JD28,2),0)</f>
        <v/>
      </c>
      <c r="JM28" s="5">
        <f>IFERROR(ROUND(JB28/JE28,2),0)</f>
        <v/>
      </c>
      <c r="JN28" s="2" t="inlineStr">
        <is>
          <t>2023-10-05</t>
        </is>
      </c>
      <c r="JO28" s="5">
        <f>ROUND(0.08,2)</f>
        <v/>
      </c>
      <c r="JP28" s="3">
        <f>ROUND(139.0,2)</f>
        <v/>
      </c>
      <c r="JQ28" s="3">
        <f>ROUND(8.0,2)</f>
        <v/>
      </c>
      <c r="JR28" s="3">
        <f>ROUND(0.0,2)</f>
        <v/>
      </c>
      <c r="JS28" s="3">
        <f>ROUND(0.0,2)</f>
        <v/>
      </c>
      <c r="JT28" s="3">
        <f>ROUND(0.0,2)</f>
        <v/>
      </c>
      <c r="JU28" s="3">
        <f>ROUND(0.0,2)</f>
        <v/>
      </c>
      <c r="JV28" s="3">
        <f>ROUND(0.0,2)</f>
        <v/>
      </c>
      <c r="JW28" s="4">
        <f>IFERROR((JQ28/JP28),0)</f>
        <v/>
      </c>
      <c r="JX28" s="4">
        <f>IFERROR(((0+JO11+JO12+JO13+JO14+JO15+JO16+JO17+JO19+JO20+JO21+JO22+JO23+JO24+JO25+JO27+JO28)/T2),0)</f>
        <v/>
      </c>
      <c r="JY28" s="5">
        <f>IFERROR(ROUND(JO28/JQ28,2),0)</f>
        <v/>
      </c>
      <c r="JZ28" s="5">
        <f>IFERROR(ROUND(JO28/JR28,2),0)</f>
        <v/>
      </c>
      <c r="KA28" s="2" t="inlineStr">
        <is>
          <t>2023-10-05</t>
        </is>
      </c>
      <c r="KB28" s="5">
        <f>ROUND(2.68,2)</f>
        <v/>
      </c>
      <c r="KC28" s="3">
        <f>ROUND(3405.0,2)</f>
        <v/>
      </c>
      <c r="KD28" s="3">
        <f>ROUND(268.0,2)</f>
        <v/>
      </c>
      <c r="KE28" s="3">
        <f>ROUND(0.0,2)</f>
        <v/>
      </c>
      <c r="KF28" s="3">
        <f>ROUND(0.0,2)</f>
        <v/>
      </c>
      <c r="KG28" s="3">
        <f>ROUND(0.0,2)</f>
        <v/>
      </c>
      <c r="KH28" s="3">
        <f>ROUND(0.0,2)</f>
        <v/>
      </c>
      <c r="KI28" s="3">
        <f>ROUND(0.0,2)</f>
        <v/>
      </c>
      <c r="KJ28" s="4">
        <f>IFERROR((KD28/KC28),0)</f>
        <v/>
      </c>
      <c r="KK28" s="4">
        <f>IFERROR(((0+KB11+KB12+KB13+KB14+KB15+KB16+KB17+KB19+KB20+KB21+KB22+KB23+KB24+KB25+KB27+KB28)/T2),0)</f>
        <v/>
      </c>
      <c r="KL28" s="5">
        <f>IFERROR(ROUND(KB28/KD28,2),0)</f>
        <v/>
      </c>
      <c r="KM28" s="5">
        <f>IFERROR(ROUND(KB28/KE28,2),0)</f>
        <v/>
      </c>
      <c r="KN28" s="2" t="inlineStr">
        <is>
          <t>2023-10-05</t>
        </is>
      </c>
      <c r="KO28" s="5">
        <f>ROUND(0.08,2)</f>
        <v/>
      </c>
      <c r="KP28" s="3">
        <f>ROUND(592.0,2)</f>
        <v/>
      </c>
      <c r="KQ28" s="3">
        <f>ROUND(8.0,2)</f>
        <v/>
      </c>
      <c r="KR28" s="3">
        <f>ROUND(0.0,2)</f>
        <v/>
      </c>
      <c r="KS28" s="3">
        <f>ROUND(0.0,2)</f>
        <v/>
      </c>
      <c r="KT28" s="3">
        <f>ROUND(0.0,2)</f>
        <v/>
      </c>
      <c r="KU28" s="3">
        <f>ROUND(0.0,2)</f>
        <v/>
      </c>
      <c r="KV28" s="3">
        <f>ROUND(0.0,2)</f>
        <v/>
      </c>
      <c r="KW28" s="4">
        <f>IFERROR((KQ28/KP28),0)</f>
        <v/>
      </c>
      <c r="KX28" s="4">
        <f>IFERROR(((0+KO11+KO12+KO13+KO14+KO15+KO16+KO17+KO19+KO20+KO21+KO22+KO23+KO24+KO25+KO27+KO28)/T2),0)</f>
        <v/>
      </c>
      <c r="KY28" s="5">
        <f>IFERROR(ROUND(KO28/KQ28,2),0)</f>
        <v/>
      </c>
      <c r="KZ28" s="5">
        <f>IFERROR(ROUND(KO28/KR28,2),0)</f>
        <v/>
      </c>
      <c r="LA28" s="2" t="inlineStr">
        <is>
          <t>2023-10-05</t>
        </is>
      </c>
      <c r="LB28" s="5">
        <f>ROUND(0.48000000000000004,2)</f>
        <v/>
      </c>
      <c r="LC28" s="3">
        <f>ROUND(2008.0,2)</f>
        <v/>
      </c>
      <c r="LD28" s="3">
        <f>ROUND(48.0,2)</f>
        <v/>
      </c>
      <c r="LE28" s="3">
        <f>ROUND(0.0,2)</f>
        <v/>
      </c>
      <c r="LF28" s="3">
        <f>ROUND(0.0,2)</f>
        <v/>
      </c>
      <c r="LG28" s="3">
        <f>ROUND(0.0,2)</f>
        <v/>
      </c>
      <c r="LH28" s="3">
        <f>ROUND(0.0,2)</f>
        <v/>
      </c>
      <c r="LI28" s="3">
        <f>ROUND(0.0,2)</f>
        <v/>
      </c>
      <c r="LJ28" s="4">
        <f>IFERROR((LD28/LC28),0)</f>
        <v/>
      </c>
      <c r="LK28" s="4">
        <f>IFERROR(((0+LB11+LB12+LB13+LB14+LB15+LB16+LB17+LB19+LB20+LB21+LB22+LB23+LB24+LB25+LB27+LB28)/T2),0)</f>
        <v/>
      </c>
      <c r="LL28" s="5">
        <f>IFERROR(ROUND(LB28/LD28,2),0)</f>
        <v/>
      </c>
      <c r="LM28" s="5">
        <f>IFERROR(ROUND(LB28/LE28,2),0)</f>
        <v/>
      </c>
      <c r="LN28" s="2" t="inlineStr">
        <is>
          <t>2023-10-05</t>
        </is>
      </c>
      <c r="LO28" s="5">
        <f>ROUND(0.02,2)</f>
        <v/>
      </c>
      <c r="LP28" s="3">
        <f>ROUND(256.0,2)</f>
        <v/>
      </c>
      <c r="LQ28" s="3">
        <f>ROUND(2.0,2)</f>
        <v/>
      </c>
      <c r="LR28" s="3">
        <f>ROUND(0.0,2)</f>
        <v/>
      </c>
      <c r="LS28" s="3">
        <f>ROUND(0.0,2)</f>
        <v/>
      </c>
      <c r="LT28" s="3">
        <f>ROUND(0.0,2)</f>
        <v/>
      </c>
      <c r="LU28" s="3">
        <f>ROUND(0.0,2)</f>
        <v/>
      </c>
      <c r="LV28" s="3">
        <f>ROUND(0.0,2)</f>
        <v/>
      </c>
      <c r="LW28" s="4">
        <f>IFERROR((LQ28/LP28),0)</f>
        <v/>
      </c>
      <c r="LX28" s="4">
        <f>IFERROR(((0+LO11+LO12+LO13+LO14+LO15+LO16+LO17+LO19+LO20+LO21+LO22+LO23+LO24+LO25+LO27+LO28)/T2),0)</f>
        <v/>
      </c>
      <c r="LY28" s="5">
        <f>IFERROR(ROUND(LO28/LQ28,2),0)</f>
        <v/>
      </c>
      <c r="LZ28" s="5">
        <f>IFERROR(ROUND(LO28/LR28,2),0)</f>
        <v/>
      </c>
      <c r="MA28" s="2" t="inlineStr">
        <is>
          <t>2023-10-05</t>
        </is>
      </c>
      <c r="MB28" s="5">
        <f>ROUND(1.4100000000000001,2)</f>
        <v/>
      </c>
      <c r="MC28" s="3">
        <f>ROUND(6481.0,2)</f>
        <v/>
      </c>
      <c r="MD28" s="3">
        <f>ROUND(141.0,2)</f>
        <v/>
      </c>
      <c r="ME28" s="3">
        <f>ROUND(0.0,2)</f>
        <v/>
      </c>
      <c r="MF28" s="3">
        <f>ROUND(0.0,2)</f>
        <v/>
      </c>
      <c r="MG28" s="3">
        <f>ROUND(0.0,2)</f>
        <v/>
      </c>
      <c r="MH28" s="3">
        <f>ROUND(0.0,2)</f>
        <v/>
      </c>
      <c r="MI28" s="3">
        <f>ROUND(0.0,2)</f>
        <v/>
      </c>
      <c r="MJ28" s="4">
        <f>IFERROR((MD28/MC28),0)</f>
        <v/>
      </c>
      <c r="MK28" s="4">
        <f>IFERROR(((0+MB11+MB12+MB13+MB14+MB15+MB16+MB17+MB19+MB20+MB21+MB22+MB23+MB24+MB25+MB27+MB28)/T2),0)</f>
        <v/>
      </c>
      <c r="ML28" s="5">
        <f>IFERROR(ROUND(MB28/MD28,2),0)</f>
        <v/>
      </c>
      <c r="MM28" s="5">
        <f>IFERROR(ROUND(MB28/ME28,2),0)</f>
        <v/>
      </c>
      <c r="MN28" s="2" t="inlineStr">
        <is>
          <t>2023-10-05</t>
        </is>
      </c>
      <c r="MO28" s="5">
        <f>ROUND(1.67,2)</f>
        <v/>
      </c>
      <c r="MP28" s="3">
        <f>ROUND(3370.0,2)</f>
        <v/>
      </c>
      <c r="MQ28" s="3">
        <f>ROUND(167.0,2)</f>
        <v/>
      </c>
      <c r="MR28" s="3">
        <f>ROUND(0.0,2)</f>
        <v/>
      </c>
      <c r="MS28" s="3">
        <f>ROUND(0.0,2)</f>
        <v/>
      </c>
      <c r="MT28" s="3">
        <f>ROUND(0.0,2)</f>
        <v/>
      </c>
      <c r="MU28" s="3">
        <f>ROUND(0.0,2)</f>
        <v/>
      </c>
      <c r="MV28" s="3">
        <f>ROUND(0.0,2)</f>
        <v/>
      </c>
      <c r="MW28" s="4">
        <f>IFERROR((MQ28/MP28),0)</f>
        <v/>
      </c>
      <c r="MX28" s="4">
        <f>IFERROR(((0+MO11+MO12+MO13+MO14+MO15+MO16+MO17+MO19+MO20+MO21+MO22+MO23+MO24+MO25+MO27+MO28)/T2),0)</f>
        <v/>
      </c>
      <c r="MY28" s="5">
        <f>IFERROR(ROUND(MO28/MQ28,2),0)</f>
        <v/>
      </c>
      <c r="MZ28" s="5">
        <f>IFERROR(ROUND(MO28/MR28,2),0)</f>
        <v/>
      </c>
      <c r="NA28" s="2" t="inlineStr">
        <is>
          <t>2023-10-05</t>
        </is>
      </c>
      <c r="NB28" s="5">
        <f>ROUND(0.44,2)</f>
        <v/>
      </c>
      <c r="NC28" s="3">
        <f>ROUND(2618.0,2)</f>
        <v/>
      </c>
      <c r="ND28" s="3">
        <f>ROUND(44.0,2)</f>
        <v/>
      </c>
      <c r="NE28" s="3">
        <f>ROUND(0.0,2)</f>
        <v/>
      </c>
      <c r="NF28" s="3">
        <f>ROUND(0.0,2)</f>
        <v/>
      </c>
      <c r="NG28" s="3">
        <f>ROUND(0.0,2)</f>
        <v/>
      </c>
      <c r="NH28" s="3">
        <f>ROUND(0.0,2)</f>
        <v/>
      </c>
      <c r="NI28" s="3">
        <f>ROUND(0.0,2)</f>
        <v/>
      </c>
      <c r="NJ28" s="4">
        <f>IFERROR((ND28/NC28),0)</f>
        <v/>
      </c>
      <c r="NK28" s="4">
        <f>IFERROR(((0+NB11+NB12+NB13+NB14+NB15+NB16+NB17+NB19+NB20+NB21+NB22+NB23+NB24+NB25+NB27+NB28)/T2),0)</f>
        <v/>
      </c>
      <c r="NL28" s="5">
        <f>IFERROR(ROUND(NB28/ND28,2),0)</f>
        <v/>
      </c>
      <c r="NM28" s="5">
        <f>IFERROR(ROUND(NB28/NE28,2),0)</f>
        <v/>
      </c>
      <c r="NN28" s="2" t="inlineStr">
        <is>
          <t>2023-10-05</t>
        </is>
      </c>
      <c r="NO28" s="5">
        <f>ROUND(0.05,2)</f>
        <v/>
      </c>
      <c r="NP28" s="3">
        <f>ROUND(62.0,2)</f>
        <v/>
      </c>
      <c r="NQ28" s="3">
        <f>ROUND(5.0,2)</f>
        <v/>
      </c>
      <c r="NR28" s="3">
        <f>ROUND(0.0,2)</f>
        <v/>
      </c>
      <c r="NS28" s="3">
        <f>ROUND(0.0,2)</f>
        <v/>
      </c>
      <c r="NT28" s="3">
        <f>ROUND(0.0,2)</f>
        <v/>
      </c>
      <c r="NU28" s="3">
        <f>ROUND(0.0,2)</f>
        <v/>
      </c>
      <c r="NV28" s="3">
        <f>ROUND(0.0,2)</f>
        <v/>
      </c>
      <c r="NW28" s="4">
        <f>IFERROR((NQ28/NP28),0)</f>
        <v/>
      </c>
      <c r="NX28" s="4">
        <f>IFERROR(((0+NO11+NO12+NO13+NO14+NO15+NO16+NO17+NO19+NO20+NO21+NO22+NO23+NO24+NO25+NO27+NO28)/T2),0)</f>
        <v/>
      </c>
      <c r="NY28" s="5">
        <f>IFERROR(ROUND(NO28/NQ28,2),0)</f>
        <v/>
      </c>
      <c r="NZ28" s="5">
        <f>IFERROR(ROUND(NO28/NR28,2),0)</f>
        <v/>
      </c>
      <c r="OA28" s="2" t="inlineStr">
        <is>
          <t>2023-10-05</t>
        </is>
      </c>
      <c r="OB28" s="5">
        <f>ROUND(0.48,2)</f>
        <v/>
      </c>
      <c r="OC28" s="3">
        <f>ROUND(2130.0,2)</f>
        <v/>
      </c>
      <c r="OD28" s="3">
        <f>ROUND(48.0,2)</f>
        <v/>
      </c>
      <c r="OE28" s="3">
        <f>ROUND(0.0,2)</f>
        <v/>
      </c>
      <c r="OF28" s="3">
        <f>ROUND(0.0,2)</f>
        <v/>
      </c>
      <c r="OG28" s="3">
        <f>ROUND(0.0,2)</f>
        <v/>
      </c>
      <c r="OH28" s="3">
        <f>ROUND(0.0,2)</f>
        <v/>
      </c>
      <c r="OI28" s="3">
        <f>ROUND(0.0,2)</f>
        <v/>
      </c>
      <c r="OJ28" s="4">
        <f>IFERROR((OD28/OC28),0)</f>
        <v/>
      </c>
      <c r="OK28" s="4">
        <f>IFERROR(((0+OB11+OB12+OB13+OB14+OB15+OB16+OB17+OB19+OB20+OB21+OB22+OB23+OB24+OB25+OB27+OB28)/T2),0)</f>
        <v/>
      </c>
      <c r="OL28" s="5">
        <f>IFERROR(ROUND(OB28/OD28,2),0)</f>
        <v/>
      </c>
      <c r="OM28" s="5">
        <f>IFERROR(ROUND(OB28/OE28,2),0)</f>
        <v/>
      </c>
      <c r="ON28" s="2" t="inlineStr">
        <is>
          <t>2023-10-05</t>
        </is>
      </c>
      <c r="OO28" s="5">
        <f>ROUND(0.07,2)</f>
        <v/>
      </c>
      <c r="OP28" s="3">
        <f>ROUND(74.0,2)</f>
        <v/>
      </c>
      <c r="OQ28" s="3">
        <f>ROUND(7.0,2)</f>
        <v/>
      </c>
      <c r="OR28" s="3">
        <f>ROUND(0.0,2)</f>
        <v/>
      </c>
      <c r="OS28" s="3">
        <f>ROUND(0.0,2)</f>
        <v/>
      </c>
      <c r="OT28" s="3">
        <f>ROUND(0.0,2)</f>
        <v/>
      </c>
      <c r="OU28" s="3">
        <f>ROUND(0.0,2)</f>
        <v/>
      </c>
      <c r="OV28" s="3">
        <f>ROUND(0.0,2)</f>
        <v/>
      </c>
      <c r="OW28" s="4">
        <f>IFERROR((OQ28/OP28),0)</f>
        <v/>
      </c>
      <c r="OX28" s="4">
        <f>IFERROR(((0+OO11+OO12+OO13+OO14+OO15+OO16+OO17+OO19+OO20+OO21+OO22+OO23+OO24+OO25+OO27+OO28)/T2),0)</f>
        <v/>
      </c>
      <c r="OY28" s="5">
        <f>IFERROR(ROUND(OO28/OQ28,2),0)</f>
        <v/>
      </c>
      <c r="OZ28" s="5">
        <f>IFERROR(ROUND(OO28/OR28,2),0)</f>
        <v/>
      </c>
      <c r="PA28" s="2" t="inlineStr">
        <is>
          <t>2023-10-05</t>
        </is>
      </c>
      <c r="PB28" s="5">
        <f>ROUND(3.03,2)</f>
        <v/>
      </c>
      <c r="PC28" s="3">
        <f>ROUND(4191.0,2)</f>
        <v/>
      </c>
      <c r="PD28" s="3">
        <f>ROUND(303.0,2)</f>
        <v/>
      </c>
      <c r="PE28" s="3">
        <f>ROUND(0.0,2)</f>
        <v/>
      </c>
      <c r="PF28" s="3">
        <f>ROUND(0.0,2)</f>
        <v/>
      </c>
      <c r="PG28" s="3">
        <f>ROUND(0.0,2)</f>
        <v/>
      </c>
      <c r="PH28" s="3">
        <f>ROUND(0.0,2)</f>
        <v/>
      </c>
      <c r="PI28" s="3">
        <f>ROUND(0.0,2)</f>
        <v/>
      </c>
      <c r="PJ28" s="4">
        <f>IFERROR((PD28/PC28),0)</f>
        <v/>
      </c>
      <c r="PK28" s="4">
        <f>IFERROR(((0+PB11+PB12+PB13+PB14+PB15+PB16+PB17+PB19+PB20+PB21+PB22+PB23+PB24+PB25+PB27+PB28)/T2),0)</f>
        <v/>
      </c>
      <c r="PL28" s="5">
        <f>IFERROR(ROUND(PB28/PD28,2),0)</f>
        <v/>
      </c>
      <c r="PM28" s="5">
        <f>IFERROR(ROUND(PB28/PE28,2),0)</f>
        <v/>
      </c>
      <c r="PN28" s="2" t="inlineStr">
        <is>
          <t>2023-10-05</t>
        </is>
      </c>
      <c r="PO28" s="5">
        <f>ROUND(0.02,2)</f>
        <v/>
      </c>
      <c r="PP28" s="3">
        <f>ROUND(130.0,2)</f>
        <v/>
      </c>
      <c r="PQ28" s="3">
        <f>ROUND(2.0,2)</f>
        <v/>
      </c>
      <c r="PR28" s="3">
        <f>ROUND(0.0,2)</f>
        <v/>
      </c>
      <c r="PS28" s="3">
        <f>ROUND(0.0,2)</f>
        <v/>
      </c>
      <c r="PT28" s="3">
        <f>ROUND(0.0,2)</f>
        <v/>
      </c>
      <c r="PU28" s="3">
        <f>ROUND(0.0,2)</f>
        <v/>
      </c>
      <c r="PV28" s="3">
        <f>ROUND(0.0,2)</f>
        <v/>
      </c>
      <c r="PW28" s="4">
        <f>IFERROR((PQ28/PP28),0)</f>
        <v/>
      </c>
      <c r="PX28" s="4">
        <f>IFERROR(((0+PO11+PO12+PO13+PO14+PO15+PO16+PO17+PO19+PO20+PO21+PO22+PO23+PO24+PO25+PO27+PO28)/T2),0)</f>
        <v/>
      </c>
      <c r="PY28" s="5">
        <f>IFERROR(ROUND(PO28/PQ28,2),0)</f>
        <v/>
      </c>
      <c r="PZ28" s="5">
        <f>IFERROR(ROUND(PO28/PR28,2),0)</f>
        <v/>
      </c>
      <c r="QA28" s="2" t="inlineStr">
        <is>
          <t>2023-10-05</t>
        </is>
      </c>
      <c r="QB28" s="5">
        <f>ROUND(1.44,2)</f>
        <v/>
      </c>
      <c r="QC28" s="3">
        <f>ROUND(4085.0,2)</f>
        <v/>
      </c>
      <c r="QD28" s="3">
        <f>ROUND(144.0,2)</f>
        <v/>
      </c>
      <c r="QE28" s="3">
        <f>ROUND(0.0,2)</f>
        <v/>
      </c>
      <c r="QF28" s="3">
        <f>ROUND(0.0,2)</f>
        <v/>
      </c>
      <c r="QG28" s="3">
        <f>ROUND(0.0,2)</f>
        <v/>
      </c>
      <c r="QH28" s="3">
        <f>ROUND(0.0,2)</f>
        <v/>
      </c>
      <c r="QI28" s="3">
        <f>ROUND(0.0,2)</f>
        <v/>
      </c>
      <c r="QJ28" s="4">
        <f>IFERROR((QD28/QC28),0)</f>
        <v/>
      </c>
      <c r="QK28" s="4">
        <f>IFERROR(((0+QB11+QB12+QB13+QB14+QB15+QB16+QB17+QB19+QB20+QB21+QB22+QB23+QB24+QB25+QB27+QB28)/T2),0)</f>
        <v/>
      </c>
      <c r="QL28" s="5">
        <f>IFERROR(ROUND(QB28/QD28,2),0)</f>
        <v/>
      </c>
      <c r="QM28" s="5">
        <f>IFERROR(ROUND(QB28/QE28,2),0)</f>
        <v/>
      </c>
      <c r="QN28" s="2" t="inlineStr">
        <is>
          <t>2023-10-05</t>
        </is>
      </c>
      <c r="QO28" s="5">
        <f>ROUND(1.81,2)</f>
        <v/>
      </c>
      <c r="QP28" s="3">
        <f>ROUND(9868.0,2)</f>
        <v/>
      </c>
      <c r="QQ28" s="3">
        <f>ROUND(181.0,2)</f>
        <v/>
      </c>
      <c r="QR28" s="3">
        <f>ROUND(0.0,2)</f>
        <v/>
      </c>
      <c r="QS28" s="3">
        <f>ROUND(0.0,2)</f>
        <v/>
      </c>
      <c r="QT28" s="3">
        <f>ROUND(0.0,2)</f>
        <v/>
      </c>
      <c r="QU28" s="3">
        <f>ROUND(0.0,2)</f>
        <v/>
      </c>
      <c r="QV28" s="3">
        <f>ROUND(0.0,2)</f>
        <v/>
      </c>
      <c r="QW28" s="4">
        <f>IFERROR((QQ28/QP28),0)</f>
        <v/>
      </c>
      <c r="QX28" s="4">
        <f>IFERROR(((0+QO11+QO12+QO13+QO14+QO15+QO16+QO17+QO19+QO20+QO21+QO22+QO23+QO24+QO25+QO27+QO28)/T2),0)</f>
        <v/>
      </c>
      <c r="QY28" s="5">
        <f>IFERROR(ROUND(QO28/QQ28,2),0)</f>
        <v/>
      </c>
      <c r="QZ28" s="5">
        <f>IFERROR(ROUND(QO28/QR28,2),0)</f>
        <v/>
      </c>
      <c r="RA28" s="2" t="inlineStr">
        <is>
          <t>2023-10-05</t>
        </is>
      </c>
      <c r="RB28" s="5">
        <f>ROUND(0.67,2)</f>
        <v/>
      </c>
      <c r="RC28" s="3">
        <f>ROUND(830.0,2)</f>
        <v/>
      </c>
      <c r="RD28" s="3">
        <f>ROUND(67.0,2)</f>
        <v/>
      </c>
      <c r="RE28" s="3">
        <f>ROUND(0.0,2)</f>
        <v/>
      </c>
      <c r="RF28" s="3">
        <f>ROUND(0.0,2)</f>
        <v/>
      </c>
      <c r="RG28" s="3">
        <f>ROUND(0.0,2)</f>
        <v/>
      </c>
      <c r="RH28" s="3">
        <f>ROUND(0.0,2)</f>
        <v/>
      </c>
      <c r="RI28" s="3">
        <f>ROUND(0.0,2)</f>
        <v/>
      </c>
      <c r="RJ28" s="4">
        <f>IFERROR((RD28/RC28),0)</f>
        <v/>
      </c>
      <c r="RK28" s="4">
        <f>IFERROR(((0+RB11+RB12+RB13+RB14+RB15+RB16+RB17+RB19+RB20+RB21+RB22+RB23+RB24+RB25+RB27+RB28)/T2),0)</f>
        <v/>
      </c>
      <c r="RL28" s="5">
        <f>IFERROR(ROUND(RB28/RD28,2),0)</f>
        <v/>
      </c>
      <c r="RM28" s="5">
        <f>IFERROR(ROUND(RB28/RE28,2),0)</f>
        <v/>
      </c>
      <c r="RN28" s="2" t="inlineStr">
        <is>
          <t>2023-10-05</t>
        </is>
      </c>
      <c r="RO28" s="5">
        <f>ROUND(0.07,2)</f>
        <v/>
      </c>
      <c r="RP28" s="3">
        <f>ROUND(76.0,2)</f>
        <v/>
      </c>
      <c r="RQ28" s="3">
        <f>ROUND(7.0,2)</f>
        <v/>
      </c>
      <c r="RR28" s="3">
        <f>ROUND(0.0,2)</f>
        <v/>
      </c>
      <c r="RS28" s="3">
        <f>ROUND(0.0,2)</f>
        <v/>
      </c>
      <c r="RT28" s="3">
        <f>ROUND(0.0,2)</f>
        <v/>
      </c>
      <c r="RU28" s="3">
        <f>ROUND(0.0,2)</f>
        <v/>
      </c>
      <c r="RV28" s="3">
        <f>ROUND(0.0,2)</f>
        <v/>
      </c>
      <c r="RW28" s="4">
        <f>IFERROR((RQ28/RP28),0)</f>
        <v/>
      </c>
      <c r="RX28" s="4">
        <f>IFERROR(((0+RO11+RO12+RO13+RO14+RO15+RO16+RO17+RO19+RO20+RO21+RO22+RO23+RO24+RO25+RO27+RO28)/T2),0)</f>
        <v/>
      </c>
      <c r="RY28" s="5">
        <f>IFERROR(ROUND(RO28/RQ28,2),0)</f>
        <v/>
      </c>
      <c r="RZ28" s="5">
        <f>IFERROR(ROUND(RO28/RR28,2),0)</f>
        <v/>
      </c>
      <c r="SA28" s="2" t="inlineStr">
        <is>
          <t>2023-10-05</t>
        </is>
      </c>
      <c r="SB28" s="5">
        <f>ROUND(0.56,2)</f>
        <v/>
      </c>
      <c r="SC28" s="3">
        <f>ROUND(2074.0,2)</f>
        <v/>
      </c>
      <c r="SD28" s="3">
        <f>ROUND(56.0,2)</f>
        <v/>
      </c>
      <c r="SE28" s="3">
        <f>ROUND(0.0,2)</f>
        <v/>
      </c>
      <c r="SF28" s="3">
        <f>ROUND(0.0,2)</f>
        <v/>
      </c>
      <c r="SG28" s="3">
        <f>ROUND(0.0,2)</f>
        <v/>
      </c>
      <c r="SH28" s="3">
        <f>ROUND(0.0,2)</f>
        <v/>
      </c>
      <c r="SI28" s="3">
        <f>ROUND(0.0,2)</f>
        <v/>
      </c>
      <c r="SJ28" s="4">
        <f>IFERROR((SD28/SC28),0)</f>
        <v/>
      </c>
      <c r="SK28" s="4">
        <f>IFERROR(((0+SB11+SB12+SB13+SB14+SB15+SB16+SB17+SB19+SB20+SB21+SB22+SB23+SB24+SB25+SB27+SB28)/T2),0)</f>
        <v/>
      </c>
      <c r="SL28" s="5">
        <f>IFERROR(ROUND(SB28/SD28,2),0)</f>
        <v/>
      </c>
      <c r="SM28" s="5">
        <f>IFERROR(ROUND(SB28/SE28,2),0)</f>
        <v/>
      </c>
      <c r="SN28" s="2" t="inlineStr">
        <is>
          <t>2023-10-05</t>
        </is>
      </c>
      <c r="SO28" s="5">
        <f>ROUND(0.51,2)</f>
        <v/>
      </c>
      <c r="SP28" s="3">
        <f>ROUND(2665.0,2)</f>
        <v/>
      </c>
      <c r="SQ28" s="3">
        <f>ROUND(51.0,2)</f>
        <v/>
      </c>
      <c r="SR28" s="3">
        <f>ROUND(0.0,2)</f>
        <v/>
      </c>
      <c r="SS28" s="3">
        <f>ROUND(0.0,2)</f>
        <v/>
      </c>
      <c r="ST28" s="3">
        <f>ROUND(0.0,2)</f>
        <v/>
      </c>
      <c r="SU28" s="3">
        <f>ROUND(0.0,2)</f>
        <v/>
      </c>
      <c r="SV28" s="3">
        <f>ROUND(0.0,2)</f>
        <v/>
      </c>
      <c r="SW28" s="4">
        <f>IFERROR((SQ28/SP28),0)</f>
        <v/>
      </c>
      <c r="SX28" s="4">
        <f>IFERROR(((0+SO11+SO12+SO13+SO14+SO15+SO16+SO17+SO19+SO20+SO21+SO22+SO23+SO24+SO25+SO27+SO28)/T2),0)</f>
        <v/>
      </c>
      <c r="SY28" s="5">
        <f>IFERROR(ROUND(SO28/SQ28,2),0)</f>
        <v/>
      </c>
      <c r="SZ28" s="5">
        <f>IFERROR(ROUND(SO28/SR28,2),0)</f>
        <v/>
      </c>
    </row>
    <row r="29">
      <c r="A29" s="2" t="inlineStr">
        <is>
          <t>2023-10-06</t>
        </is>
      </c>
      <c r="B29" s="5">
        <f>ROUND(41.629999999999995,2)</f>
        <v/>
      </c>
      <c r="C29" s="3">
        <f>ROUND(124269.0,2)</f>
        <v/>
      </c>
      <c r="D29" s="3">
        <f>ROUND(4163.0,2)</f>
        <v/>
      </c>
      <c r="E29" s="3">
        <f>ROUND(0.0,2)</f>
        <v/>
      </c>
      <c r="F29" s="3">
        <f>ROUND(0.0,2)</f>
        <v/>
      </c>
      <c r="G29" s="3">
        <f>ROUND(0.0,2)</f>
        <v/>
      </c>
      <c r="H29" s="3">
        <f>ROUND(0.0,2)</f>
        <v/>
      </c>
      <c r="I29" s="3">
        <f>ROUND(0.0,2)</f>
        <v/>
      </c>
      <c r="J29" s="4">
        <f>IFERROR((D29/C29),0)</f>
        <v/>
      </c>
      <c r="K29" s="4">
        <f>IFERROR(((0+B11+B12+B13+B14+B15+B16+B17+B19+B20+B21+B22+B23+B24+B25+B27+B28+B29)/T2),0)</f>
        <v/>
      </c>
      <c r="L29" s="5">
        <f>IFERROR(ROUND(B29/D29,2),0)</f>
        <v/>
      </c>
      <c r="M29" s="5">
        <f>IFERROR(ROUND(B29/E29,2),0)</f>
        <v/>
      </c>
      <c r="N29" s="2" t="inlineStr">
        <is>
          <t>2023-10-06</t>
        </is>
      </c>
      <c r="O29" s="5">
        <f>ROUND(0.62,2)</f>
        <v/>
      </c>
      <c r="P29" s="3">
        <f>ROUND(778.0,2)</f>
        <v/>
      </c>
      <c r="Q29" s="3">
        <f>ROUND(62.0,2)</f>
        <v/>
      </c>
      <c r="R29" s="3">
        <f>ROUND(0.0,2)</f>
        <v/>
      </c>
      <c r="S29" s="3">
        <f>ROUND(0.0,2)</f>
        <v/>
      </c>
      <c r="T29" s="3">
        <f>ROUND(0.0,2)</f>
        <v/>
      </c>
      <c r="U29" s="3">
        <f>ROUND(0.0,2)</f>
        <v/>
      </c>
      <c r="V29" s="3">
        <f>ROUND(0.0,2)</f>
        <v/>
      </c>
      <c r="W29" s="4">
        <f>IFERROR((Q29/P29),0)</f>
        <v/>
      </c>
      <c r="X29" s="4">
        <f>IFERROR(((0+O11+O12+O13+O14+O15+O16+O17+O19+O20+O21+O22+O23+O24+O25+O27+O28+O29)/T2),0)</f>
        <v/>
      </c>
      <c r="Y29" s="5">
        <f>IFERROR(ROUND(O29/Q29,2),0)</f>
        <v/>
      </c>
      <c r="Z29" s="5">
        <f>IFERROR(ROUND(O29/R29,2),0)</f>
        <v/>
      </c>
      <c r="AA29" s="2" t="inlineStr">
        <is>
          <t>2023-10-06</t>
        </is>
      </c>
      <c r="AB29" s="5">
        <f>ROUND(0.06,2)</f>
        <v/>
      </c>
      <c r="AC29" s="3">
        <f>ROUND(49.0,2)</f>
        <v/>
      </c>
      <c r="AD29" s="3">
        <f>ROUND(6.0,2)</f>
        <v/>
      </c>
      <c r="AE29" s="3">
        <f>ROUND(0.0,2)</f>
        <v/>
      </c>
      <c r="AF29" s="3">
        <f>ROUND(0.0,2)</f>
        <v/>
      </c>
      <c r="AG29" s="3">
        <f>ROUND(0.0,2)</f>
        <v/>
      </c>
      <c r="AH29" s="3">
        <f>ROUND(0.0,2)</f>
        <v/>
      </c>
      <c r="AI29" s="3">
        <f>ROUND(0.0,2)</f>
        <v/>
      </c>
      <c r="AJ29" s="4">
        <f>IFERROR((AD29/AC29),0)</f>
        <v/>
      </c>
      <c r="AK29" s="4">
        <f>IFERROR(((0+AB11+AB12+AB13+AB14+AB15+AB16+AB17+AB19+AB20+AB21+AB22+AB23+AB24+AB25+AB27+AB28+AB29)/T2),0)</f>
        <v/>
      </c>
      <c r="AL29" s="5">
        <f>IFERROR(ROUND(AB29/AD29,2),0)</f>
        <v/>
      </c>
      <c r="AM29" s="5">
        <f>IFERROR(ROUND(AB29/AE29,2),0)</f>
        <v/>
      </c>
      <c r="AN29" s="2" t="inlineStr">
        <is>
          <t>2023-10-06</t>
        </is>
      </c>
      <c r="AO29" s="5">
        <f>ROUND(3.94,2)</f>
        <v/>
      </c>
      <c r="AP29" s="3">
        <f>ROUND(21917.0,2)</f>
        <v/>
      </c>
      <c r="AQ29" s="3">
        <f>ROUND(394.0,2)</f>
        <v/>
      </c>
      <c r="AR29" s="3">
        <f>ROUND(0.0,2)</f>
        <v/>
      </c>
      <c r="AS29" s="3">
        <f>ROUND(0.0,2)</f>
        <v/>
      </c>
      <c r="AT29" s="3">
        <f>ROUND(0.0,2)</f>
        <v/>
      </c>
      <c r="AU29" s="3">
        <f>ROUND(0.0,2)</f>
        <v/>
      </c>
      <c r="AV29" s="3">
        <f>ROUND(0.0,2)</f>
        <v/>
      </c>
      <c r="AW29" s="4">
        <f>IFERROR((AQ29/AP29),0)</f>
        <v/>
      </c>
      <c r="AX29" s="4">
        <f>IFERROR(((0+AO11+AO12+AO13+AO14+AO15+AO16+AO17+AO19+AO20+AO21+AO22+AO23+AO24+AO25+AO27+AO28+AO29)/T2),0)</f>
        <v/>
      </c>
      <c r="AY29" s="5">
        <f>IFERROR(ROUND(AO29/AQ29,2),0)</f>
        <v/>
      </c>
      <c r="AZ29" s="5">
        <f>IFERROR(ROUND(AO29/AR29,2),0)</f>
        <v/>
      </c>
      <c r="BA29" s="2" t="inlineStr">
        <is>
          <t>2023-10-06</t>
        </is>
      </c>
      <c r="BB29" s="5">
        <f>ROUND(0.02,2)</f>
        <v/>
      </c>
      <c r="BC29" s="3">
        <f>ROUND(52.0,2)</f>
        <v/>
      </c>
      <c r="BD29" s="3">
        <f>ROUND(2.0,2)</f>
        <v/>
      </c>
      <c r="BE29" s="3">
        <f>ROUND(0.0,2)</f>
        <v/>
      </c>
      <c r="BF29" s="3">
        <f>ROUND(0.0,2)</f>
        <v/>
      </c>
      <c r="BG29" s="3">
        <f>ROUND(0.0,2)</f>
        <v/>
      </c>
      <c r="BH29" s="3">
        <f>ROUND(0.0,2)</f>
        <v/>
      </c>
      <c r="BI29" s="3">
        <f>ROUND(0.0,2)</f>
        <v/>
      </c>
      <c r="BJ29" s="4">
        <f>IFERROR((BD29/BC29),0)</f>
        <v/>
      </c>
      <c r="BK29" s="4">
        <f>IFERROR(((0+BB11+BB12+BB13+BB14+BB15+BB16+BB17+BB19+BB20+BB21+BB22+BB23+BB24+BB25+BB27+BB28+BB29)/T2),0)</f>
        <v/>
      </c>
      <c r="BL29" s="5">
        <f>IFERROR(ROUND(BB29/BD29,2),0)</f>
        <v/>
      </c>
      <c r="BM29" s="5">
        <f>IFERROR(ROUND(BB29/BE29,2),0)</f>
        <v/>
      </c>
      <c r="BN29" s="2" t="inlineStr">
        <is>
          <t>2023-10-06</t>
        </is>
      </c>
      <c r="BO29" s="5">
        <f>ROUND(0.45,2)</f>
        <v/>
      </c>
      <c r="BP29" s="3">
        <f>ROUND(569.0,2)</f>
        <v/>
      </c>
      <c r="BQ29" s="3">
        <f>ROUND(45.0,2)</f>
        <v/>
      </c>
      <c r="BR29" s="3">
        <f>ROUND(0.0,2)</f>
        <v/>
      </c>
      <c r="BS29" s="3">
        <f>ROUND(0.0,2)</f>
        <v/>
      </c>
      <c r="BT29" s="3">
        <f>ROUND(0.0,2)</f>
        <v/>
      </c>
      <c r="BU29" s="3">
        <f>ROUND(0.0,2)</f>
        <v/>
      </c>
      <c r="BV29" s="3">
        <f>ROUND(0.0,2)</f>
        <v/>
      </c>
      <c r="BW29" s="4">
        <f>IFERROR((BQ29/BP29),0)</f>
        <v/>
      </c>
      <c r="BX29" s="4">
        <f>IFERROR(((0+BO11+BO12+BO13+BO14+BO15+BO16+BO17+BO19+BO20+BO21+BO22+BO23+BO24+BO25+BO27+BO28+BO29)/T2),0)</f>
        <v/>
      </c>
      <c r="BY29" s="5">
        <f>IFERROR(ROUND(BO29/BQ29,2),0)</f>
        <v/>
      </c>
      <c r="BZ29" s="5">
        <f>IFERROR(ROUND(BO29/BR29,2),0)</f>
        <v/>
      </c>
      <c r="CA29" s="2" t="inlineStr">
        <is>
          <t>2023-10-06</t>
        </is>
      </c>
      <c r="CB29" s="5">
        <f>ROUND(0.05,2)</f>
        <v/>
      </c>
      <c r="CC29" s="3">
        <f>ROUND(79.0,2)</f>
        <v/>
      </c>
      <c r="CD29" s="3">
        <f>ROUND(5.0,2)</f>
        <v/>
      </c>
      <c r="CE29" s="3">
        <f>ROUND(0.0,2)</f>
        <v/>
      </c>
      <c r="CF29" s="3">
        <f>ROUND(0.0,2)</f>
        <v/>
      </c>
      <c r="CG29" s="3">
        <f>ROUND(0.0,2)</f>
        <v/>
      </c>
      <c r="CH29" s="3">
        <f>ROUND(0.0,2)</f>
        <v/>
      </c>
      <c r="CI29" s="3">
        <f>ROUND(0.0,2)</f>
        <v/>
      </c>
      <c r="CJ29" s="4">
        <f>IFERROR((CD29/CC29),0)</f>
        <v/>
      </c>
      <c r="CK29" s="4">
        <f>IFERROR(((0+CB11+CB12+CB13+CB14+CB15+CB16+CB17+CB19+CB20+CB21+CB22+CB23+CB24+CB25+CB27+CB28+CB29)/T2),0)</f>
        <v/>
      </c>
      <c r="CL29" s="5">
        <f>IFERROR(ROUND(CB29/CD29,2),0)</f>
        <v/>
      </c>
      <c r="CM29" s="5">
        <f>IFERROR(ROUND(CB29/CE29,2),0)</f>
        <v/>
      </c>
      <c r="CN29" s="2" t="inlineStr">
        <is>
          <t>2023-10-06</t>
        </is>
      </c>
      <c r="CO29" s="5">
        <f>ROUND(0.74,2)</f>
        <v/>
      </c>
      <c r="CP29" s="3">
        <f>ROUND(3770.0,2)</f>
        <v/>
      </c>
      <c r="CQ29" s="3">
        <f>ROUND(74.0,2)</f>
        <v/>
      </c>
      <c r="CR29" s="3">
        <f>ROUND(0.0,2)</f>
        <v/>
      </c>
      <c r="CS29" s="3">
        <f>ROUND(0.0,2)</f>
        <v/>
      </c>
      <c r="CT29" s="3">
        <f>ROUND(0.0,2)</f>
        <v/>
      </c>
      <c r="CU29" s="3">
        <f>ROUND(0.0,2)</f>
        <v/>
      </c>
      <c r="CV29" s="3">
        <f>ROUND(0.0,2)</f>
        <v/>
      </c>
      <c r="CW29" s="4">
        <f>IFERROR((CQ29/CP29),0)</f>
        <v/>
      </c>
      <c r="CX29" s="4">
        <f>IFERROR(((0+CO11+CO12+CO13+CO14+CO15+CO16+CO17+CO19+CO20+CO21+CO22+CO23+CO24+CO25+CO27+CO28+CO29)/T2),0)</f>
        <v/>
      </c>
      <c r="CY29" s="5">
        <f>IFERROR(ROUND(CO29/CQ29,2),0)</f>
        <v/>
      </c>
      <c r="CZ29" s="5">
        <f>IFERROR(ROUND(CO29/CR29,2),0)</f>
        <v/>
      </c>
      <c r="DA29" s="2" t="inlineStr">
        <is>
          <t>2023-10-06</t>
        </is>
      </c>
      <c r="DB29" s="5">
        <f>ROUND(1.45,2)</f>
        <v/>
      </c>
      <c r="DC29" s="3">
        <f>ROUND(3721.0,2)</f>
        <v/>
      </c>
      <c r="DD29" s="3">
        <f>ROUND(145.0,2)</f>
        <v/>
      </c>
      <c r="DE29" s="3">
        <f>ROUND(0.0,2)</f>
        <v/>
      </c>
      <c r="DF29" s="3">
        <f>ROUND(0.0,2)</f>
        <v/>
      </c>
      <c r="DG29" s="3">
        <f>ROUND(0.0,2)</f>
        <v/>
      </c>
      <c r="DH29" s="3">
        <f>ROUND(0.0,2)</f>
        <v/>
      </c>
      <c r="DI29" s="3">
        <f>ROUND(0.0,2)</f>
        <v/>
      </c>
      <c r="DJ29" s="4">
        <f>IFERROR((DD29/DC29),0)</f>
        <v/>
      </c>
      <c r="DK29" s="4">
        <f>IFERROR(((0+DB11+DB12+DB13+DB14+DB15+DB16+DB17+DB19+DB20+DB21+DB22+DB23+DB24+DB25+DB27+DB28+DB29)/T2),0)</f>
        <v/>
      </c>
      <c r="DL29" s="5">
        <f>IFERROR(ROUND(DB29/DD29,2),0)</f>
        <v/>
      </c>
      <c r="DM29" s="5">
        <f>IFERROR(ROUND(DB29/DE29,2),0)</f>
        <v/>
      </c>
      <c r="DN29" s="2" t="inlineStr">
        <is>
          <t>2023-10-06</t>
        </is>
      </c>
      <c r="DO29" s="5">
        <f>ROUND(0.02,2)</f>
        <v/>
      </c>
      <c r="DP29" s="3">
        <f>ROUND(265.0,2)</f>
        <v/>
      </c>
      <c r="DQ29" s="3">
        <f>ROUND(2.0,2)</f>
        <v/>
      </c>
      <c r="DR29" s="3">
        <f>ROUND(0.0,2)</f>
        <v/>
      </c>
      <c r="DS29" s="3">
        <f>ROUND(0.0,2)</f>
        <v/>
      </c>
      <c r="DT29" s="3">
        <f>ROUND(0.0,2)</f>
        <v/>
      </c>
      <c r="DU29" s="3">
        <f>ROUND(0.0,2)</f>
        <v/>
      </c>
      <c r="DV29" s="3">
        <f>ROUND(0.0,2)</f>
        <v/>
      </c>
      <c r="DW29" s="4">
        <f>IFERROR((DQ29/DP29),0)</f>
        <v/>
      </c>
      <c r="DX29" s="4">
        <f>IFERROR(((0+DO11+DO12+DO13+DO14+DO15+DO16+DO17+DO19+DO20+DO21+DO22+DO23+DO24+DO25+DO27+DO28+DO29)/T2),0)</f>
        <v/>
      </c>
      <c r="DY29" s="5">
        <f>IFERROR(ROUND(DO29/DQ29,2),0)</f>
        <v/>
      </c>
      <c r="DZ29" s="5">
        <f>IFERROR(ROUND(DO29/DR29,2),0)</f>
        <v/>
      </c>
      <c r="EA29" s="2" t="inlineStr">
        <is>
          <t>2023-10-06</t>
        </is>
      </c>
      <c r="EB29" s="5">
        <f>ROUND(3.41,2)</f>
        <v/>
      </c>
      <c r="EC29" s="3">
        <f>ROUND(21640.0,2)</f>
        <v/>
      </c>
      <c r="ED29" s="3">
        <f>ROUND(341.0,2)</f>
        <v/>
      </c>
      <c r="EE29" s="3">
        <f>ROUND(0.0,2)</f>
        <v/>
      </c>
      <c r="EF29" s="3">
        <f>ROUND(0.0,2)</f>
        <v/>
      </c>
      <c r="EG29" s="3">
        <f>ROUND(0.0,2)</f>
        <v/>
      </c>
      <c r="EH29" s="3">
        <f>ROUND(0.0,2)</f>
        <v/>
      </c>
      <c r="EI29" s="3">
        <f>ROUND(0.0,2)</f>
        <v/>
      </c>
      <c r="EJ29" s="4">
        <f>IFERROR((ED29/EC29),0)</f>
        <v/>
      </c>
      <c r="EK29" s="4">
        <f>IFERROR(((0+EB11+EB12+EB13+EB14+EB15+EB16+EB17+EB19+EB20+EB21+EB22+EB23+EB24+EB25+EB27+EB28+EB29)/T2),0)</f>
        <v/>
      </c>
      <c r="EL29" s="5">
        <f>IFERROR(ROUND(EB29/ED29,2),0)</f>
        <v/>
      </c>
      <c r="EM29" s="5">
        <f>IFERROR(ROUND(EB29/EE29,2),0)</f>
        <v/>
      </c>
      <c r="EN29" s="2" t="inlineStr">
        <is>
          <t>2023-10-06</t>
        </is>
      </c>
      <c r="EO29" s="5">
        <f>ROUND(7.0,2)</f>
        <v/>
      </c>
      <c r="EP29" s="3">
        <f>ROUND(10675.0,2)</f>
        <v/>
      </c>
      <c r="EQ29" s="3">
        <f>ROUND(700.0,2)</f>
        <v/>
      </c>
      <c r="ER29" s="3">
        <f>ROUND(0.0,2)</f>
        <v/>
      </c>
      <c r="ES29" s="3">
        <f>ROUND(0.0,2)</f>
        <v/>
      </c>
      <c r="ET29" s="3">
        <f>ROUND(0.0,2)</f>
        <v/>
      </c>
      <c r="EU29" s="3">
        <f>ROUND(0.0,2)</f>
        <v/>
      </c>
      <c r="EV29" s="3">
        <f>ROUND(0.0,2)</f>
        <v/>
      </c>
      <c r="EW29" s="4">
        <f>IFERROR((EQ29/EP29),0)</f>
        <v/>
      </c>
      <c r="EX29" s="4">
        <f>IFERROR(((0+EO11+EO12+EO13+EO14+EO15+EO16+EO17+EO19+EO20+EO21+EO22+EO23+EO24+EO25+EO27+EO28+EO29)/T2),0)</f>
        <v/>
      </c>
      <c r="EY29" s="5">
        <f>IFERROR(ROUND(EO29/EQ29,2),0)</f>
        <v/>
      </c>
      <c r="EZ29" s="5">
        <f>IFERROR(ROUND(EO29/ER29,2),0)</f>
        <v/>
      </c>
      <c r="FA29" s="2" t="inlineStr">
        <is>
          <t>2023-10-06</t>
        </is>
      </c>
      <c r="FB29" s="5">
        <f>ROUND(0.08,2)</f>
        <v/>
      </c>
      <c r="FC29" s="3">
        <f>ROUND(785.0,2)</f>
        <v/>
      </c>
      <c r="FD29" s="3">
        <f>ROUND(8.0,2)</f>
        <v/>
      </c>
      <c r="FE29" s="3">
        <f>ROUND(0.0,2)</f>
        <v/>
      </c>
      <c r="FF29" s="3">
        <f>ROUND(0.0,2)</f>
        <v/>
      </c>
      <c r="FG29" s="3">
        <f>ROUND(0.0,2)</f>
        <v/>
      </c>
      <c r="FH29" s="3">
        <f>ROUND(0.0,2)</f>
        <v/>
      </c>
      <c r="FI29" s="3">
        <f>ROUND(0.0,2)</f>
        <v/>
      </c>
      <c r="FJ29" s="4">
        <f>IFERROR((FD29/FC29),0)</f>
        <v/>
      </c>
      <c r="FK29" s="4">
        <f>IFERROR(((0+FB11+FB12+FB13+FB14+FB15+FB16+FB17+FB19+FB20+FB21+FB22+FB23+FB24+FB25+FB27+FB28+FB29)/T2),0)</f>
        <v/>
      </c>
      <c r="FL29" s="5">
        <f>IFERROR(ROUND(FB29/FD29,2),0)</f>
        <v/>
      </c>
      <c r="FM29" s="5">
        <f>IFERROR(ROUND(FB29/FE29,2),0)</f>
        <v/>
      </c>
      <c r="FN29" s="2" t="inlineStr">
        <is>
          <t>2023-10-06</t>
        </is>
      </c>
      <c r="FO29" s="5">
        <f>ROUND(0.34,2)</f>
        <v/>
      </c>
      <c r="FP29" s="3">
        <f>ROUND(620.0,2)</f>
        <v/>
      </c>
      <c r="FQ29" s="3">
        <f>ROUND(34.0,2)</f>
        <v/>
      </c>
      <c r="FR29" s="3">
        <f>ROUND(0.0,2)</f>
        <v/>
      </c>
      <c r="FS29" s="3">
        <f>ROUND(0.0,2)</f>
        <v/>
      </c>
      <c r="FT29" s="3">
        <f>ROUND(0.0,2)</f>
        <v/>
      </c>
      <c r="FU29" s="3">
        <f>ROUND(0.0,2)</f>
        <v/>
      </c>
      <c r="FV29" s="3">
        <f>ROUND(0.0,2)</f>
        <v/>
      </c>
      <c r="FW29" s="4">
        <f>IFERROR((FQ29/FP29),0)</f>
        <v/>
      </c>
      <c r="FX29" s="4">
        <f>IFERROR(((0+FO11+FO12+FO13+FO14+FO15+FO16+FO17+FO19+FO20+FO21+FO22+FO23+FO24+FO25+FO27+FO28+FO29)/T2),0)</f>
        <v/>
      </c>
      <c r="FY29" s="5">
        <f>IFERROR(ROUND(FO29/FQ29,2),0)</f>
        <v/>
      </c>
      <c r="FZ29" s="5">
        <f>IFERROR(ROUND(FO29/FR29,2),0)</f>
        <v/>
      </c>
      <c r="GA29" s="2" t="inlineStr">
        <is>
          <t>2023-10-06</t>
        </is>
      </c>
      <c r="GB29" s="5">
        <f>ROUND(0.02,2)</f>
        <v/>
      </c>
      <c r="GC29" s="3">
        <f>ROUND(52.0,2)</f>
        <v/>
      </c>
      <c r="GD29" s="3">
        <f>ROUND(2.0,2)</f>
        <v/>
      </c>
      <c r="GE29" s="3">
        <f>ROUND(0.0,2)</f>
        <v/>
      </c>
      <c r="GF29" s="3">
        <f>ROUND(0.0,2)</f>
        <v/>
      </c>
      <c r="GG29" s="3">
        <f>ROUND(0.0,2)</f>
        <v/>
      </c>
      <c r="GH29" s="3">
        <f>ROUND(0.0,2)</f>
        <v/>
      </c>
      <c r="GI29" s="3">
        <f>ROUND(0.0,2)</f>
        <v/>
      </c>
      <c r="GJ29" s="4">
        <f>IFERROR((GD29/GC29),0)</f>
        <v/>
      </c>
      <c r="GK29" s="4">
        <f>IFERROR(((0+GB11+GB12+GB13+GB14+GB15+GB16+GB17+GB19+GB20+GB21+GB22+GB23+GB24+GB25+GB27+GB28+GB29)/T2),0)</f>
        <v/>
      </c>
      <c r="GL29" s="5">
        <f>IFERROR(ROUND(GB29/GD29,2),0)</f>
        <v/>
      </c>
      <c r="GM29" s="5">
        <f>IFERROR(ROUND(GB29/GE29,2),0)</f>
        <v/>
      </c>
      <c r="GN29" s="2" t="inlineStr">
        <is>
          <t>2023-10-06</t>
        </is>
      </c>
      <c r="GO29" s="5">
        <f>ROUND(0.44,2)</f>
        <v/>
      </c>
      <c r="GP29" s="3">
        <f>ROUND(846.0,2)</f>
        <v/>
      </c>
      <c r="GQ29" s="3">
        <f>ROUND(44.0,2)</f>
        <v/>
      </c>
      <c r="GR29" s="3">
        <f>ROUND(0.0,2)</f>
        <v/>
      </c>
      <c r="GS29" s="3">
        <f>ROUND(0.0,2)</f>
        <v/>
      </c>
      <c r="GT29" s="3">
        <f>ROUND(0.0,2)</f>
        <v/>
      </c>
      <c r="GU29" s="3">
        <f>ROUND(0.0,2)</f>
        <v/>
      </c>
      <c r="GV29" s="3">
        <f>ROUND(0.0,2)</f>
        <v/>
      </c>
      <c r="GW29" s="4">
        <f>IFERROR((GQ29/GP29),0)</f>
        <v/>
      </c>
      <c r="GX29" s="4">
        <f>IFERROR(((0+GO11+GO12+GO13+GO14+GO15+GO16+GO17+GO19+GO20+GO21+GO22+GO23+GO24+GO25+GO27+GO28+GO29)/T2),0)</f>
        <v/>
      </c>
      <c r="GY29" s="5">
        <f>IFERROR(ROUND(GO29/GQ29,2),0)</f>
        <v/>
      </c>
      <c r="GZ29" s="5">
        <f>IFERROR(ROUND(GO29/GR29,2),0)</f>
        <v/>
      </c>
      <c r="HA29" s="2" t="inlineStr">
        <is>
          <t>2023-10-06</t>
        </is>
      </c>
      <c r="HB29" s="5">
        <f>ROUND(5.67,2)</f>
        <v/>
      </c>
      <c r="HC29" s="3">
        <f>ROUND(9562.0,2)</f>
        <v/>
      </c>
      <c r="HD29" s="3">
        <f>ROUND(567.0,2)</f>
        <v/>
      </c>
      <c r="HE29" s="3">
        <f>ROUND(0.0,2)</f>
        <v/>
      </c>
      <c r="HF29" s="3">
        <f>ROUND(0.0,2)</f>
        <v/>
      </c>
      <c r="HG29" s="3">
        <f>ROUND(0.0,2)</f>
        <v/>
      </c>
      <c r="HH29" s="3">
        <f>ROUND(0.0,2)</f>
        <v/>
      </c>
      <c r="HI29" s="3">
        <f>ROUND(0.0,2)</f>
        <v/>
      </c>
      <c r="HJ29" s="4">
        <f>IFERROR((HD29/HC29),0)</f>
        <v/>
      </c>
      <c r="HK29" s="4">
        <f>IFERROR(((0+HB11+HB12+HB13+HB14+HB15+HB16+HB17+HB19+HB20+HB21+HB22+HB23+HB24+HB25+HB27+HB28+HB29)/T2),0)</f>
        <v/>
      </c>
      <c r="HL29" s="5">
        <f>IFERROR(ROUND(HB29/HD29,2),0)</f>
        <v/>
      </c>
      <c r="HM29" s="5">
        <f>IFERROR(ROUND(HB29/HE29,2),0)</f>
        <v/>
      </c>
      <c r="HN29" s="2" t="inlineStr">
        <is>
          <t>2023-10-06</t>
        </is>
      </c>
      <c r="HO29" s="5">
        <f>ROUND(0.01,2)</f>
        <v/>
      </c>
      <c r="HP29" s="3">
        <f>ROUND(45.0,2)</f>
        <v/>
      </c>
      <c r="HQ29" s="3">
        <f>ROUND(1.0,2)</f>
        <v/>
      </c>
      <c r="HR29" s="3">
        <f>ROUND(0.0,2)</f>
        <v/>
      </c>
      <c r="HS29" s="3">
        <f>ROUND(0.0,2)</f>
        <v/>
      </c>
      <c r="HT29" s="3">
        <f>ROUND(0.0,2)</f>
        <v/>
      </c>
      <c r="HU29" s="3">
        <f>ROUND(0.0,2)</f>
        <v/>
      </c>
      <c r="HV29" s="3">
        <f>ROUND(0.0,2)</f>
        <v/>
      </c>
      <c r="HW29" s="4">
        <f>IFERROR((HQ29/HP29),0)</f>
        <v/>
      </c>
      <c r="HX29" s="4">
        <f>IFERROR(((0+HO11+HO12+HO13+HO14+HO15+HO16+HO17+HO19+HO20+HO21+HO22+HO23+HO24+HO25+HO27+HO28+HO29)/T2),0)</f>
        <v/>
      </c>
      <c r="HY29" s="5">
        <f>IFERROR(ROUND(HO29/HQ29,2),0)</f>
        <v/>
      </c>
      <c r="HZ29" s="5">
        <f>IFERROR(ROUND(HO29/HR29,2),0)</f>
        <v/>
      </c>
      <c r="IA29" s="2" t="inlineStr">
        <is>
          <t>2023-10-06</t>
        </is>
      </c>
      <c r="IB29" s="5">
        <f>ROUND(0.34,2)</f>
        <v/>
      </c>
      <c r="IC29" s="3">
        <f>ROUND(528.0,2)</f>
        <v/>
      </c>
      <c r="ID29" s="3">
        <f>ROUND(34.0,2)</f>
        <v/>
      </c>
      <c r="IE29" s="3">
        <f>ROUND(0.0,2)</f>
        <v/>
      </c>
      <c r="IF29" s="3">
        <f>ROUND(0.0,2)</f>
        <v/>
      </c>
      <c r="IG29" s="3">
        <f>ROUND(0.0,2)</f>
        <v/>
      </c>
      <c r="IH29" s="3">
        <f>ROUND(0.0,2)</f>
        <v/>
      </c>
      <c r="II29" s="3">
        <f>ROUND(0.0,2)</f>
        <v/>
      </c>
      <c r="IJ29" s="4">
        <f>IFERROR((ID29/IC29),0)</f>
        <v/>
      </c>
      <c r="IK29" s="4">
        <f>IFERROR(((0+IB11+IB12+IB13+IB14+IB15+IB16+IB17+IB19+IB20+IB21+IB22+IB23+IB24+IB25+IB27+IB28+IB29)/T2),0)</f>
        <v/>
      </c>
      <c r="IL29" s="5">
        <f>IFERROR(ROUND(IB29/ID29,2),0)</f>
        <v/>
      </c>
      <c r="IM29" s="5">
        <f>IFERROR(ROUND(IB29/IE29,2),0)</f>
        <v/>
      </c>
      <c r="IN29" s="2" t="inlineStr">
        <is>
          <t>2023-10-06</t>
        </is>
      </c>
      <c r="IO29" s="5">
        <f>ROUND(0.52,2)</f>
        <v/>
      </c>
      <c r="IP29" s="3">
        <f>ROUND(1976.0,2)</f>
        <v/>
      </c>
      <c r="IQ29" s="3">
        <f>ROUND(52.0,2)</f>
        <v/>
      </c>
      <c r="IR29" s="3">
        <f>ROUND(0.0,2)</f>
        <v/>
      </c>
      <c r="IS29" s="3">
        <f>ROUND(0.0,2)</f>
        <v/>
      </c>
      <c r="IT29" s="3">
        <f>ROUND(0.0,2)</f>
        <v/>
      </c>
      <c r="IU29" s="3">
        <f>ROUND(0.0,2)</f>
        <v/>
      </c>
      <c r="IV29" s="3">
        <f>ROUND(0.0,2)</f>
        <v/>
      </c>
      <c r="IW29" s="4">
        <f>IFERROR((IQ29/IP29),0)</f>
        <v/>
      </c>
      <c r="IX29" s="4">
        <f>IFERROR(((0+IO11+IO12+IO13+IO14+IO15+IO16+IO17+IO19+IO20+IO21+IO22+IO23+IO24+IO25+IO27+IO28+IO29)/T2),0)</f>
        <v/>
      </c>
      <c r="IY29" s="5">
        <f>IFERROR(ROUND(IO29/IQ29,2),0)</f>
        <v/>
      </c>
      <c r="IZ29" s="5">
        <f>IFERROR(ROUND(IO29/IR29,2),0)</f>
        <v/>
      </c>
      <c r="JA29" s="2" t="inlineStr">
        <is>
          <t>2023-10-06</t>
        </is>
      </c>
      <c r="JB29" s="5">
        <f>ROUND(0.73,2)</f>
        <v/>
      </c>
      <c r="JC29" s="3">
        <f>ROUND(1453.0,2)</f>
        <v/>
      </c>
      <c r="JD29" s="3">
        <f>ROUND(73.0,2)</f>
        <v/>
      </c>
      <c r="JE29" s="3">
        <f>ROUND(0.0,2)</f>
        <v/>
      </c>
      <c r="JF29" s="3">
        <f>ROUND(0.0,2)</f>
        <v/>
      </c>
      <c r="JG29" s="3">
        <f>ROUND(0.0,2)</f>
        <v/>
      </c>
      <c r="JH29" s="3">
        <f>ROUND(0.0,2)</f>
        <v/>
      </c>
      <c r="JI29" s="3">
        <f>ROUND(0.0,2)</f>
        <v/>
      </c>
      <c r="JJ29" s="4">
        <f>IFERROR((JD29/JC29),0)</f>
        <v/>
      </c>
      <c r="JK29" s="4">
        <f>IFERROR(((0+JB11+JB12+JB13+JB14+JB15+JB16+JB17+JB19+JB20+JB21+JB22+JB23+JB24+JB25+JB27+JB28+JB29)/T2),0)</f>
        <v/>
      </c>
      <c r="JL29" s="5">
        <f>IFERROR(ROUND(JB29/JD29,2),0)</f>
        <v/>
      </c>
      <c r="JM29" s="5">
        <f>IFERROR(ROUND(JB29/JE29,2),0)</f>
        <v/>
      </c>
      <c r="JN29" s="2" t="inlineStr">
        <is>
          <t>2023-10-06</t>
        </is>
      </c>
      <c r="JO29" s="5">
        <f>ROUND(0.6000000000000001,2)</f>
        <v/>
      </c>
      <c r="JP29" s="3">
        <f>ROUND(1603.0,2)</f>
        <v/>
      </c>
      <c r="JQ29" s="3">
        <f>ROUND(60.0,2)</f>
        <v/>
      </c>
      <c r="JR29" s="3">
        <f>ROUND(0.0,2)</f>
        <v/>
      </c>
      <c r="JS29" s="3">
        <f>ROUND(0.0,2)</f>
        <v/>
      </c>
      <c r="JT29" s="3">
        <f>ROUND(0.0,2)</f>
        <v/>
      </c>
      <c r="JU29" s="3">
        <f>ROUND(0.0,2)</f>
        <v/>
      </c>
      <c r="JV29" s="3">
        <f>ROUND(0.0,2)</f>
        <v/>
      </c>
      <c r="JW29" s="4">
        <f>IFERROR((JQ29/JP29),0)</f>
        <v/>
      </c>
      <c r="JX29" s="4">
        <f>IFERROR(((0+JO11+JO12+JO13+JO14+JO15+JO16+JO17+JO19+JO20+JO21+JO22+JO23+JO24+JO25+JO27+JO28+JO29)/T2),0)</f>
        <v/>
      </c>
      <c r="JY29" s="5">
        <f>IFERROR(ROUND(JO29/JQ29,2),0)</f>
        <v/>
      </c>
      <c r="JZ29" s="5">
        <f>IFERROR(ROUND(JO29/JR29,2),0)</f>
        <v/>
      </c>
      <c r="KA29" s="2" t="inlineStr">
        <is>
          <t>2023-10-06</t>
        </is>
      </c>
      <c r="KB29" s="5">
        <f>ROUND(2.5799999999999996,2)</f>
        <v/>
      </c>
      <c r="KC29" s="3">
        <f>ROUND(3523.0,2)</f>
        <v/>
      </c>
      <c r="KD29" s="3">
        <f>ROUND(258.0,2)</f>
        <v/>
      </c>
      <c r="KE29" s="3">
        <f>ROUND(0.0,2)</f>
        <v/>
      </c>
      <c r="KF29" s="3">
        <f>ROUND(0.0,2)</f>
        <v/>
      </c>
      <c r="KG29" s="3">
        <f>ROUND(0.0,2)</f>
        <v/>
      </c>
      <c r="KH29" s="3">
        <f>ROUND(0.0,2)</f>
        <v/>
      </c>
      <c r="KI29" s="3">
        <f>ROUND(0.0,2)</f>
        <v/>
      </c>
      <c r="KJ29" s="4">
        <f>IFERROR((KD29/KC29),0)</f>
        <v/>
      </c>
      <c r="KK29" s="4">
        <f>IFERROR(((0+KB11+KB12+KB13+KB14+KB15+KB16+KB17+KB19+KB20+KB21+KB22+KB23+KB24+KB25+KB27+KB28+KB29)/T2),0)</f>
        <v/>
      </c>
      <c r="KL29" s="5">
        <f>IFERROR(ROUND(KB29/KD29,2),0)</f>
        <v/>
      </c>
      <c r="KM29" s="5">
        <f>IFERROR(ROUND(KB29/KE29,2),0)</f>
        <v/>
      </c>
      <c r="KN29" s="2" t="inlineStr">
        <is>
          <t>2023-10-06</t>
        </is>
      </c>
      <c r="KO29" s="5">
        <f>ROUND(1.96,2)</f>
        <v/>
      </c>
      <c r="KP29" s="3">
        <f>ROUND(13184.0,2)</f>
        <v/>
      </c>
      <c r="KQ29" s="3">
        <f>ROUND(196.0,2)</f>
        <v/>
      </c>
      <c r="KR29" s="3">
        <f>ROUND(0.0,2)</f>
        <v/>
      </c>
      <c r="KS29" s="3">
        <f>ROUND(0.0,2)</f>
        <v/>
      </c>
      <c r="KT29" s="3">
        <f>ROUND(0.0,2)</f>
        <v/>
      </c>
      <c r="KU29" s="3">
        <f>ROUND(0.0,2)</f>
        <v/>
      </c>
      <c r="KV29" s="3">
        <f>ROUND(0.0,2)</f>
        <v/>
      </c>
      <c r="KW29" s="4">
        <f>IFERROR((KQ29/KP29),0)</f>
        <v/>
      </c>
      <c r="KX29" s="4">
        <f>IFERROR(((0+KO11+KO12+KO13+KO14+KO15+KO16+KO17+KO19+KO20+KO21+KO22+KO23+KO24+KO25+KO27+KO28+KO29)/T2),0)</f>
        <v/>
      </c>
      <c r="KY29" s="5">
        <f>IFERROR(ROUND(KO29/KQ29,2),0)</f>
        <v/>
      </c>
      <c r="KZ29" s="5">
        <f>IFERROR(ROUND(KO29/KR29,2),0)</f>
        <v/>
      </c>
      <c r="LA29" s="2" t="inlineStr">
        <is>
          <t>2023-10-06</t>
        </is>
      </c>
      <c r="LB29" s="5">
        <f>ROUND(0.14,2)</f>
        <v/>
      </c>
      <c r="LC29" s="3">
        <f>ROUND(859.0,2)</f>
        <v/>
      </c>
      <c r="LD29" s="3">
        <f>ROUND(14.0,2)</f>
        <v/>
      </c>
      <c r="LE29" s="3">
        <f>ROUND(0.0,2)</f>
        <v/>
      </c>
      <c r="LF29" s="3">
        <f>ROUND(0.0,2)</f>
        <v/>
      </c>
      <c r="LG29" s="3">
        <f>ROUND(0.0,2)</f>
        <v/>
      </c>
      <c r="LH29" s="3">
        <f>ROUND(0.0,2)</f>
        <v/>
      </c>
      <c r="LI29" s="3">
        <f>ROUND(0.0,2)</f>
        <v/>
      </c>
      <c r="LJ29" s="4">
        <f>IFERROR((LD29/LC29),0)</f>
        <v/>
      </c>
      <c r="LK29" s="4">
        <f>IFERROR(((0+LB11+LB12+LB13+LB14+LB15+LB16+LB17+LB19+LB20+LB21+LB22+LB23+LB24+LB25+LB27+LB28+LB29)/T2),0)</f>
        <v/>
      </c>
      <c r="LL29" s="5">
        <f>IFERROR(ROUND(LB29/LD29,2),0)</f>
        <v/>
      </c>
      <c r="LM29" s="5">
        <f>IFERROR(ROUND(LB29/LE29,2),0)</f>
        <v/>
      </c>
      <c r="LN29" s="2" t="inlineStr">
        <is>
          <t>2023-10-06</t>
        </is>
      </c>
      <c r="LO29" s="5">
        <f>ROUND(0.12,2)</f>
        <v/>
      </c>
      <c r="LP29" s="3">
        <f>ROUND(468.0,2)</f>
        <v/>
      </c>
      <c r="LQ29" s="3">
        <f>ROUND(12.0,2)</f>
        <v/>
      </c>
      <c r="LR29" s="3">
        <f>ROUND(0.0,2)</f>
        <v/>
      </c>
      <c r="LS29" s="3">
        <f>ROUND(0.0,2)</f>
        <v/>
      </c>
      <c r="LT29" s="3">
        <f>ROUND(0.0,2)</f>
        <v/>
      </c>
      <c r="LU29" s="3">
        <f>ROUND(0.0,2)</f>
        <v/>
      </c>
      <c r="LV29" s="3">
        <f>ROUND(0.0,2)</f>
        <v/>
      </c>
      <c r="LW29" s="4">
        <f>IFERROR((LQ29/LP29),0)</f>
        <v/>
      </c>
      <c r="LX29" s="4">
        <f>IFERROR(((0+LO11+LO12+LO13+LO14+LO15+LO16+LO17+LO19+LO20+LO21+LO22+LO23+LO24+LO25+LO27+LO28+LO29)/T2),0)</f>
        <v/>
      </c>
      <c r="LY29" s="5">
        <f>IFERROR(ROUND(LO29/LQ29,2),0)</f>
        <v/>
      </c>
      <c r="LZ29" s="5">
        <f>IFERROR(ROUND(LO29/LR29,2),0)</f>
        <v/>
      </c>
      <c r="MA29" s="2" t="inlineStr">
        <is>
          <t>2023-10-06</t>
        </is>
      </c>
      <c r="MB29" s="5">
        <f>ROUND(3.45,2)</f>
        <v/>
      </c>
      <c r="MC29" s="3">
        <f>ROUND(10030.0,2)</f>
        <v/>
      </c>
      <c r="MD29" s="3">
        <f>ROUND(345.0,2)</f>
        <v/>
      </c>
      <c r="ME29" s="3">
        <f>ROUND(0.0,2)</f>
        <v/>
      </c>
      <c r="MF29" s="3">
        <f>ROUND(0.0,2)</f>
        <v/>
      </c>
      <c r="MG29" s="3">
        <f>ROUND(0.0,2)</f>
        <v/>
      </c>
      <c r="MH29" s="3">
        <f>ROUND(0.0,2)</f>
        <v/>
      </c>
      <c r="MI29" s="3">
        <f>ROUND(0.0,2)</f>
        <v/>
      </c>
      <c r="MJ29" s="4">
        <f>IFERROR((MD29/MC29),0)</f>
        <v/>
      </c>
      <c r="MK29" s="4">
        <f>IFERROR(((0+MB11+MB12+MB13+MB14+MB15+MB16+MB17+MB19+MB20+MB21+MB22+MB23+MB24+MB25+MB27+MB28+MB29)/T2),0)</f>
        <v/>
      </c>
      <c r="ML29" s="5">
        <f>IFERROR(ROUND(MB29/MD29,2),0)</f>
        <v/>
      </c>
      <c r="MM29" s="5">
        <f>IFERROR(ROUND(MB29/ME29,2),0)</f>
        <v/>
      </c>
      <c r="MN29" s="2" t="inlineStr">
        <is>
          <t>2023-10-06</t>
        </is>
      </c>
      <c r="MO29" s="5">
        <f>ROUND(2.0999999999999996,2)</f>
        <v/>
      </c>
      <c r="MP29" s="3">
        <f>ROUND(4610.0,2)</f>
        <v/>
      </c>
      <c r="MQ29" s="3">
        <f>ROUND(210.0,2)</f>
        <v/>
      </c>
      <c r="MR29" s="3">
        <f>ROUND(0.0,2)</f>
        <v/>
      </c>
      <c r="MS29" s="3">
        <f>ROUND(0.0,2)</f>
        <v/>
      </c>
      <c r="MT29" s="3">
        <f>ROUND(0.0,2)</f>
        <v/>
      </c>
      <c r="MU29" s="3">
        <f>ROUND(0.0,2)</f>
        <v/>
      </c>
      <c r="MV29" s="3">
        <f>ROUND(0.0,2)</f>
        <v/>
      </c>
      <c r="MW29" s="4">
        <f>IFERROR((MQ29/MP29),0)</f>
        <v/>
      </c>
      <c r="MX29" s="4">
        <f>IFERROR(((0+MO11+MO12+MO13+MO14+MO15+MO16+MO17+MO19+MO20+MO21+MO22+MO23+MO24+MO25+MO27+MO28+MO29)/T2),0)</f>
        <v/>
      </c>
      <c r="MY29" s="5">
        <f>IFERROR(ROUND(MO29/MQ29,2),0)</f>
        <v/>
      </c>
      <c r="MZ29" s="5">
        <f>IFERROR(ROUND(MO29/MR29,2),0)</f>
        <v/>
      </c>
      <c r="NA29" s="2" t="inlineStr">
        <is>
          <t>2023-10-06</t>
        </is>
      </c>
      <c r="NB29" s="5">
        <f>ROUND(0.13999999999999999,2)</f>
        <v/>
      </c>
      <c r="NC29" s="3">
        <f>ROUND(529.0,2)</f>
        <v/>
      </c>
      <c r="ND29" s="3">
        <f>ROUND(14.0,2)</f>
        <v/>
      </c>
      <c r="NE29" s="3">
        <f>ROUND(0.0,2)</f>
        <v/>
      </c>
      <c r="NF29" s="3">
        <f>ROUND(0.0,2)</f>
        <v/>
      </c>
      <c r="NG29" s="3">
        <f>ROUND(0.0,2)</f>
        <v/>
      </c>
      <c r="NH29" s="3">
        <f>ROUND(0.0,2)</f>
        <v/>
      </c>
      <c r="NI29" s="3">
        <f>ROUND(0.0,2)</f>
        <v/>
      </c>
      <c r="NJ29" s="4">
        <f>IFERROR((ND29/NC29),0)</f>
        <v/>
      </c>
      <c r="NK29" s="4">
        <f>IFERROR(((0+NB11+NB12+NB13+NB14+NB15+NB16+NB17+NB19+NB20+NB21+NB22+NB23+NB24+NB25+NB27+NB28+NB29)/T2),0)</f>
        <v/>
      </c>
      <c r="NL29" s="5">
        <f>IFERROR(ROUND(NB29/ND29,2),0)</f>
        <v/>
      </c>
      <c r="NM29" s="5">
        <f>IFERROR(ROUND(NB29/NE29,2),0)</f>
        <v/>
      </c>
      <c r="NN29" s="2" t="inlineStr">
        <is>
          <t>2023-10-06</t>
        </is>
      </c>
      <c r="NO29" s="5">
        <f>ROUND(0.0,2)</f>
        <v/>
      </c>
      <c r="NP29" s="3">
        <f>ROUND(33.0,2)</f>
        <v/>
      </c>
      <c r="NQ29" s="3">
        <f>ROUND(0.0,2)</f>
        <v/>
      </c>
      <c r="NR29" s="3">
        <f>ROUND(0.0,2)</f>
        <v/>
      </c>
      <c r="NS29" s="3">
        <f>ROUND(0.0,2)</f>
        <v/>
      </c>
      <c r="NT29" s="3">
        <f>ROUND(0.0,2)</f>
        <v/>
      </c>
      <c r="NU29" s="3">
        <f>ROUND(0.0,2)</f>
        <v/>
      </c>
      <c r="NV29" s="3">
        <f>ROUND(0.0,2)</f>
        <v/>
      </c>
      <c r="NW29" s="4">
        <f>IFERROR((NQ29/NP29),0)</f>
        <v/>
      </c>
      <c r="NX29" s="4">
        <f>IFERROR(((0+NO11+NO12+NO13+NO14+NO15+NO16+NO17+NO19+NO20+NO21+NO22+NO23+NO24+NO25+NO27+NO28+NO29)/T2),0)</f>
        <v/>
      </c>
      <c r="NY29" s="5">
        <f>IFERROR(ROUND(NO29/NQ29,2),0)</f>
        <v/>
      </c>
      <c r="NZ29" s="5">
        <f>IFERROR(ROUND(NO29/NR29,2),0)</f>
        <v/>
      </c>
      <c r="OA29" s="2" t="inlineStr">
        <is>
          <t>2023-10-06</t>
        </is>
      </c>
      <c r="OB29" s="5">
        <f>ROUND(0.06,2)</f>
        <v/>
      </c>
      <c r="OC29" s="3">
        <f>ROUND(428.0,2)</f>
        <v/>
      </c>
      <c r="OD29" s="3">
        <f>ROUND(6.0,2)</f>
        <v/>
      </c>
      <c r="OE29" s="3">
        <f>ROUND(0.0,2)</f>
        <v/>
      </c>
      <c r="OF29" s="3">
        <f>ROUND(0.0,2)</f>
        <v/>
      </c>
      <c r="OG29" s="3">
        <f>ROUND(0.0,2)</f>
        <v/>
      </c>
      <c r="OH29" s="3">
        <f>ROUND(0.0,2)</f>
        <v/>
      </c>
      <c r="OI29" s="3">
        <f>ROUND(0.0,2)</f>
        <v/>
      </c>
      <c r="OJ29" s="4">
        <f>IFERROR((OD29/OC29),0)</f>
        <v/>
      </c>
      <c r="OK29" s="4">
        <f>IFERROR(((0+OB11+OB12+OB13+OB14+OB15+OB16+OB17+OB19+OB20+OB21+OB22+OB23+OB24+OB25+OB27+OB28+OB29)/T2),0)</f>
        <v/>
      </c>
      <c r="OL29" s="5">
        <f>IFERROR(ROUND(OB29/OD29,2),0)</f>
        <v/>
      </c>
      <c r="OM29" s="5">
        <f>IFERROR(ROUND(OB29/OE29,2),0)</f>
        <v/>
      </c>
      <c r="ON29" s="2" t="inlineStr">
        <is>
          <t>2023-10-06</t>
        </is>
      </c>
      <c r="OO29" s="5">
        <f>ROUND(0.03,2)</f>
        <v/>
      </c>
      <c r="OP29" s="3">
        <f>ROUND(83.0,2)</f>
        <v/>
      </c>
      <c r="OQ29" s="3">
        <f>ROUND(3.0,2)</f>
        <v/>
      </c>
      <c r="OR29" s="3">
        <f>ROUND(0.0,2)</f>
        <v/>
      </c>
      <c r="OS29" s="3">
        <f>ROUND(0.0,2)</f>
        <v/>
      </c>
      <c r="OT29" s="3">
        <f>ROUND(0.0,2)</f>
        <v/>
      </c>
      <c r="OU29" s="3">
        <f>ROUND(0.0,2)</f>
        <v/>
      </c>
      <c r="OV29" s="3">
        <f>ROUND(0.0,2)</f>
        <v/>
      </c>
      <c r="OW29" s="4">
        <f>IFERROR((OQ29/OP29),0)</f>
        <v/>
      </c>
      <c r="OX29" s="4">
        <f>IFERROR(((0+OO11+OO12+OO13+OO14+OO15+OO16+OO17+OO19+OO20+OO21+OO22+OO23+OO24+OO25+OO27+OO28+OO29)/T2),0)</f>
        <v/>
      </c>
      <c r="OY29" s="5">
        <f>IFERROR(ROUND(OO29/OQ29,2),0)</f>
        <v/>
      </c>
      <c r="OZ29" s="5">
        <f>IFERROR(ROUND(OO29/OR29,2),0)</f>
        <v/>
      </c>
      <c r="PA29" s="2" t="inlineStr">
        <is>
          <t>2023-10-06</t>
        </is>
      </c>
      <c r="PB29" s="5">
        <f>ROUND(2.6099999999999994,2)</f>
        <v/>
      </c>
      <c r="PC29" s="3">
        <f>ROUND(3880.0,2)</f>
        <v/>
      </c>
      <c r="PD29" s="3">
        <f>ROUND(261.0,2)</f>
        <v/>
      </c>
      <c r="PE29" s="3">
        <f>ROUND(0.0,2)</f>
        <v/>
      </c>
      <c r="PF29" s="3">
        <f>ROUND(0.0,2)</f>
        <v/>
      </c>
      <c r="PG29" s="3">
        <f>ROUND(0.0,2)</f>
        <v/>
      </c>
      <c r="PH29" s="3">
        <f>ROUND(0.0,2)</f>
        <v/>
      </c>
      <c r="PI29" s="3">
        <f>ROUND(0.0,2)</f>
        <v/>
      </c>
      <c r="PJ29" s="4">
        <f>IFERROR((PD29/PC29),0)</f>
        <v/>
      </c>
      <c r="PK29" s="4">
        <f>IFERROR(((0+PB11+PB12+PB13+PB14+PB15+PB16+PB17+PB19+PB20+PB21+PB22+PB23+PB24+PB25+PB27+PB28+PB29)/T2),0)</f>
        <v/>
      </c>
      <c r="PL29" s="5">
        <f>IFERROR(ROUND(PB29/PD29,2),0)</f>
        <v/>
      </c>
      <c r="PM29" s="5">
        <f>IFERROR(ROUND(PB29/PE29,2),0)</f>
        <v/>
      </c>
      <c r="PN29" s="2" t="inlineStr">
        <is>
          <t>2023-10-06</t>
        </is>
      </c>
      <c r="PO29" s="5">
        <f>ROUND(0.02,2)</f>
        <v/>
      </c>
      <c r="PP29" s="3">
        <f>ROUND(112.0,2)</f>
        <v/>
      </c>
      <c r="PQ29" s="3">
        <f>ROUND(2.0,2)</f>
        <v/>
      </c>
      <c r="PR29" s="3">
        <f>ROUND(0.0,2)</f>
        <v/>
      </c>
      <c r="PS29" s="3">
        <f>ROUND(0.0,2)</f>
        <v/>
      </c>
      <c r="PT29" s="3">
        <f>ROUND(0.0,2)</f>
        <v/>
      </c>
      <c r="PU29" s="3">
        <f>ROUND(0.0,2)</f>
        <v/>
      </c>
      <c r="PV29" s="3">
        <f>ROUND(0.0,2)</f>
        <v/>
      </c>
      <c r="PW29" s="4">
        <f>IFERROR((PQ29/PP29),0)</f>
        <v/>
      </c>
      <c r="PX29" s="4">
        <f>IFERROR(((0+PO11+PO12+PO13+PO14+PO15+PO16+PO17+PO19+PO20+PO21+PO22+PO23+PO24+PO25+PO27+PO28+PO29)/T2),0)</f>
        <v/>
      </c>
      <c r="PY29" s="5">
        <f>IFERROR(ROUND(PO29/PQ29,2),0)</f>
        <v/>
      </c>
      <c r="PZ29" s="5">
        <f>IFERROR(ROUND(PO29/PR29,2),0)</f>
        <v/>
      </c>
      <c r="QA29" s="2" t="inlineStr">
        <is>
          <t>2023-10-06</t>
        </is>
      </c>
      <c r="QB29" s="5">
        <f>ROUND(0.81,2)</f>
        <v/>
      </c>
      <c r="QC29" s="3">
        <f>ROUND(2373.0,2)</f>
        <v/>
      </c>
      <c r="QD29" s="3">
        <f>ROUND(81.0,2)</f>
        <v/>
      </c>
      <c r="QE29" s="3">
        <f>ROUND(0.0,2)</f>
        <v/>
      </c>
      <c r="QF29" s="3">
        <f>ROUND(0.0,2)</f>
        <v/>
      </c>
      <c r="QG29" s="3">
        <f>ROUND(0.0,2)</f>
        <v/>
      </c>
      <c r="QH29" s="3">
        <f>ROUND(0.0,2)</f>
        <v/>
      </c>
      <c r="QI29" s="3">
        <f>ROUND(0.0,2)</f>
        <v/>
      </c>
      <c r="QJ29" s="4">
        <f>IFERROR((QD29/QC29),0)</f>
        <v/>
      </c>
      <c r="QK29" s="4">
        <f>IFERROR(((0+QB11+QB12+QB13+QB14+QB15+QB16+QB17+QB19+QB20+QB21+QB22+QB23+QB24+QB25+QB27+QB28+QB29)/T2),0)</f>
        <v/>
      </c>
      <c r="QL29" s="5">
        <f>IFERROR(ROUND(QB29/QD29,2),0)</f>
        <v/>
      </c>
      <c r="QM29" s="5">
        <f>IFERROR(ROUND(QB29/QE29,2),0)</f>
        <v/>
      </c>
      <c r="QN29" s="2" t="inlineStr">
        <is>
          <t>2023-10-06</t>
        </is>
      </c>
      <c r="QO29" s="5">
        <f>ROUND(0.11,2)</f>
        <v/>
      </c>
      <c r="QP29" s="3">
        <f>ROUND(558.0,2)</f>
        <v/>
      </c>
      <c r="QQ29" s="3">
        <f>ROUND(11.0,2)</f>
        <v/>
      </c>
      <c r="QR29" s="3">
        <f>ROUND(0.0,2)</f>
        <v/>
      </c>
      <c r="QS29" s="3">
        <f>ROUND(0.0,2)</f>
        <v/>
      </c>
      <c r="QT29" s="3">
        <f>ROUND(0.0,2)</f>
        <v/>
      </c>
      <c r="QU29" s="3">
        <f>ROUND(0.0,2)</f>
        <v/>
      </c>
      <c r="QV29" s="3">
        <f>ROUND(0.0,2)</f>
        <v/>
      </c>
      <c r="QW29" s="4">
        <f>IFERROR((QQ29/QP29),0)</f>
        <v/>
      </c>
      <c r="QX29" s="4">
        <f>IFERROR(((0+QO11+QO12+QO13+QO14+QO15+QO16+QO17+QO19+QO20+QO21+QO22+QO23+QO24+QO25+QO27+QO28+QO29)/T2),0)</f>
        <v/>
      </c>
      <c r="QY29" s="5">
        <f>IFERROR(ROUND(QO29/QQ29,2),0)</f>
        <v/>
      </c>
      <c r="QZ29" s="5">
        <f>IFERROR(ROUND(QO29/QR29,2),0)</f>
        <v/>
      </c>
      <c r="RA29" s="2" t="inlineStr">
        <is>
          <t>2023-10-06</t>
        </is>
      </c>
      <c r="RB29" s="5">
        <f>ROUND(0.5,2)</f>
        <v/>
      </c>
      <c r="RC29" s="3">
        <f>ROUND(410.0,2)</f>
        <v/>
      </c>
      <c r="RD29" s="3">
        <f>ROUND(50.0,2)</f>
        <v/>
      </c>
      <c r="RE29" s="3">
        <f>ROUND(0.0,2)</f>
        <v/>
      </c>
      <c r="RF29" s="3">
        <f>ROUND(0.0,2)</f>
        <v/>
      </c>
      <c r="RG29" s="3">
        <f>ROUND(0.0,2)</f>
        <v/>
      </c>
      <c r="RH29" s="3">
        <f>ROUND(0.0,2)</f>
        <v/>
      </c>
      <c r="RI29" s="3">
        <f>ROUND(0.0,2)</f>
        <v/>
      </c>
      <c r="RJ29" s="4">
        <f>IFERROR((RD29/RC29),0)</f>
        <v/>
      </c>
      <c r="RK29" s="4">
        <f>IFERROR(((0+RB11+RB12+RB13+RB14+RB15+RB16+RB17+RB19+RB20+RB21+RB22+RB23+RB24+RB25+RB27+RB28+RB29)/T2),0)</f>
        <v/>
      </c>
      <c r="RL29" s="5">
        <f>IFERROR(ROUND(RB29/RD29,2),0)</f>
        <v/>
      </c>
      <c r="RM29" s="5">
        <f>IFERROR(ROUND(RB29/RE29,2),0)</f>
        <v/>
      </c>
      <c r="RN29" s="2" t="inlineStr">
        <is>
          <t>2023-10-06</t>
        </is>
      </c>
      <c r="RO29" s="5">
        <f>ROUND(0.04,2)</f>
        <v/>
      </c>
      <c r="RP29" s="3">
        <f>ROUND(60.0,2)</f>
        <v/>
      </c>
      <c r="RQ29" s="3">
        <f>ROUND(4.0,2)</f>
        <v/>
      </c>
      <c r="RR29" s="3">
        <f>ROUND(0.0,2)</f>
        <v/>
      </c>
      <c r="RS29" s="3">
        <f>ROUND(0.0,2)</f>
        <v/>
      </c>
      <c r="RT29" s="3">
        <f>ROUND(0.0,2)</f>
        <v/>
      </c>
      <c r="RU29" s="3">
        <f>ROUND(0.0,2)</f>
        <v/>
      </c>
      <c r="RV29" s="3">
        <f>ROUND(0.0,2)</f>
        <v/>
      </c>
      <c r="RW29" s="4">
        <f>IFERROR((RQ29/RP29),0)</f>
        <v/>
      </c>
      <c r="RX29" s="4">
        <f>IFERROR(((0+RO11+RO12+RO13+RO14+RO15+RO16+RO17+RO19+RO20+RO21+RO22+RO23+RO24+RO25+RO27+RO28+RO29)/T2),0)</f>
        <v/>
      </c>
      <c r="RY29" s="5">
        <f>IFERROR(ROUND(RO29/RQ29,2),0)</f>
        <v/>
      </c>
      <c r="RZ29" s="5">
        <f>IFERROR(ROUND(RO29/RR29,2),0)</f>
        <v/>
      </c>
      <c r="SA29" s="2" t="inlineStr">
        <is>
          <t>2023-10-06</t>
        </is>
      </c>
      <c r="SB29" s="5">
        <f>ROUND(0.07,2)</f>
        <v/>
      </c>
      <c r="SC29" s="3">
        <f>ROUND(216.0,2)</f>
        <v/>
      </c>
      <c r="SD29" s="3">
        <f>ROUND(7.0,2)</f>
        <v/>
      </c>
      <c r="SE29" s="3">
        <f>ROUND(0.0,2)</f>
        <v/>
      </c>
      <c r="SF29" s="3">
        <f>ROUND(0.0,2)</f>
        <v/>
      </c>
      <c r="SG29" s="3">
        <f>ROUND(0.0,2)</f>
        <v/>
      </c>
      <c r="SH29" s="3">
        <f>ROUND(0.0,2)</f>
        <v/>
      </c>
      <c r="SI29" s="3">
        <f>ROUND(0.0,2)</f>
        <v/>
      </c>
      <c r="SJ29" s="4">
        <f>IFERROR((SD29/SC29),0)</f>
        <v/>
      </c>
      <c r="SK29" s="4">
        <f>IFERROR(((0+SB11+SB12+SB13+SB14+SB15+SB16+SB17+SB19+SB20+SB21+SB22+SB23+SB24+SB25+SB27+SB28+SB29)/T2),0)</f>
        <v/>
      </c>
      <c r="SL29" s="5">
        <f>IFERROR(ROUND(SB29/SD29,2),0)</f>
        <v/>
      </c>
      <c r="SM29" s="5">
        <f>IFERROR(ROUND(SB29/SE29,2),0)</f>
        <v/>
      </c>
      <c r="SN29" s="2" t="inlineStr">
        <is>
          <t>2023-10-06</t>
        </is>
      </c>
      <c r="SO29" s="5">
        <f>ROUND(0.38,2)</f>
        <v/>
      </c>
      <c r="SP29" s="3">
        <f>ROUND(1928.0,2)</f>
        <v/>
      </c>
      <c r="SQ29" s="3">
        <f>ROUND(38.0,2)</f>
        <v/>
      </c>
      <c r="SR29" s="3">
        <f>ROUND(0.0,2)</f>
        <v/>
      </c>
      <c r="SS29" s="3">
        <f>ROUND(0.0,2)</f>
        <v/>
      </c>
      <c r="ST29" s="3">
        <f>ROUND(0.0,2)</f>
        <v/>
      </c>
      <c r="SU29" s="3">
        <f>ROUND(0.0,2)</f>
        <v/>
      </c>
      <c r="SV29" s="3">
        <f>ROUND(0.0,2)</f>
        <v/>
      </c>
      <c r="SW29" s="4">
        <f>IFERROR((SQ29/SP29),0)</f>
        <v/>
      </c>
      <c r="SX29" s="4">
        <f>IFERROR(((0+SO11+SO12+SO13+SO14+SO15+SO16+SO17+SO19+SO20+SO21+SO22+SO23+SO24+SO25+SO27+SO28+SO29)/T2),0)</f>
        <v/>
      </c>
      <c r="SY29" s="5">
        <f>IFERROR(ROUND(SO29/SQ29,2),0)</f>
        <v/>
      </c>
      <c r="SZ29" s="5">
        <f>IFERROR(ROUND(SO29/SR29,2),0)</f>
        <v/>
      </c>
    </row>
    <row r="30">
      <c r="A30" s="2" t="inlineStr">
        <is>
          <t>2023-10-07</t>
        </is>
      </c>
      <c r="B30" s="5">
        <f>ROUND(41.38,2)</f>
        <v/>
      </c>
      <c r="C30" s="3">
        <f>ROUND(113663.0,2)</f>
        <v/>
      </c>
      <c r="D30" s="3">
        <f>ROUND(4138.0,2)</f>
        <v/>
      </c>
      <c r="E30" s="3">
        <f>ROUND(0.0,2)</f>
        <v/>
      </c>
      <c r="F30" s="3">
        <f>ROUND(0.0,2)</f>
        <v/>
      </c>
      <c r="G30" s="3">
        <f>ROUND(0.0,2)</f>
        <v/>
      </c>
      <c r="H30" s="3">
        <f>ROUND(0.0,2)</f>
        <v/>
      </c>
      <c r="I30" s="3">
        <f>ROUND(0.0,2)</f>
        <v/>
      </c>
      <c r="J30" s="4">
        <f>IFERROR((D30/C30),0)</f>
        <v/>
      </c>
      <c r="K30" s="4">
        <f>IFERROR(((0+B11+B12+B13+B14+B15+B16+B17+B19+B20+B21+B22+B23+B24+B25+B27+B28+B29+B30)/T2),0)</f>
        <v/>
      </c>
      <c r="L30" s="5">
        <f>IFERROR(ROUND(B30/D30,2),0)</f>
        <v/>
      </c>
      <c r="M30" s="5">
        <f>IFERROR(ROUND(B30/E30,2),0)</f>
        <v/>
      </c>
      <c r="N30" s="2" t="inlineStr">
        <is>
          <t>2023-10-07</t>
        </is>
      </c>
      <c r="O30" s="5">
        <f>ROUND(2.07,2)</f>
        <v/>
      </c>
      <c r="P30" s="3">
        <f>ROUND(3911.0,2)</f>
        <v/>
      </c>
      <c r="Q30" s="3">
        <f>ROUND(207.0,2)</f>
        <v/>
      </c>
      <c r="R30" s="3">
        <f>ROUND(0.0,2)</f>
        <v/>
      </c>
      <c r="S30" s="3">
        <f>ROUND(0.0,2)</f>
        <v/>
      </c>
      <c r="T30" s="3">
        <f>ROUND(0.0,2)</f>
        <v/>
      </c>
      <c r="U30" s="3">
        <f>ROUND(0.0,2)</f>
        <v/>
      </c>
      <c r="V30" s="3">
        <f>ROUND(0.0,2)</f>
        <v/>
      </c>
      <c r="W30" s="4">
        <f>IFERROR((Q30/P30),0)</f>
        <v/>
      </c>
      <c r="X30" s="4">
        <f>IFERROR(((0+O11+O12+O13+O14+O15+O16+O17+O19+O20+O21+O22+O23+O24+O25+O27+O28+O29+O30)/T2),0)</f>
        <v/>
      </c>
      <c r="Y30" s="5">
        <f>IFERROR(ROUND(O30/Q30,2),0)</f>
        <v/>
      </c>
      <c r="Z30" s="5">
        <f>IFERROR(ROUND(O30/R30,2),0)</f>
        <v/>
      </c>
      <c r="AA30" s="2" t="inlineStr">
        <is>
          <t>2023-10-07</t>
        </is>
      </c>
      <c r="AB30" s="5">
        <f>ROUND(0.26999999999999996,2)</f>
        <v/>
      </c>
      <c r="AC30" s="3">
        <f>ROUND(880.0,2)</f>
        <v/>
      </c>
      <c r="AD30" s="3">
        <f>ROUND(27.0,2)</f>
        <v/>
      </c>
      <c r="AE30" s="3">
        <f>ROUND(0.0,2)</f>
        <v/>
      </c>
      <c r="AF30" s="3">
        <f>ROUND(0.0,2)</f>
        <v/>
      </c>
      <c r="AG30" s="3">
        <f>ROUND(0.0,2)</f>
        <v/>
      </c>
      <c r="AH30" s="3">
        <f>ROUND(0.0,2)</f>
        <v/>
      </c>
      <c r="AI30" s="3">
        <f>ROUND(0.0,2)</f>
        <v/>
      </c>
      <c r="AJ30" s="4">
        <f>IFERROR((AD30/AC30),0)</f>
        <v/>
      </c>
      <c r="AK30" s="4">
        <f>IFERROR(((0+AB11+AB12+AB13+AB14+AB15+AB16+AB17+AB19+AB20+AB21+AB22+AB23+AB24+AB25+AB27+AB28+AB29+AB30)/T2),0)</f>
        <v/>
      </c>
      <c r="AL30" s="5">
        <f>IFERROR(ROUND(AB30/AD30,2),0)</f>
        <v/>
      </c>
      <c r="AM30" s="5">
        <f>IFERROR(ROUND(AB30/AE30,2),0)</f>
        <v/>
      </c>
      <c r="AN30" s="2" t="inlineStr">
        <is>
          <t>2023-10-07</t>
        </is>
      </c>
      <c r="AO30" s="5">
        <f>ROUND(1.6700000000000002,2)</f>
        <v/>
      </c>
      <c r="AP30" s="3">
        <f>ROUND(6785.0,2)</f>
        <v/>
      </c>
      <c r="AQ30" s="3">
        <f>ROUND(167.0,2)</f>
        <v/>
      </c>
      <c r="AR30" s="3">
        <f>ROUND(0.0,2)</f>
        <v/>
      </c>
      <c r="AS30" s="3">
        <f>ROUND(0.0,2)</f>
        <v/>
      </c>
      <c r="AT30" s="3">
        <f>ROUND(0.0,2)</f>
        <v/>
      </c>
      <c r="AU30" s="3">
        <f>ROUND(0.0,2)</f>
        <v/>
      </c>
      <c r="AV30" s="3">
        <f>ROUND(0.0,2)</f>
        <v/>
      </c>
      <c r="AW30" s="4">
        <f>IFERROR((AQ30/AP30),0)</f>
        <v/>
      </c>
      <c r="AX30" s="4">
        <f>IFERROR(((0+AO11+AO12+AO13+AO14+AO15+AO16+AO17+AO19+AO20+AO21+AO22+AO23+AO24+AO25+AO27+AO28+AO29+AO30)/T2),0)</f>
        <v/>
      </c>
      <c r="AY30" s="5">
        <f>IFERROR(ROUND(AO30/AQ30,2),0)</f>
        <v/>
      </c>
      <c r="AZ30" s="5">
        <f>IFERROR(ROUND(AO30/AR30,2),0)</f>
        <v/>
      </c>
      <c r="BA30" s="2" t="inlineStr">
        <is>
          <t>2023-10-07</t>
        </is>
      </c>
      <c r="BB30" s="5">
        <f>ROUND(0.7600000000000001,2)</f>
        <v/>
      </c>
      <c r="BC30" s="3">
        <f>ROUND(1268.0,2)</f>
        <v/>
      </c>
      <c r="BD30" s="3">
        <f>ROUND(76.0,2)</f>
        <v/>
      </c>
      <c r="BE30" s="3">
        <f>ROUND(0.0,2)</f>
        <v/>
      </c>
      <c r="BF30" s="3">
        <f>ROUND(0.0,2)</f>
        <v/>
      </c>
      <c r="BG30" s="3">
        <f>ROUND(0.0,2)</f>
        <v/>
      </c>
      <c r="BH30" s="3">
        <f>ROUND(0.0,2)</f>
        <v/>
      </c>
      <c r="BI30" s="3">
        <f>ROUND(0.0,2)</f>
        <v/>
      </c>
      <c r="BJ30" s="4">
        <f>IFERROR((BD30/BC30),0)</f>
        <v/>
      </c>
      <c r="BK30" s="4">
        <f>IFERROR(((0+BB11+BB12+BB13+BB14+BB15+BB16+BB17+BB19+BB20+BB21+BB22+BB23+BB24+BB25+BB27+BB28+BB29+BB30)/T2),0)</f>
        <v/>
      </c>
      <c r="BL30" s="5">
        <f>IFERROR(ROUND(BB30/BD30,2),0)</f>
        <v/>
      </c>
      <c r="BM30" s="5">
        <f>IFERROR(ROUND(BB30/BE30,2),0)</f>
        <v/>
      </c>
      <c r="BN30" s="2" t="inlineStr">
        <is>
          <t>2023-10-07</t>
        </is>
      </c>
      <c r="BO30" s="5">
        <f>ROUND(0.27999999999999997,2)</f>
        <v/>
      </c>
      <c r="BP30" s="3">
        <f>ROUND(698.0,2)</f>
        <v/>
      </c>
      <c r="BQ30" s="3">
        <f>ROUND(28.0,2)</f>
        <v/>
      </c>
      <c r="BR30" s="3">
        <f>ROUND(0.0,2)</f>
        <v/>
      </c>
      <c r="BS30" s="3">
        <f>ROUND(0.0,2)</f>
        <v/>
      </c>
      <c r="BT30" s="3">
        <f>ROUND(0.0,2)</f>
        <v/>
      </c>
      <c r="BU30" s="3">
        <f>ROUND(0.0,2)</f>
        <v/>
      </c>
      <c r="BV30" s="3">
        <f>ROUND(0.0,2)</f>
        <v/>
      </c>
      <c r="BW30" s="4">
        <f>IFERROR((BQ30/BP30),0)</f>
        <v/>
      </c>
      <c r="BX30" s="4">
        <f>IFERROR(((0+BO11+BO12+BO13+BO14+BO15+BO16+BO17+BO19+BO20+BO21+BO22+BO23+BO24+BO25+BO27+BO28+BO29+BO30)/T2),0)</f>
        <v/>
      </c>
      <c r="BY30" s="5">
        <f>IFERROR(ROUND(BO30/BQ30,2),0)</f>
        <v/>
      </c>
      <c r="BZ30" s="5">
        <f>IFERROR(ROUND(BO30/BR30,2),0)</f>
        <v/>
      </c>
      <c r="CA30" s="2" t="inlineStr">
        <is>
          <t>2023-10-07</t>
        </is>
      </c>
      <c r="CB30" s="5">
        <f>ROUND(0.55,2)</f>
        <v/>
      </c>
      <c r="CC30" s="3">
        <f>ROUND(1360.0,2)</f>
        <v/>
      </c>
      <c r="CD30" s="3">
        <f>ROUND(55.0,2)</f>
        <v/>
      </c>
      <c r="CE30" s="3">
        <f>ROUND(0.0,2)</f>
        <v/>
      </c>
      <c r="CF30" s="3">
        <f>ROUND(0.0,2)</f>
        <v/>
      </c>
      <c r="CG30" s="3">
        <f>ROUND(0.0,2)</f>
        <v/>
      </c>
      <c r="CH30" s="3">
        <f>ROUND(0.0,2)</f>
        <v/>
      </c>
      <c r="CI30" s="3">
        <f>ROUND(0.0,2)</f>
        <v/>
      </c>
      <c r="CJ30" s="4">
        <f>IFERROR((CD30/CC30),0)</f>
        <v/>
      </c>
      <c r="CK30" s="4">
        <f>IFERROR(((0+CB11+CB12+CB13+CB14+CB15+CB16+CB17+CB19+CB20+CB21+CB22+CB23+CB24+CB25+CB27+CB28+CB29+CB30)/T2),0)</f>
        <v/>
      </c>
      <c r="CL30" s="5">
        <f>IFERROR(ROUND(CB30/CD30,2),0)</f>
        <v/>
      </c>
      <c r="CM30" s="5">
        <f>IFERROR(ROUND(CB30/CE30,2),0)</f>
        <v/>
      </c>
      <c r="CN30" s="2" t="inlineStr">
        <is>
          <t>2023-10-07</t>
        </is>
      </c>
      <c r="CO30" s="5">
        <f>ROUND(1.5899999999999999,2)</f>
        <v/>
      </c>
      <c r="CP30" s="3">
        <f>ROUND(7281.0,2)</f>
        <v/>
      </c>
      <c r="CQ30" s="3">
        <f>ROUND(159.0,2)</f>
        <v/>
      </c>
      <c r="CR30" s="3">
        <f>ROUND(0.0,2)</f>
        <v/>
      </c>
      <c r="CS30" s="3">
        <f>ROUND(0.0,2)</f>
        <v/>
      </c>
      <c r="CT30" s="3">
        <f>ROUND(0.0,2)</f>
        <v/>
      </c>
      <c r="CU30" s="3">
        <f>ROUND(0.0,2)</f>
        <v/>
      </c>
      <c r="CV30" s="3">
        <f>ROUND(0.0,2)</f>
        <v/>
      </c>
      <c r="CW30" s="4">
        <f>IFERROR((CQ30/CP30),0)</f>
        <v/>
      </c>
      <c r="CX30" s="4">
        <f>IFERROR(((0+CO11+CO12+CO13+CO14+CO15+CO16+CO17+CO19+CO20+CO21+CO22+CO23+CO24+CO25+CO27+CO28+CO29+CO30)/T2),0)</f>
        <v/>
      </c>
      <c r="CY30" s="5">
        <f>IFERROR(ROUND(CO30/CQ30,2),0)</f>
        <v/>
      </c>
      <c r="CZ30" s="5">
        <f>IFERROR(ROUND(CO30/CR30,2),0)</f>
        <v/>
      </c>
      <c r="DA30" s="2" t="inlineStr">
        <is>
          <t>2023-10-07</t>
        </is>
      </c>
      <c r="DB30" s="5">
        <f>ROUND(1.51,2)</f>
        <v/>
      </c>
      <c r="DC30" s="3">
        <f>ROUND(2565.0,2)</f>
        <v/>
      </c>
      <c r="DD30" s="3">
        <f>ROUND(151.0,2)</f>
        <v/>
      </c>
      <c r="DE30" s="3">
        <f>ROUND(0.0,2)</f>
        <v/>
      </c>
      <c r="DF30" s="3">
        <f>ROUND(0.0,2)</f>
        <v/>
      </c>
      <c r="DG30" s="3">
        <f>ROUND(0.0,2)</f>
        <v/>
      </c>
      <c r="DH30" s="3">
        <f>ROUND(0.0,2)</f>
        <v/>
      </c>
      <c r="DI30" s="3">
        <f>ROUND(0.0,2)</f>
        <v/>
      </c>
      <c r="DJ30" s="4">
        <f>IFERROR((DD30/DC30),0)</f>
        <v/>
      </c>
      <c r="DK30" s="4">
        <f>IFERROR(((0+DB11+DB12+DB13+DB14+DB15+DB16+DB17+DB19+DB20+DB21+DB22+DB23+DB24+DB25+DB27+DB28+DB29+DB30)/T2),0)</f>
        <v/>
      </c>
      <c r="DL30" s="5">
        <f>IFERROR(ROUND(DB30/DD30,2),0)</f>
        <v/>
      </c>
      <c r="DM30" s="5">
        <f>IFERROR(ROUND(DB30/DE30,2),0)</f>
        <v/>
      </c>
      <c r="DN30" s="2" t="inlineStr">
        <is>
          <t>2023-10-07</t>
        </is>
      </c>
      <c r="DO30" s="5">
        <f>ROUND(0.09,2)</f>
        <v/>
      </c>
      <c r="DP30" s="3">
        <f>ROUND(372.0,2)</f>
        <v/>
      </c>
      <c r="DQ30" s="3">
        <f>ROUND(9.0,2)</f>
        <v/>
      </c>
      <c r="DR30" s="3">
        <f>ROUND(0.0,2)</f>
        <v/>
      </c>
      <c r="DS30" s="3">
        <f>ROUND(0.0,2)</f>
        <v/>
      </c>
      <c r="DT30" s="3">
        <f>ROUND(0.0,2)</f>
        <v/>
      </c>
      <c r="DU30" s="3">
        <f>ROUND(0.0,2)</f>
        <v/>
      </c>
      <c r="DV30" s="3">
        <f>ROUND(0.0,2)</f>
        <v/>
      </c>
      <c r="DW30" s="4">
        <f>IFERROR((DQ30/DP30),0)</f>
        <v/>
      </c>
      <c r="DX30" s="4">
        <f>IFERROR(((0+DO11+DO12+DO13+DO14+DO15+DO16+DO17+DO19+DO20+DO21+DO22+DO23+DO24+DO25+DO27+DO28+DO29+DO30)/T2),0)</f>
        <v/>
      </c>
      <c r="DY30" s="5">
        <f>IFERROR(ROUND(DO30/DQ30,2),0)</f>
        <v/>
      </c>
      <c r="DZ30" s="5">
        <f>IFERROR(ROUND(DO30/DR30,2),0)</f>
        <v/>
      </c>
      <c r="EA30" s="2" t="inlineStr">
        <is>
          <t>2023-10-07</t>
        </is>
      </c>
      <c r="EB30" s="5">
        <f>ROUND(1.92,2)</f>
        <v/>
      </c>
      <c r="EC30" s="3">
        <f>ROUND(10652.0,2)</f>
        <v/>
      </c>
      <c r="ED30" s="3">
        <f>ROUND(192.0,2)</f>
        <v/>
      </c>
      <c r="EE30" s="3">
        <f>ROUND(0.0,2)</f>
        <v/>
      </c>
      <c r="EF30" s="3">
        <f>ROUND(0.0,2)</f>
        <v/>
      </c>
      <c r="EG30" s="3">
        <f>ROUND(0.0,2)</f>
        <v/>
      </c>
      <c r="EH30" s="3">
        <f>ROUND(0.0,2)</f>
        <v/>
      </c>
      <c r="EI30" s="3">
        <f>ROUND(0.0,2)</f>
        <v/>
      </c>
      <c r="EJ30" s="4">
        <f>IFERROR((ED30/EC30),0)</f>
        <v/>
      </c>
      <c r="EK30" s="4">
        <f>IFERROR(((0+EB11+EB12+EB13+EB14+EB15+EB16+EB17+EB19+EB20+EB21+EB22+EB23+EB24+EB25+EB27+EB28+EB29+EB30)/T2),0)</f>
        <v/>
      </c>
      <c r="EL30" s="5">
        <f>IFERROR(ROUND(EB30/ED30,2),0)</f>
        <v/>
      </c>
      <c r="EM30" s="5">
        <f>IFERROR(ROUND(EB30/EE30,2),0)</f>
        <v/>
      </c>
      <c r="EN30" s="2" t="inlineStr">
        <is>
          <t>2023-10-07</t>
        </is>
      </c>
      <c r="EO30" s="5">
        <f>ROUND(0.30000000000000004,2)</f>
        <v/>
      </c>
      <c r="EP30" s="3">
        <f>ROUND(991.0,2)</f>
        <v/>
      </c>
      <c r="EQ30" s="3">
        <f>ROUND(30.0,2)</f>
        <v/>
      </c>
      <c r="ER30" s="3">
        <f>ROUND(0.0,2)</f>
        <v/>
      </c>
      <c r="ES30" s="3">
        <f>ROUND(0.0,2)</f>
        <v/>
      </c>
      <c r="ET30" s="3">
        <f>ROUND(0.0,2)</f>
        <v/>
      </c>
      <c r="EU30" s="3">
        <f>ROUND(0.0,2)</f>
        <v/>
      </c>
      <c r="EV30" s="3">
        <f>ROUND(0.0,2)</f>
        <v/>
      </c>
      <c r="EW30" s="4">
        <f>IFERROR((EQ30/EP30),0)</f>
        <v/>
      </c>
      <c r="EX30" s="4">
        <f>IFERROR(((0+EO11+EO12+EO13+EO14+EO15+EO16+EO17+EO19+EO20+EO21+EO22+EO23+EO24+EO25+EO27+EO28+EO29+EO30)/T2),0)</f>
        <v/>
      </c>
      <c r="EY30" s="5">
        <f>IFERROR(ROUND(EO30/EQ30,2),0)</f>
        <v/>
      </c>
      <c r="EZ30" s="5">
        <f>IFERROR(ROUND(EO30/ER30,2),0)</f>
        <v/>
      </c>
      <c r="FA30" s="2" t="inlineStr">
        <is>
          <t>2023-10-07</t>
        </is>
      </c>
      <c r="FB30" s="5">
        <f>ROUND(0.8,2)</f>
        <v/>
      </c>
      <c r="FC30" s="3">
        <f>ROUND(4981.0,2)</f>
        <v/>
      </c>
      <c r="FD30" s="3">
        <f>ROUND(80.0,2)</f>
        <v/>
      </c>
      <c r="FE30" s="3">
        <f>ROUND(0.0,2)</f>
        <v/>
      </c>
      <c r="FF30" s="3">
        <f>ROUND(0.0,2)</f>
        <v/>
      </c>
      <c r="FG30" s="3">
        <f>ROUND(0.0,2)</f>
        <v/>
      </c>
      <c r="FH30" s="3">
        <f>ROUND(0.0,2)</f>
        <v/>
      </c>
      <c r="FI30" s="3">
        <f>ROUND(0.0,2)</f>
        <v/>
      </c>
      <c r="FJ30" s="4">
        <f>IFERROR((FD30/FC30),0)</f>
        <v/>
      </c>
      <c r="FK30" s="4">
        <f>IFERROR(((0+FB11+FB12+FB13+FB14+FB15+FB16+FB17+FB19+FB20+FB21+FB22+FB23+FB24+FB25+FB27+FB28+FB29+FB30)/T2),0)</f>
        <v/>
      </c>
      <c r="FL30" s="5">
        <f>IFERROR(ROUND(FB30/FD30,2),0)</f>
        <v/>
      </c>
      <c r="FM30" s="5">
        <f>IFERROR(ROUND(FB30/FE30,2),0)</f>
        <v/>
      </c>
      <c r="FN30" s="2" t="inlineStr">
        <is>
          <t>2023-10-07</t>
        </is>
      </c>
      <c r="FO30" s="5">
        <f>ROUND(4.61,2)</f>
        <v/>
      </c>
      <c r="FP30" s="3">
        <f>ROUND(11229.0,2)</f>
        <v/>
      </c>
      <c r="FQ30" s="3">
        <f>ROUND(461.0,2)</f>
        <v/>
      </c>
      <c r="FR30" s="3">
        <f>ROUND(0.0,2)</f>
        <v/>
      </c>
      <c r="FS30" s="3">
        <f>ROUND(0.0,2)</f>
        <v/>
      </c>
      <c r="FT30" s="3">
        <f>ROUND(0.0,2)</f>
        <v/>
      </c>
      <c r="FU30" s="3">
        <f>ROUND(0.0,2)</f>
        <v/>
      </c>
      <c r="FV30" s="3">
        <f>ROUND(0.0,2)</f>
        <v/>
      </c>
      <c r="FW30" s="4">
        <f>IFERROR((FQ30/FP30),0)</f>
        <v/>
      </c>
      <c r="FX30" s="4">
        <f>IFERROR(((0+FO11+FO12+FO13+FO14+FO15+FO16+FO17+FO19+FO20+FO21+FO22+FO23+FO24+FO25+FO27+FO28+FO29+FO30)/T2),0)</f>
        <v/>
      </c>
      <c r="FY30" s="5">
        <f>IFERROR(ROUND(FO30/FQ30,2),0)</f>
        <v/>
      </c>
      <c r="FZ30" s="5">
        <f>IFERROR(ROUND(FO30/FR30,2),0)</f>
        <v/>
      </c>
      <c r="GA30" s="2" t="inlineStr">
        <is>
          <t>2023-10-07</t>
        </is>
      </c>
      <c r="GB30" s="5">
        <f>ROUND(0.65,2)</f>
        <v/>
      </c>
      <c r="GC30" s="3">
        <f>ROUND(1251.0,2)</f>
        <v/>
      </c>
      <c r="GD30" s="3">
        <f>ROUND(65.0,2)</f>
        <v/>
      </c>
      <c r="GE30" s="3">
        <f>ROUND(0.0,2)</f>
        <v/>
      </c>
      <c r="GF30" s="3">
        <f>ROUND(0.0,2)</f>
        <v/>
      </c>
      <c r="GG30" s="3">
        <f>ROUND(0.0,2)</f>
        <v/>
      </c>
      <c r="GH30" s="3">
        <f>ROUND(0.0,2)</f>
        <v/>
      </c>
      <c r="GI30" s="3">
        <f>ROUND(0.0,2)</f>
        <v/>
      </c>
      <c r="GJ30" s="4">
        <f>IFERROR((GD30/GC30),0)</f>
        <v/>
      </c>
      <c r="GK30" s="4">
        <f>IFERROR(((0+GB11+GB12+GB13+GB14+GB15+GB16+GB17+GB19+GB20+GB21+GB22+GB23+GB24+GB25+GB27+GB28+GB29+GB30)/T2),0)</f>
        <v/>
      </c>
      <c r="GL30" s="5">
        <f>IFERROR(ROUND(GB30/GD30,2),0)</f>
        <v/>
      </c>
      <c r="GM30" s="5">
        <f>IFERROR(ROUND(GB30/GE30,2),0)</f>
        <v/>
      </c>
      <c r="GN30" s="2" t="inlineStr">
        <is>
          <t>2023-10-07</t>
        </is>
      </c>
      <c r="GO30" s="5">
        <f>ROUND(1.99,2)</f>
        <v/>
      </c>
      <c r="GP30" s="3">
        <f>ROUND(7739.0,2)</f>
        <v/>
      </c>
      <c r="GQ30" s="3">
        <f>ROUND(199.0,2)</f>
        <v/>
      </c>
      <c r="GR30" s="3">
        <f>ROUND(0.0,2)</f>
        <v/>
      </c>
      <c r="GS30" s="3">
        <f>ROUND(0.0,2)</f>
        <v/>
      </c>
      <c r="GT30" s="3">
        <f>ROUND(0.0,2)</f>
        <v/>
      </c>
      <c r="GU30" s="3">
        <f>ROUND(0.0,2)</f>
        <v/>
      </c>
      <c r="GV30" s="3">
        <f>ROUND(0.0,2)</f>
        <v/>
      </c>
      <c r="GW30" s="4">
        <f>IFERROR((GQ30/GP30),0)</f>
        <v/>
      </c>
      <c r="GX30" s="4">
        <f>IFERROR(((0+GO11+GO12+GO13+GO14+GO15+GO16+GO17+GO19+GO20+GO21+GO22+GO23+GO24+GO25+GO27+GO28+GO29+GO30)/T2),0)</f>
        <v/>
      </c>
      <c r="GY30" s="5">
        <f>IFERROR(ROUND(GO30/GQ30,2),0)</f>
        <v/>
      </c>
      <c r="GZ30" s="5">
        <f>IFERROR(ROUND(GO30/GR30,2),0)</f>
        <v/>
      </c>
      <c r="HA30" s="2" t="inlineStr">
        <is>
          <t>2023-10-07</t>
        </is>
      </c>
      <c r="HB30" s="5">
        <f>ROUND(4.42,2)</f>
        <v/>
      </c>
      <c r="HC30" s="3">
        <f>ROUND(6374.0,2)</f>
        <v/>
      </c>
      <c r="HD30" s="3">
        <f>ROUND(442.0,2)</f>
        <v/>
      </c>
      <c r="HE30" s="3">
        <f>ROUND(0.0,2)</f>
        <v/>
      </c>
      <c r="HF30" s="3">
        <f>ROUND(0.0,2)</f>
        <v/>
      </c>
      <c r="HG30" s="3">
        <f>ROUND(0.0,2)</f>
        <v/>
      </c>
      <c r="HH30" s="3">
        <f>ROUND(0.0,2)</f>
        <v/>
      </c>
      <c r="HI30" s="3">
        <f>ROUND(0.0,2)</f>
        <v/>
      </c>
      <c r="HJ30" s="4">
        <f>IFERROR((HD30/HC30),0)</f>
        <v/>
      </c>
      <c r="HK30" s="4">
        <f>IFERROR(((0+HB11+HB12+HB13+HB14+HB15+HB16+HB17+HB19+HB20+HB21+HB22+HB23+HB24+HB25+HB27+HB28+HB29+HB30)/T2),0)</f>
        <v/>
      </c>
      <c r="HL30" s="5">
        <f>IFERROR(ROUND(HB30/HD30,2),0)</f>
        <v/>
      </c>
      <c r="HM30" s="5">
        <f>IFERROR(ROUND(HB30/HE30,2),0)</f>
        <v/>
      </c>
      <c r="HN30" s="2" t="inlineStr">
        <is>
          <t>2023-10-07</t>
        </is>
      </c>
      <c r="HO30" s="5">
        <f>ROUND(0.28,2)</f>
        <v/>
      </c>
      <c r="HP30" s="3">
        <f>ROUND(645.0,2)</f>
        <v/>
      </c>
      <c r="HQ30" s="3">
        <f>ROUND(28.0,2)</f>
        <v/>
      </c>
      <c r="HR30" s="3">
        <f>ROUND(0.0,2)</f>
        <v/>
      </c>
      <c r="HS30" s="3">
        <f>ROUND(0.0,2)</f>
        <v/>
      </c>
      <c r="HT30" s="3">
        <f>ROUND(0.0,2)</f>
        <v/>
      </c>
      <c r="HU30" s="3">
        <f>ROUND(0.0,2)</f>
        <v/>
      </c>
      <c r="HV30" s="3">
        <f>ROUND(0.0,2)</f>
        <v/>
      </c>
      <c r="HW30" s="4">
        <f>IFERROR((HQ30/HP30),0)</f>
        <v/>
      </c>
      <c r="HX30" s="4">
        <f>IFERROR(((0+HO11+HO12+HO13+HO14+HO15+HO16+HO17+HO19+HO20+HO21+HO22+HO23+HO24+HO25+HO27+HO28+HO29+HO30)/T2),0)</f>
        <v/>
      </c>
      <c r="HY30" s="5">
        <f>IFERROR(ROUND(HO30/HQ30,2),0)</f>
        <v/>
      </c>
      <c r="HZ30" s="5">
        <f>IFERROR(ROUND(HO30/HR30,2),0)</f>
        <v/>
      </c>
      <c r="IA30" s="2" t="inlineStr">
        <is>
          <t>2023-10-07</t>
        </is>
      </c>
      <c r="IB30" s="5">
        <f>ROUND(0.5700000000000001,2)</f>
        <v/>
      </c>
      <c r="IC30" s="3">
        <f>ROUND(703.0,2)</f>
        <v/>
      </c>
      <c r="ID30" s="3">
        <f>ROUND(57.0,2)</f>
        <v/>
      </c>
      <c r="IE30" s="3">
        <f>ROUND(0.0,2)</f>
        <v/>
      </c>
      <c r="IF30" s="3">
        <f>ROUND(0.0,2)</f>
        <v/>
      </c>
      <c r="IG30" s="3">
        <f>ROUND(0.0,2)</f>
        <v/>
      </c>
      <c r="IH30" s="3">
        <f>ROUND(0.0,2)</f>
        <v/>
      </c>
      <c r="II30" s="3">
        <f>ROUND(0.0,2)</f>
        <v/>
      </c>
      <c r="IJ30" s="4">
        <f>IFERROR((ID30/IC30),0)</f>
        <v/>
      </c>
      <c r="IK30" s="4">
        <f>IFERROR(((0+IB11+IB12+IB13+IB14+IB15+IB16+IB17+IB19+IB20+IB21+IB22+IB23+IB24+IB25+IB27+IB28+IB29+IB30)/T2),0)</f>
        <v/>
      </c>
      <c r="IL30" s="5">
        <f>IFERROR(ROUND(IB30/ID30,2),0)</f>
        <v/>
      </c>
      <c r="IM30" s="5">
        <f>IFERROR(ROUND(IB30/IE30,2),0)</f>
        <v/>
      </c>
      <c r="IN30" s="2" t="inlineStr">
        <is>
          <t>2023-10-07</t>
        </is>
      </c>
      <c r="IO30" s="5">
        <f>ROUND(0.87,2)</f>
        <v/>
      </c>
      <c r="IP30" s="3">
        <f>ROUND(2422.0,2)</f>
        <v/>
      </c>
      <c r="IQ30" s="3">
        <f>ROUND(87.0,2)</f>
        <v/>
      </c>
      <c r="IR30" s="3">
        <f>ROUND(0.0,2)</f>
        <v/>
      </c>
      <c r="IS30" s="3">
        <f>ROUND(0.0,2)</f>
        <v/>
      </c>
      <c r="IT30" s="3">
        <f>ROUND(0.0,2)</f>
        <v/>
      </c>
      <c r="IU30" s="3">
        <f>ROUND(0.0,2)</f>
        <v/>
      </c>
      <c r="IV30" s="3">
        <f>ROUND(0.0,2)</f>
        <v/>
      </c>
      <c r="IW30" s="4">
        <f>IFERROR((IQ30/IP30),0)</f>
        <v/>
      </c>
      <c r="IX30" s="4">
        <f>IFERROR(((0+IO11+IO12+IO13+IO14+IO15+IO16+IO17+IO19+IO20+IO21+IO22+IO23+IO24+IO25+IO27+IO28+IO29+IO30)/T2),0)</f>
        <v/>
      </c>
      <c r="IY30" s="5">
        <f>IFERROR(ROUND(IO30/IQ30,2),0)</f>
        <v/>
      </c>
      <c r="IZ30" s="5">
        <f>IFERROR(ROUND(IO30/IR30,2),0)</f>
        <v/>
      </c>
      <c r="JA30" s="2" t="inlineStr">
        <is>
          <t>2023-10-07</t>
        </is>
      </c>
      <c r="JB30" s="5">
        <f>ROUND(0.6499999999999999,2)</f>
        <v/>
      </c>
      <c r="JC30" s="3">
        <f>ROUND(1326.0,2)</f>
        <v/>
      </c>
      <c r="JD30" s="3">
        <f>ROUND(65.0,2)</f>
        <v/>
      </c>
      <c r="JE30" s="3">
        <f>ROUND(0.0,2)</f>
        <v/>
      </c>
      <c r="JF30" s="3">
        <f>ROUND(0.0,2)</f>
        <v/>
      </c>
      <c r="JG30" s="3">
        <f>ROUND(0.0,2)</f>
        <v/>
      </c>
      <c r="JH30" s="3">
        <f>ROUND(0.0,2)</f>
        <v/>
      </c>
      <c r="JI30" s="3">
        <f>ROUND(0.0,2)</f>
        <v/>
      </c>
      <c r="JJ30" s="4">
        <f>IFERROR((JD30/JC30),0)</f>
        <v/>
      </c>
      <c r="JK30" s="4">
        <f>IFERROR(((0+JB11+JB12+JB13+JB14+JB15+JB16+JB17+JB19+JB20+JB21+JB22+JB23+JB24+JB25+JB27+JB28+JB29+JB30)/T2),0)</f>
        <v/>
      </c>
      <c r="JL30" s="5">
        <f>IFERROR(ROUND(JB30/JD30,2),0)</f>
        <v/>
      </c>
      <c r="JM30" s="5">
        <f>IFERROR(ROUND(JB30/JE30,2),0)</f>
        <v/>
      </c>
      <c r="JN30" s="2" t="inlineStr">
        <is>
          <t>2023-10-07</t>
        </is>
      </c>
      <c r="JO30" s="5">
        <f>ROUND(0.32999999999999996,2)</f>
        <v/>
      </c>
      <c r="JP30" s="3">
        <f>ROUND(636.0,2)</f>
        <v/>
      </c>
      <c r="JQ30" s="3">
        <f>ROUND(33.0,2)</f>
        <v/>
      </c>
      <c r="JR30" s="3">
        <f>ROUND(0.0,2)</f>
        <v/>
      </c>
      <c r="JS30" s="3">
        <f>ROUND(0.0,2)</f>
        <v/>
      </c>
      <c r="JT30" s="3">
        <f>ROUND(0.0,2)</f>
        <v/>
      </c>
      <c r="JU30" s="3">
        <f>ROUND(0.0,2)</f>
        <v/>
      </c>
      <c r="JV30" s="3">
        <f>ROUND(0.0,2)</f>
        <v/>
      </c>
      <c r="JW30" s="4">
        <f>IFERROR((JQ30/JP30),0)</f>
        <v/>
      </c>
      <c r="JX30" s="4">
        <f>IFERROR(((0+JO11+JO12+JO13+JO14+JO15+JO16+JO17+JO19+JO20+JO21+JO22+JO23+JO24+JO25+JO27+JO28+JO29+JO30)/T2),0)</f>
        <v/>
      </c>
      <c r="JY30" s="5">
        <f>IFERROR(ROUND(JO30/JQ30,2),0)</f>
        <v/>
      </c>
      <c r="JZ30" s="5">
        <f>IFERROR(ROUND(JO30/JR30,2),0)</f>
        <v/>
      </c>
      <c r="KA30" s="2" t="inlineStr">
        <is>
          <t>2023-10-07</t>
        </is>
      </c>
      <c r="KB30" s="5">
        <f>ROUND(2.4999999999999996,2)</f>
        <v/>
      </c>
      <c r="KC30" s="3">
        <f>ROUND(3680.0,2)</f>
        <v/>
      </c>
      <c r="KD30" s="3">
        <f>ROUND(250.0,2)</f>
        <v/>
      </c>
      <c r="KE30" s="3">
        <f>ROUND(0.0,2)</f>
        <v/>
      </c>
      <c r="KF30" s="3">
        <f>ROUND(0.0,2)</f>
        <v/>
      </c>
      <c r="KG30" s="3">
        <f>ROUND(0.0,2)</f>
        <v/>
      </c>
      <c r="KH30" s="3">
        <f>ROUND(0.0,2)</f>
        <v/>
      </c>
      <c r="KI30" s="3">
        <f>ROUND(0.0,2)</f>
        <v/>
      </c>
      <c r="KJ30" s="4">
        <f>IFERROR((KD30/KC30),0)</f>
        <v/>
      </c>
      <c r="KK30" s="4">
        <f>IFERROR(((0+KB11+KB12+KB13+KB14+KB15+KB16+KB17+KB19+KB20+KB21+KB22+KB23+KB24+KB25+KB27+KB28+KB29+KB30)/T2),0)</f>
        <v/>
      </c>
      <c r="KL30" s="5">
        <f>IFERROR(ROUND(KB30/KD30,2),0)</f>
        <v/>
      </c>
      <c r="KM30" s="5">
        <f>IFERROR(ROUND(KB30/KE30,2),0)</f>
        <v/>
      </c>
      <c r="KN30" s="2" t="inlineStr">
        <is>
          <t>2023-10-07</t>
        </is>
      </c>
      <c r="KO30" s="5">
        <f>ROUND(0.78,2)</f>
        <v/>
      </c>
      <c r="KP30" s="3">
        <f>ROUND(4319.0,2)</f>
        <v/>
      </c>
      <c r="KQ30" s="3">
        <f>ROUND(78.0,2)</f>
        <v/>
      </c>
      <c r="KR30" s="3">
        <f>ROUND(0.0,2)</f>
        <v/>
      </c>
      <c r="KS30" s="3">
        <f>ROUND(0.0,2)</f>
        <v/>
      </c>
      <c r="KT30" s="3">
        <f>ROUND(0.0,2)</f>
        <v/>
      </c>
      <c r="KU30" s="3">
        <f>ROUND(0.0,2)</f>
        <v/>
      </c>
      <c r="KV30" s="3">
        <f>ROUND(0.0,2)</f>
        <v/>
      </c>
      <c r="KW30" s="4">
        <f>IFERROR((KQ30/KP30),0)</f>
        <v/>
      </c>
      <c r="KX30" s="4">
        <f>IFERROR(((0+KO11+KO12+KO13+KO14+KO15+KO16+KO17+KO19+KO20+KO21+KO22+KO23+KO24+KO25+KO27+KO28+KO29+KO30)/T2),0)</f>
        <v/>
      </c>
      <c r="KY30" s="5">
        <f>IFERROR(ROUND(KO30/KQ30,2),0)</f>
        <v/>
      </c>
      <c r="KZ30" s="5">
        <f>IFERROR(ROUND(KO30/KR30,2),0)</f>
        <v/>
      </c>
      <c r="LA30" s="2" t="inlineStr">
        <is>
          <t>2023-10-07</t>
        </is>
      </c>
      <c r="LB30" s="5">
        <f>ROUND(0.8400000000000001,2)</f>
        <v/>
      </c>
      <c r="LC30" s="3">
        <f>ROUND(3716.0,2)</f>
        <v/>
      </c>
      <c r="LD30" s="3">
        <f>ROUND(84.0,2)</f>
        <v/>
      </c>
      <c r="LE30" s="3">
        <f>ROUND(0.0,2)</f>
        <v/>
      </c>
      <c r="LF30" s="3">
        <f>ROUND(0.0,2)</f>
        <v/>
      </c>
      <c r="LG30" s="3">
        <f>ROUND(0.0,2)</f>
        <v/>
      </c>
      <c r="LH30" s="3">
        <f>ROUND(0.0,2)</f>
        <v/>
      </c>
      <c r="LI30" s="3">
        <f>ROUND(0.0,2)</f>
        <v/>
      </c>
      <c r="LJ30" s="4">
        <f>IFERROR((LD30/LC30),0)</f>
        <v/>
      </c>
      <c r="LK30" s="4">
        <f>IFERROR(((0+LB11+LB12+LB13+LB14+LB15+LB16+LB17+LB19+LB20+LB21+LB22+LB23+LB24+LB25+LB27+LB28+LB29+LB30)/T2),0)</f>
        <v/>
      </c>
      <c r="LL30" s="5">
        <f>IFERROR(ROUND(LB30/LD30,2),0)</f>
        <v/>
      </c>
      <c r="LM30" s="5">
        <f>IFERROR(ROUND(LB30/LE30,2),0)</f>
        <v/>
      </c>
      <c r="LN30" s="2" t="inlineStr">
        <is>
          <t>2023-10-07</t>
        </is>
      </c>
      <c r="LO30" s="5">
        <f>ROUND(0.6,2)</f>
        <v/>
      </c>
      <c r="LP30" s="3">
        <f>ROUND(3152.0,2)</f>
        <v/>
      </c>
      <c r="LQ30" s="3">
        <f>ROUND(60.0,2)</f>
        <v/>
      </c>
      <c r="LR30" s="3">
        <f>ROUND(0.0,2)</f>
        <v/>
      </c>
      <c r="LS30" s="3">
        <f>ROUND(0.0,2)</f>
        <v/>
      </c>
      <c r="LT30" s="3">
        <f>ROUND(0.0,2)</f>
        <v/>
      </c>
      <c r="LU30" s="3">
        <f>ROUND(0.0,2)</f>
        <v/>
      </c>
      <c r="LV30" s="3">
        <f>ROUND(0.0,2)</f>
        <v/>
      </c>
      <c r="LW30" s="4">
        <f>IFERROR((LQ30/LP30),0)</f>
        <v/>
      </c>
      <c r="LX30" s="4">
        <f>IFERROR(((0+LO11+LO12+LO13+LO14+LO15+LO16+LO17+LO19+LO20+LO21+LO22+LO23+LO24+LO25+LO27+LO28+LO29+LO30)/T2),0)</f>
        <v/>
      </c>
      <c r="LY30" s="5">
        <f>IFERROR(ROUND(LO30/LQ30,2),0)</f>
        <v/>
      </c>
      <c r="LZ30" s="5">
        <f>IFERROR(ROUND(LO30/LR30,2),0)</f>
        <v/>
      </c>
      <c r="MA30" s="2" t="inlineStr">
        <is>
          <t>2023-10-07</t>
        </is>
      </c>
      <c r="MB30" s="5">
        <f>ROUND(0.9700000000000001,2)</f>
        <v/>
      </c>
      <c r="MC30" s="3">
        <f>ROUND(3411.0,2)</f>
        <v/>
      </c>
      <c r="MD30" s="3">
        <f>ROUND(97.0,2)</f>
        <v/>
      </c>
      <c r="ME30" s="3">
        <f>ROUND(0.0,2)</f>
        <v/>
      </c>
      <c r="MF30" s="3">
        <f>ROUND(0.0,2)</f>
        <v/>
      </c>
      <c r="MG30" s="3">
        <f>ROUND(0.0,2)</f>
        <v/>
      </c>
      <c r="MH30" s="3">
        <f>ROUND(0.0,2)</f>
        <v/>
      </c>
      <c r="MI30" s="3">
        <f>ROUND(0.0,2)</f>
        <v/>
      </c>
      <c r="MJ30" s="4">
        <f>IFERROR((MD30/MC30),0)</f>
        <v/>
      </c>
      <c r="MK30" s="4">
        <f>IFERROR(((0+MB11+MB12+MB13+MB14+MB15+MB16+MB17+MB19+MB20+MB21+MB22+MB23+MB24+MB25+MB27+MB28+MB29+MB30)/T2),0)</f>
        <v/>
      </c>
      <c r="ML30" s="5">
        <f>IFERROR(ROUND(MB30/MD30,2),0)</f>
        <v/>
      </c>
      <c r="MM30" s="5">
        <f>IFERROR(ROUND(MB30/ME30,2),0)</f>
        <v/>
      </c>
      <c r="MN30" s="2" t="inlineStr">
        <is>
          <t>2023-10-07</t>
        </is>
      </c>
      <c r="MO30" s="5">
        <f>ROUND(2.52,2)</f>
        <v/>
      </c>
      <c r="MP30" s="3">
        <f>ROUND(4151.0,2)</f>
        <v/>
      </c>
      <c r="MQ30" s="3">
        <f>ROUND(252.0,2)</f>
        <v/>
      </c>
      <c r="MR30" s="3">
        <f>ROUND(0.0,2)</f>
        <v/>
      </c>
      <c r="MS30" s="3">
        <f>ROUND(0.0,2)</f>
        <v/>
      </c>
      <c r="MT30" s="3">
        <f>ROUND(0.0,2)</f>
        <v/>
      </c>
      <c r="MU30" s="3">
        <f>ROUND(0.0,2)</f>
        <v/>
      </c>
      <c r="MV30" s="3">
        <f>ROUND(0.0,2)</f>
        <v/>
      </c>
      <c r="MW30" s="4">
        <f>IFERROR((MQ30/MP30),0)</f>
        <v/>
      </c>
      <c r="MX30" s="4">
        <f>IFERROR(((0+MO11+MO12+MO13+MO14+MO15+MO16+MO17+MO19+MO20+MO21+MO22+MO23+MO24+MO25+MO27+MO28+MO29+MO30)/T2),0)</f>
        <v/>
      </c>
      <c r="MY30" s="5">
        <f>IFERROR(ROUND(MO30/MQ30,2),0)</f>
        <v/>
      </c>
      <c r="MZ30" s="5">
        <f>IFERROR(ROUND(MO30/MR30,2),0)</f>
        <v/>
      </c>
      <c r="NA30" s="2" t="inlineStr">
        <is>
          <t>2023-10-07</t>
        </is>
      </c>
      <c r="NB30" s="5">
        <f>ROUND(1.1300000000000001,2)</f>
        <v/>
      </c>
      <c r="NC30" s="3">
        <f>ROUND(4470.0,2)</f>
        <v/>
      </c>
      <c r="ND30" s="3">
        <f>ROUND(113.0,2)</f>
        <v/>
      </c>
      <c r="NE30" s="3">
        <f>ROUND(0.0,2)</f>
        <v/>
      </c>
      <c r="NF30" s="3">
        <f>ROUND(0.0,2)</f>
        <v/>
      </c>
      <c r="NG30" s="3">
        <f>ROUND(0.0,2)</f>
        <v/>
      </c>
      <c r="NH30" s="3">
        <f>ROUND(0.0,2)</f>
        <v/>
      </c>
      <c r="NI30" s="3">
        <f>ROUND(0.0,2)</f>
        <v/>
      </c>
      <c r="NJ30" s="4">
        <f>IFERROR((ND30/NC30),0)</f>
        <v/>
      </c>
      <c r="NK30" s="4">
        <f>IFERROR(((0+NB11+NB12+NB13+NB14+NB15+NB16+NB17+NB19+NB20+NB21+NB22+NB23+NB24+NB25+NB27+NB28+NB29+NB30)/T2),0)</f>
        <v/>
      </c>
      <c r="NL30" s="5">
        <f>IFERROR(ROUND(NB30/ND30,2),0)</f>
        <v/>
      </c>
      <c r="NM30" s="5">
        <f>IFERROR(ROUND(NB30/NE30,2),0)</f>
        <v/>
      </c>
      <c r="NN30" s="2" t="inlineStr">
        <is>
          <t>2023-10-07</t>
        </is>
      </c>
      <c r="NO30" s="5">
        <f>ROUND(0.23000000000000004,2)</f>
        <v/>
      </c>
      <c r="NP30" s="3">
        <f>ROUND(553.0,2)</f>
        <v/>
      </c>
      <c r="NQ30" s="3">
        <f>ROUND(23.0,2)</f>
        <v/>
      </c>
      <c r="NR30" s="3">
        <f>ROUND(0.0,2)</f>
        <v/>
      </c>
      <c r="NS30" s="3">
        <f>ROUND(0.0,2)</f>
        <v/>
      </c>
      <c r="NT30" s="3">
        <f>ROUND(0.0,2)</f>
        <v/>
      </c>
      <c r="NU30" s="3">
        <f>ROUND(0.0,2)</f>
        <v/>
      </c>
      <c r="NV30" s="3">
        <f>ROUND(0.0,2)</f>
        <v/>
      </c>
      <c r="NW30" s="4">
        <f>IFERROR((NQ30/NP30),0)</f>
        <v/>
      </c>
      <c r="NX30" s="4">
        <f>IFERROR(((0+NO11+NO12+NO13+NO14+NO15+NO16+NO17+NO19+NO20+NO21+NO22+NO23+NO24+NO25+NO27+NO28+NO29+NO30)/T2),0)</f>
        <v/>
      </c>
      <c r="NY30" s="5">
        <f>IFERROR(ROUND(NO30/NQ30,2),0)</f>
        <v/>
      </c>
      <c r="NZ30" s="5">
        <f>IFERROR(ROUND(NO30/NR30,2),0)</f>
        <v/>
      </c>
      <c r="OA30" s="2" t="inlineStr">
        <is>
          <t>2023-10-07</t>
        </is>
      </c>
      <c r="OB30" s="5">
        <f>ROUND(0.55,2)</f>
        <v/>
      </c>
      <c r="OC30" s="3">
        <f>ROUND(820.0,2)</f>
        <v/>
      </c>
      <c r="OD30" s="3">
        <f>ROUND(55.0,2)</f>
        <v/>
      </c>
      <c r="OE30" s="3">
        <f>ROUND(0.0,2)</f>
        <v/>
      </c>
      <c r="OF30" s="3">
        <f>ROUND(0.0,2)</f>
        <v/>
      </c>
      <c r="OG30" s="3">
        <f>ROUND(0.0,2)</f>
        <v/>
      </c>
      <c r="OH30" s="3">
        <f>ROUND(0.0,2)</f>
        <v/>
      </c>
      <c r="OI30" s="3">
        <f>ROUND(0.0,2)</f>
        <v/>
      </c>
      <c r="OJ30" s="4">
        <f>IFERROR((OD30/OC30),0)</f>
        <v/>
      </c>
      <c r="OK30" s="4">
        <f>IFERROR(((0+OB11+OB12+OB13+OB14+OB15+OB16+OB17+OB19+OB20+OB21+OB22+OB23+OB24+OB25+OB27+OB28+OB29+OB30)/T2),0)</f>
        <v/>
      </c>
      <c r="OL30" s="5">
        <f>IFERROR(ROUND(OB30/OD30,2),0)</f>
        <v/>
      </c>
      <c r="OM30" s="5">
        <f>IFERROR(ROUND(OB30/OE30,2),0)</f>
        <v/>
      </c>
      <c r="ON30" s="2" t="inlineStr">
        <is>
          <t>2023-10-07</t>
        </is>
      </c>
      <c r="OO30" s="5">
        <f>ROUND(0.39,2)</f>
        <v/>
      </c>
      <c r="OP30" s="3">
        <f>ROUND(763.0,2)</f>
        <v/>
      </c>
      <c r="OQ30" s="3">
        <f>ROUND(39.0,2)</f>
        <v/>
      </c>
      <c r="OR30" s="3">
        <f>ROUND(0.0,2)</f>
        <v/>
      </c>
      <c r="OS30" s="3">
        <f>ROUND(0.0,2)</f>
        <v/>
      </c>
      <c r="OT30" s="3">
        <f>ROUND(0.0,2)</f>
        <v/>
      </c>
      <c r="OU30" s="3">
        <f>ROUND(0.0,2)</f>
        <v/>
      </c>
      <c r="OV30" s="3">
        <f>ROUND(0.0,2)</f>
        <v/>
      </c>
      <c r="OW30" s="4">
        <f>IFERROR((OQ30/OP30),0)</f>
        <v/>
      </c>
      <c r="OX30" s="4">
        <f>IFERROR(((0+OO11+OO12+OO13+OO14+OO15+OO16+OO17+OO19+OO20+OO21+OO22+OO23+OO24+OO25+OO27+OO28+OO29+OO30)/T2),0)</f>
        <v/>
      </c>
      <c r="OY30" s="5">
        <f>IFERROR(ROUND(OO30/OQ30,2),0)</f>
        <v/>
      </c>
      <c r="OZ30" s="5">
        <f>IFERROR(ROUND(OO30/OR30,2),0)</f>
        <v/>
      </c>
      <c r="PA30" s="2" t="inlineStr">
        <is>
          <t>2023-10-07</t>
        </is>
      </c>
      <c r="PB30" s="5">
        <f>ROUND(0.99,2)</f>
        <v/>
      </c>
      <c r="PC30" s="3">
        <f>ROUND(2053.0,2)</f>
        <v/>
      </c>
      <c r="PD30" s="3">
        <f>ROUND(99.0,2)</f>
        <v/>
      </c>
      <c r="PE30" s="3">
        <f>ROUND(0.0,2)</f>
        <v/>
      </c>
      <c r="PF30" s="3">
        <f>ROUND(0.0,2)</f>
        <v/>
      </c>
      <c r="PG30" s="3">
        <f>ROUND(0.0,2)</f>
        <v/>
      </c>
      <c r="PH30" s="3">
        <f>ROUND(0.0,2)</f>
        <v/>
      </c>
      <c r="PI30" s="3">
        <f>ROUND(0.0,2)</f>
        <v/>
      </c>
      <c r="PJ30" s="4">
        <f>IFERROR((PD30/PC30),0)</f>
        <v/>
      </c>
      <c r="PK30" s="4">
        <f>IFERROR(((0+PB11+PB12+PB13+PB14+PB15+PB16+PB17+PB19+PB20+PB21+PB22+PB23+PB24+PB25+PB27+PB28+PB29+PB30)/T2),0)</f>
        <v/>
      </c>
      <c r="PL30" s="5">
        <f>IFERROR(ROUND(PB30/PD30,2),0)</f>
        <v/>
      </c>
      <c r="PM30" s="5">
        <f>IFERROR(ROUND(PB30/PE30,2),0)</f>
        <v/>
      </c>
      <c r="PN30" s="2" t="inlineStr">
        <is>
          <t>2023-10-07</t>
        </is>
      </c>
      <c r="PO30" s="5">
        <f>ROUND(0.26,2)</f>
        <v/>
      </c>
      <c r="PP30" s="3">
        <f>ROUND(512.0,2)</f>
        <v/>
      </c>
      <c r="PQ30" s="3">
        <f>ROUND(26.0,2)</f>
        <v/>
      </c>
      <c r="PR30" s="3">
        <f>ROUND(0.0,2)</f>
        <v/>
      </c>
      <c r="PS30" s="3">
        <f>ROUND(0.0,2)</f>
        <v/>
      </c>
      <c r="PT30" s="3">
        <f>ROUND(0.0,2)</f>
        <v/>
      </c>
      <c r="PU30" s="3">
        <f>ROUND(0.0,2)</f>
        <v/>
      </c>
      <c r="PV30" s="3">
        <f>ROUND(0.0,2)</f>
        <v/>
      </c>
      <c r="PW30" s="4">
        <f>IFERROR((PQ30/PP30),0)</f>
        <v/>
      </c>
      <c r="PX30" s="4">
        <f>IFERROR(((0+PO11+PO12+PO13+PO14+PO15+PO16+PO17+PO19+PO20+PO21+PO22+PO23+PO24+PO25+PO27+PO28+PO29+PO30)/T2),0)</f>
        <v/>
      </c>
      <c r="PY30" s="5">
        <f>IFERROR(ROUND(PO30/PQ30,2),0)</f>
        <v/>
      </c>
      <c r="PZ30" s="5">
        <f>IFERROR(ROUND(PO30/PR30,2),0)</f>
        <v/>
      </c>
      <c r="QA30" s="2" t="inlineStr">
        <is>
          <t>2023-10-07</t>
        </is>
      </c>
      <c r="QB30" s="5">
        <f>ROUND(0.26,2)</f>
        <v/>
      </c>
      <c r="QC30" s="3">
        <f>ROUND(581.0,2)</f>
        <v/>
      </c>
      <c r="QD30" s="3">
        <f>ROUND(26.0,2)</f>
        <v/>
      </c>
      <c r="QE30" s="3">
        <f>ROUND(0.0,2)</f>
        <v/>
      </c>
      <c r="QF30" s="3">
        <f>ROUND(0.0,2)</f>
        <v/>
      </c>
      <c r="QG30" s="3">
        <f>ROUND(0.0,2)</f>
        <v/>
      </c>
      <c r="QH30" s="3">
        <f>ROUND(0.0,2)</f>
        <v/>
      </c>
      <c r="QI30" s="3">
        <f>ROUND(0.0,2)</f>
        <v/>
      </c>
      <c r="QJ30" s="4">
        <f>IFERROR((QD30/QC30),0)</f>
        <v/>
      </c>
      <c r="QK30" s="4">
        <f>IFERROR(((0+QB11+QB12+QB13+QB14+QB15+QB16+QB17+QB19+QB20+QB21+QB22+QB23+QB24+QB25+QB27+QB28+QB29+QB30)/T2),0)</f>
        <v/>
      </c>
      <c r="QL30" s="5">
        <f>IFERROR(ROUND(QB30/QD30,2),0)</f>
        <v/>
      </c>
      <c r="QM30" s="5">
        <f>IFERROR(ROUND(QB30/QE30,2),0)</f>
        <v/>
      </c>
      <c r="QN30" s="2" t="inlineStr">
        <is>
          <t>2023-10-07</t>
        </is>
      </c>
      <c r="QO30" s="5">
        <f>ROUND(0.73,2)</f>
        <v/>
      </c>
      <c r="QP30" s="3">
        <f>ROUND(3227.0,2)</f>
        <v/>
      </c>
      <c r="QQ30" s="3">
        <f>ROUND(73.0,2)</f>
        <v/>
      </c>
      <c r="QR30" s="3">
        <f>ROUND(0.0,2)</f>
        <v/>
      </c>
      <c r="QS30" s="3">
        <f>ROUND(0.0,2)</f>
        <v/>
      </c>
      <c r="QT30" s="3">
        <f>ROUND(0.0,2)</f>
        <v/>
      </c>
      <c r="QU30" s="3">
        <f>ROUND(0.0,2)</f>
        <v/>
      </c>
      <c r="QV30" s="3">
        <f>ROUND(0.0,2)</f>
        <v/>
      </c>
      <c r="QW30" s="4">
        <f>IFERROR((QQ30/QP30),0)</f>
        <v/>
      </c>
      <c r="QX30" s="4">
        <f>IFERROR(((0+QO11+QO12+QO13+QO14+QO15+QO16+QO17+QO19+QO20+QO21+QO22+QO23+QO24+QO25+QO27+QO28+QO29+QO30)/T2),0)</f>
        <v/>
      </c>
      <c r="QY30" s="5">
        <f>IFERROR(ROUND(QO30/QQ30,2),0)</f>
        <v/>
      </c>
      <c r="QZ30" s="5">
        <f>IFERROR(ROUND(QO30/QR30,2),0)</f>
        <v/>
      </c>
      <c r="RA30" s="2" t="inlineStr">
        <is>
          <t>2023-10-07</t>
        </is>
      </c>
      <c r="RB30" s="5">
        <f>ROUND(0.98,2)</f>
        <v/>
      </c>
      <c r="RC30" s="3">
        <f>ROUND(1633.0,2)</f>
        <v/>
      </c>
      <c r="RD30" s="3">
        <f>ROUND(98.0,2)</f>
        <v/>
      </c>
      <c r="RE30" s="3">
        <f>ROUND(0.0,2)</f>
        <v/>
      </c>
      <c r="RF30" s="3">
        <f>ROUND(0.0,2)</f>
        <v/>
      </c>
      <c r="RG30" s="3">
        <f>ROUND(0.0,2)</f>
        <v/>
      </c>
      <c r="RH30" s="3">
        <f>ROUND(0.0,2)</f>
        <v/>
      </c>
      <c r="RI30" s="3">
        <f>ROUND(0.0,2)</f>
        <v/>
      </c>
      <c r="RJ30" s="4">
        <f>IFERROR((RD30/RC30),0)</f>
        <v/>
      </c>
      <c r="RK30" s="4">
        <f>IFERROR(((0+RB11+RB12+RB13+RB14+RB15+RB16+RB17+RB19+RB20+RB21+RB22+RB23+RB24+RB25+RB27+RB28+RB29+RB30)/T2),0)</f>
        <v/>
      </c>
      <c r="RL30" s="5">
        <f>IFERROR(ROUND(RB30/RD30,2),0)</f>
        <v/>
      </c>
      <c r="RM30" s="5">
        <f>IFERROR(ROUND(RB30/RE30,2),0)</f>
        <v/>
      </c>
      <c r="RN30" s="2" t="inlineStr">
        <is>
          <t>2023-10-07</t>
        </is>
      </c>
      <c r="RO30" s="5">
        <f>ROUND(0.27,2)</f>
        <v/>
      </c>
      <c r="RP30" s="3">
        <f>ROUND(648.0,2)</f>
        <v/>
      </c>
      <c r="RQ30" s="3">
        <f>ROUND(27.0,2)</f>
        <v/>
      </c>
      <c r="RR30" s="3">
        <f>ROUND(0.0,2)</f>
        <v/>
      </c>
      <c r="RS30" s="3">
        <f>ROUND(0.0,2)</f>
        <v/>
      </c>
      <c r="RT30" s="3">
        <f>ROUND(0.0,2)</f>
        <v/>
      </c>
      <c r="RU30" s="3">
        <f>ROUND(0.0,2)</f>
        <v/>
      </c>
      <c r="RV30" s="3">
        <f>ROUND(0.0,2)</f>
        <v/>
      </c>
      <c r="RW30" s="4">
        <f>IFERROR((RQ30/RP30),0)</f>
        <v/>
      </c>
      <c r="RX30" s="4">
        <f>IFERROR(((0+RO11+RO12+RO13+RO14+RO15+RO16+RO17+RO19+RO20+RO21+RO22+RO23+RO24+RO25+RO27+RO28+RO29+RO30)/T2),0)</f>
        <v/>
      </c>
      <c r="RY30" s="5">
        <f>IFERROR(ROUND(RO30/RQ30,2),0)</f>
        <v/>
      </c>
      <c r="RZ30" s="5">
        <f>IFERROR(ROUND(RO30/RR30,2),0)</f>
        <v/>
      </c>
      <c r="SA30" s="2" t="inlineStr">
        <is>
          <t>2023-10-07</t>
        </is>
      </c>
      <c r="SB30" s="5">
        <f>ROUND(0.96,2)</f>
        <v/>
      </c>
      <c r="SC30" s="3">
        <f>ROUND(1452.0,2)</f>
        <v/>
      </c>
      <c r="SD30" s="3">
        <f>ROUND(96.0,2)</f>
        <v/>
      </c>
      <c r="SE30" s="3">
        <f>ROUND(0.0,2)</f>
        <v/>
      </c>
      <c r="SF30" s="3">
        <f>ROUND(0.0,2)</f>
        <v/>
      </c>
      <c r="SG30" s="3">
        <f>ROUND(0.0,2)</f>
        <v/>
      </c>
      <c r="SH30" s="3">
        <f>ROUND(0.0,2)</f>
        <v/>
      </c>
      <c r="SI30" s="3">
        <f>ROUND(0.0,2)</f>
        <v/>
      </c>
      <c r="SJ30" s="4">
        <f>IFERROR((SD30/SC30),0)</f>
        <v/>
      </c>
      <c r="SK30" s="4">
        <f>IFERROR(((0+SB11+SB12+SB13+SB14+SB15+SB16+SB17+SB19+SB20+SB21+SB22+SB23+SB24+SB25+SB27+SB28+SB29+SB30)/T2),0)</f>
        <v/>
      </c>
      <c r="SL30" s="5">
        <f>IFERROR(ROUND(SB30/SD30,2),0)</f>
        <v/>
      </c>
      <c r="SM30" s="5">
        <f>IFERROR(ROUND(SB30/SE30,2),0)</f>
        <v/>
      </c>
      <c r="SN30" s="2" t="inlineStr">
        <is>
          <t>2023-10-07</t>
        </is>
      </c>
      <c r="SO30" s="5">
        <f>ROUND(0.24,2)</f>
        <v/>
      </c>
      <c r="SP30" s="3">
        <f>ROUND(453.0,2)</f>
        <v/>
      </c>
      <c r="SQ30" s="3">
        <f>ROUND(24.0,2)</f>
        <v/>
      </c>
      <c r="SR30" s="3">
        <f>ROUND(0.0,2)</f>
        <v/>
      </c>
      <c r="SS30" s="3">
        <f>ROUND(0.0,2)</f>
        <v/>
      </c>
      <c r="ST30" s="3">
        <f>ROUND(0.0,2)</f>
        <v/>
      </c>
      <c r="SU30" s="3">
        <f>ROUND(0.0,2)</f>
        <v/>
      </c>
      <c r="SV30" s="3">
        <f>ROUND(0.0,2)</f>
        <v/>
      </c>
      <c r="SW30" s="4">
        <f>IFERROR((SQ30/SP30),0)</f>
        <v/>
      </c>
      <c r="SX30" s="4">
        <f>IFERROR(((0+SO11+SO12+SO13+SO14+SO15+SO16+SO17+SO19+SO20+SO21+SO22+SO23+SO24+SO25+SO27+SO28+SO29+SO30)/T2),0)</f>
        <v/>
      </c>
      <c r="SY30" s="5">
        <f>IFERROR(ROUND(SO30/SQ30,2),0)</f>
        <v/>
      </c>
      <c r="SZ30" s="5">
        <f>IFERROR(ROUND(SO30/SR30,2),0)</f>
        <v/>
      </c>
    </row>
    <row r="31">
      <c r="A31" s="2" t="inlineStr">
        <is>
          <t>2023-10-08</t>
        </is>
      </c>
      <c r="B31" s="5">
        <f>ROUND(42.6,2)</f>
        <v/>
      </c>
      <c r="C31" s="3">
        <f>ROUND(126954.0,2)</f>
        <v/>
      </c>
      <c r="D31" s="3">
        <f>ROUND(4260.0,2)</f>
        <v/>
      </c>
      <c r="E31" s="3">
        <f>ROUND(0.0,2)</f>
        <v/>
      </c>
      <c r="F31" s="3">
        <f>ROUND(0.0,2)</f>
        <v/>
      </c>
      <c r="G31" s="3">
        <f>ROUND(0.0,2)</f>
        <v/>
      </c>
      <c r="H31" s="3">
        <f>ROUND(0.0,2)</f>
        <v/>
      </c>
      <c r="I31" s="3">
        <f>ROUND(0.0,2)</f>
        <v/>
      </c>
      <c r="J31" s="4">
        <f>IFERROR((D31/C31),0)</f>
        <v/>
      </c>
      <c r="K31" s="4">
        <f>IFERROR(((0+B11+B12+B13+B14+B15+B16+B17+B19+B20+B21+B22+B23+B24+B25+B27+B28+B29+B30+B31)/T2),0)</f>
        <v/>
      </c>
      <c r="L31" s="5">
        <f>IFERROR(ROUND(B31/D31,2),0)</f>
        <v/>
      </c>
      <c r="M31" s="5">
        <f>IFERROR(ROUND(B31/E31,2),0)</f>
        <v/>
      </c>
      <c r="N31" s="2" t="inlineStr">
        <is>
          <t>2023-10-08</t>
        </is>
      </c>
      <c r="O31" s="5">
        <f>ROUND(6.19,2)</f>
        <v/>
      </c>
      <c r="P31" s="3">
        <f>ROUND(8721.0,2)</f>
        <v/>
      </c>
      <c r="Q31" s="3">
        <f>ROUND(619.0,2)</f>
        <v/>
      </c>
      <c r="R31" s="3">
        <f>ROUND(0.0,2)</f>
        <v/>
      </c>
      <c r="S31" s="3">
        <f>ROUND(0.0,2)</f>
        <v/>
      </c>
      <c r="T31" s="3">
        <f>ROUND(0.0,2)</f>
        <v/>
      </c>
      <c r="U31" s="3">
        <f>ROUND(0.0,2)</f>
        <v/>
      </c>
      <c r="V31" s="3">
        <f>ROUND(0.0,2)</f>
        <v/>
      </c>
      <c r="W31" s="4">
        <f>IFERROR((Q31/P31),0)</f>
        <v/>
      </c>
      <c r="X31" s="4">
        <f>IFERROR(((0+O11+O12+O13+O14+O15+O16+O17+O19+O20+O21+O22+O23+O24+O25+O27+O28+O29+O30+O31)/T2),0)</f>
        <v/>
      </c>
      <c r="Y31" s="5">
        <f>IFERROR(ROUND(O31/Q31,2),0)</f>
        <v/>
      </c>
      <c r="Z31" s="5">
        <f>IFERROR(ROUND(O31/R31,2),0)</f>
        <v/>
      </c>
      <c r="AA31" s="2" t="inlineStr">
        <is>
          <t>2023-10-08</t>
        </is>
      </c>
      <c r="AB31" s="5">
        <f>ROUND(0.19,2)</f>
        <v/>
      </c>
      <c r="AC31" s="3">
        <f>ROUND(574.0,2)</f>
        <v/>
      </c>
      <c r="AD31" s="3">
        <f>ROUND(19.0,2)</f>
        <v/>
      </c>
      <c r="AE31" s="3">
        <f>ROUND(0.0,2)</f>
        <v/>
      </c>
      <c r="AF31" s="3">
        <f>ROUND(0.0,2)</f>
        <v/>
      </c>
      <c r="AG31" s="3">
        <f>ROUND(0.0,2)</f>
        <v/>
      </c>
      <c r="AH31" s="3">
        <f>ROUND(0.0,2)</f>
        <v/>
      </c>
      <c r="AI31" s="3">
        <f>ROUND(0.0,2)</f>
        <v/>
      </c>
      <c r="AJ31" s="4">
        <f>IFERROR((AD31/AC31),0)</f>
        <v/>
      </c>
      <c r="AK31" s="4">
        <f>IFERROR(((0+AB11+AB12+AB13+AB14+AB15+AB16+AB17+AB19+AB20+AB21+AB22+AB23+AB24+AB25+AB27+AB28+AB29+AB30+AB31)/T2),0)</f>
        <v/>
      </c>
      <c r="AL31" s="5">
        <f>IFERROR(ROUND(AB31/AD31,2),0)</f>
        <v/>
      </c>
      <c r="AM31" s="5">
        <f>IFERROR(ROUND(AB31/AE31,2),0)</f>
        <v/>
      </c>
      <c r="AN31" s="2" t="inlineStr">
        <is>
          <t>2023-10-08</t>
        </is>
      </c>
      <c r="AO31" s="5">
        <f>ROUND(2.54,2)</f>
        <v/>
      </c>
      <c r="AP31" s="3">
        <f>ROUND(11017.0,2)</f>
        <v/>
      </c>
      <c r="AQ31" s="3">
        <f>ROUND(254.0,2)</f>
        <v/>
      </c>
      <c r="AR31" s="3">
        <f>ROUND(0.0,2)</f>
        <v/>
      </c>
      <c r="AS31" s="3">
        <f>ROUND(0.0,2)</f>
        <v/>
      </c>
      <c r="AT31" s="3">
        <f>ROUND(0.0,2)</f>
        <v/>
      </c>
      <c r="AU31" s="3">
        <f>ROUND(0.0,2)</f>
        <v/>
      </c>
      <c r="AV31" s="3">
        <f>ROUND(0.0,2)</f>
        <v/>
      </c>
      <c r="AW31" s="4">
        <f>IFERROR((AQ31/AP31),0)</f>
        <v/>
      </c>
      <c r="AX31" s="4">
        <f>IFERROR(((0+AO11+AO12+AO13+AO14+AO15+AO16+AO17+AO19+AO20+AO21+AO22+AO23+AO24+AO25+AO27+AO28+AO29+AO30+AO31)/T2),0)</f>
        <v/>
      </c>
      <c r="AY31" s="5">
        <f>IFERROR(ROUND(AO31/AQ31,2),0)</f>
        <v/>
      </c>
      <c r="AZ31" s="5">
        <f>IFERROR(ROUND(AO31/AR31,2),0)</f>
        <v/>
      </c>
      <c r="BA31" s="2" t="inlineStr">
        <is>
          <t>2023-10-08</t>
        </is>
      </c>
      <c r="BB31" s="5">
        <f>ROUND(0.16999999999999998,2)</f>
        <v/>
      </c>
      <c r="BC31" s="3">
        <f>ROUND(441.0,2)</f>
        <v/>
      </c>
      <c r="BD31" s="3">
        <f>ROUND(17.0,2)</f>
        <v/>
      </c>
      <c r="BE31" s="3">
        <f>ROUND(0.0,2)</f>
        <v/>
      </c>
      <c r="BF31" s="3">
        <f>ROUND(0.0,2)</f>
        <v/>
      </c>
      <c r="BG31" s="3">
        <f>ROUND(0.0,2)</f>
        <v/>
      </c>
      <c r="BH31" s="3">
        <f>ROUND(0.0,2)</f>
        <v/>
      </c>
      <c r="BI31" s="3">
        <f>ROUND(0.0,2)</f>
        <v/>
      </c>
      <c r="BJ31" s="4">
        <f>IFERROR((BD31/BC31),0)</f>
        <v/>
      </c>
      <c r="BK31" s="4">
        <f>IFERROR(((0+BB11+BB12+BB13+BB14+BB15+BB16+BB17+BB19+BB20+BB21+BB22+BB23+BB24+BB25+BB27+BB28+BB29+BB30+BB31)/T2),0)</f>
        <v/>
      </c>
      <c r="BL31" s="5">
        <f>IFERROR(ROUND(BB31/BD31,2),0)</f>
        <v/>
      </c>
      <c r="BM31" s="5">
        <f>IFERROR(ROUND(BB31/BE31,2),0)</f>
        <v/>
      </c>
      <c r="BN31" s="2" t="inlineStr">
        <is>
          <t>2023-10-08</t>
        </is>
      </c>
      <c r="BO31" s="5">
        <f>ROUND(0.45,2)</f>
        <v/>
      </c>
      <c r="BP31" s="3">
        <f>ROUND(982.0,2)</f>
        <v/>
      </c>
      <c r="BQ31" s="3">
        <f>ROUND(45.0,2)</f>
        <v/>
      </c>
      <c r="BR31" s="3">
        <f>ROUND(0.0,2)</f>
        <v/>
      </c>
      <c r="BS31" s="3">
        <f>ROUND(0.0,2)</f>
        <v/>
      </c>
      <c r="BT31" s="3">
        <f>ROUND(0.0,2)</f>
        <v/>
      </c>
      <c r="BU31" s="3">
        <f>ROUND(0.0,2)</f>
        <v/>
      </c>
      <c r="BV31" s="3">
        <f>ROUND(0.0,2)</f>
        <v/>
      </c>
      <c r="BW31" s="4">
        <f>IFERROR((BQ31/BP31),0)</f>
        <v/>
      </c>
      <c r="BX31" s="4">
        <f>IFERROR(((0+BO11+BO12+BO13+BO14+BO15+BO16+BO17+BO19+BO20+BO21+BO22+BO23+BO24+BO25+BO27+BO28+BO29+BO30+BO31)/T2),0)</f>
        <v/>
      </c>
      <c r="BY31" s="5">
        <f>IFERROR(ROUND(BO31/BQ31,2),0)</f>
        <v/>
      </c>
      <c r="BZ31" s="5">
        <f>IFERROR(ROUND(BO31/BR31,2),0)</f>
        <v/>
      </c>
      <c r="CA31" s="2" t="inlineStr">
        <is>
          <t>2023-10-08</t>
        </is>
      </c>
      <c r="CB31" s="5">
        <f>ROUND(0.5,2)</f>
        <v/>
      </c>
      <c r="CC31" s="3">
        <f>ROUND(971.0,2)</f>
        <v/>
      </c>
      <c r="CD31" s="3">
        <f>ROUND(50.0,2)</f>
        <v/>
      </c>
      <c r="CE31" s="3">
        <f>ROUND(0.0,2)</f>
        <v/>
      </c>
      <c r="CF31" s="3">
        <f>ROUND(0.0,2)</f>
        <v/>
      </c>
      <c r="CG31" s="3">
        <f>ROUND(0.0,2)</f>
        <v/>
      </c>
      <c r="CH31" s="3">
        <f>ROUND(0.0,2)</f>
        <v/>
      </c>
      <c r="CI31" s="3">
        <f>ROUND(0.0,2)</f>
        <v/>
      </c>
      <c r="CJ31" s="4">
        <f>IFERROR((CD31/CC31),0)</f>
        <v/>
      </c>
      <c r="CK31" s="4">
        <f>IFERROR(((0+CB11+CB12+CB13+CB14+CB15+CB16+CB17+CB19+CB20+CB21+CB22+CB23+CB24+CB25+CB27+CB28+CB29+CB30+CB31)/T2),0)</f>
        <v/>
      </c>
      <c r="CL31" s="5">
        <f>IFERROR(ROUND(CB31/CD31,2),0)</f>
        <v/>
      </c>
      <c r="CM31" s="5">
        <f>IFERROR(ROUND(CB31/CE31,2),0)</f>
        <v/>
      </c>
      <c r="CN31" s="2" t="inlineStr">
        <is>
          <t>2023-10-08</t>
        </is>
      </c>
      <c r="CO31" s="5">
        <f>ROUND(1.62,2)</f>
        <v/>
      </c>
      <c r="CP31" s="3">
        <f>ROUND(6636.0,2)</f>
        <v/>
      </c>
      <c r="CQ31" s="3">
        <f>ROUND(162.0,2)</f>
        <v/>
      </c>
      <c r="CR31" s="3">
        <f>ROUND(0.0,2)</f>
        <v/>
      </c>
      <c r="CS31" s="3">
        <f>ROUND(0.0,2)</f>
        <v/>
      </c>
      <c r="CT31" s="3">
        <f>ROUND(0.0,2)</f>
        <v/>
      </c>
      <c r="CU31" s="3">
        <f>ROUND(0.0,2)</f>
        <v/>
      </c>
      <c r="CV31" s="3">
        <f>ROUND(0.0,2)</f>
        <v/>
      </c>
      <c r="CW31" s="4">
        <f>IFERROR((CQ31/CP31),0)</f>
        <v/>
      </c>
      <c r="CX31" s="4">
        <f>IFERROR(((0+CO11+CO12+CO13+CO14+CO15+CO16+CO17+CO19+CO20+CO21+CO22+CO23+CO24+CO25+CO27+CO28+CO29+CO30+CO31)/T2),0)</f>
        <v/>
      </c>
      <c r="CY31" s="5">
        <f>IFERROR(ROUND(CO31/CQ31,2),0)</f>
        <v/>
      </c>
      <c r="CZ31" s="5">
        <f>IFERROR(ROUND(CO31/CR31,2),0)</f>
        <v/>
      </c>
      <c r="DA31" s="2" t="inlineStr">
        <is>
          <t>2023-10-08</t>
        </is>
      </c>
      <c r="DB31" s="5">
        <f>ROUND(1.1400000000000001,2)</f>
        <v/>
      </c>
      <c r="DC31" s="3">
        <f>ROUND(2099.0,2)</f>
        <v/>
      </c>
      <c r="DD31" s="3">
        <f>ROUND(114.0,2)</f>
        <v/>
      </c>
      <c r="DE31" s="3">
        <f>ROUND(0.0,2)</f>
        <v/>
      </c>
      <c r="DF31" s="3">
        <f>ROUND(0.0,2)</f>
        <v/>
      </c>
      <c r="DG31" s="3">
        <f>ROUND(0.0,2)</f>
        <v/>
      </c>
      <c r="DH31" s="3">
        <f>ROUND(0.0,2)</f>
        <v/>
      </c>
      <c r="DI31" s="3">
        <f>ROUND(0.0,2)</f>
        <v/>
      </c>
      <c r="DJ31" s="4">
        <f>IFERROR((DD31/DC31),0)</f>
        <v/>
      </c>
      <c r="DK31" s="4">
        <f>IFERROR(((0+DB11+DB12+DB13+DB14+DB15+DB16+DB17+DB19+DB20+DB21+DB22+DB23+DB24+DB25+DB27+DB28+DB29+DB30+DB31)/T2),0)</f>
        <v/>
      </c>
      <c r="DL31" s="5">
        <f>IFERROR(ROUND(DB31/DD31,2),0)</f>
        <v/>
      </c>
      <c r="DM31" s="5">
        <f>IFERROR(ROUND(DB31/DE31,2),0)</f>
        <v/>
      </c>
      <c r="DN31" s="2" t="inlineStr">
        <is>
          <t>2023-10-08</t>
        </is>
      </c>
      <c r="DO31" s="5">
        <f>ROUND(0.1,2)</f>
        <v/>
      </c>
      <c r="DP31" s="3">
        <f>ROUND(458.0,2)</f>
        <v/>
      </c>
      <c r="DQ31" s="3">
        <f>ROUND(10.0,2)</f>
        <v/>
      </c>
      <c r="DR31" s="3">
        <f>ROUND(0.0,2)</f>
        <v/>
      </c>
      <c r="DS31" s="3">
        <f>ROUND(0.0,2)</f>
        <v/>
      </c>
      <c r="DT31" s="3">
        <f>ROUND(0.0,2)</f>
        <v/>
      </c>
      <c r="DU31" s="3">
        <f>ROUND(0.0,2)</f>
        <v/>
      </c>
      <c r="DV31" s="3">
        <f>ROUND(0.0,2)</f>
        <v/>
      </c>
      <c r="DW31" s="4">
        <f>IFERROR((DQ31/DP31),0)</f>
        <v/>
      </c>
      <c r="DX31" s="4">
        <f>IFERROR(((0+DO11+DO12+DO13+DO14+DO15+DO16+DO17+DO19+DO20+DO21+DO22+DO23+DO24+DO25+DO27+DO28+DO29+DO30+DO31)/T2),0)</f>
        <v/>
      </c>
      <c r="DY31" s="5">
        <f>IFERROR(ROUND(DO31/DQ31,2),0)</f>
        <v/>
      </c>
      <c r="DZ31" s="5">
        <f>IFERROR(ROUND(DO31/DR31,2),0)</f>
        <v/>
      </c>
      <c r="EA31" s="2" t="inlineStr">
        <is>
          <t>2023-10-08</t>
        </is>
      </c>
      <c r="EB31" s="5">
        <f>ROUND(1.55,2)</f>
        <v/>
      </c>
      <c r="EC31" s="3">
        <f>ROUND(9029.0,2)</f>
        <v/>
      </c>
      <c r="ED31" s="3">
        <f>ROUND(155.0,2)</f>
        <v/>
      </c>
      <c r="EE31" s="3">
        <f>ROUND(0.0,2)</f>
        <v/>
      </c>
      <c r="EF31" s="3">
        <f>ROUND(0.0,2)</f>
        <v/>
      </c>
      <c r="EG31" s="3">
        <f>ROUND(0.0,2)</f>
        <v/>
      </c>
      <c r="EH31" s="3">
        <f>ROUND(0.0,2)</f>
        <v/>
      </c>
      <c r="EI31" s="3">
        <f>ROUND(0.0,2)</f>
        <v/>
      </c>
      <c r="EJ31" s="4">
        <f>IFERROR((ED31/EC31),0)</f>
        <v/>
      </c>
      <c r="EK31" s="4">
        <f>IFERROR(((0+EB11+EB12+EB13+EB14+EB15+EB16+EB17+EB19+EB20+EB21+EB22+EB23+EB24+EB25+EB27+EB28+EB29+EB30+EB31)/T2),0)</f>
        <v/>
      </c>
      <c r="EL31" s="5">
        <f>IFERROR(ROUND(EB31/ED31,2),0)</f>
        <v/>
      </c>
      <c r="EM31" s="5">
        <f>IFERROR(ROUND(EB31/EE31,2),0)</f>
        <v/>
      </c>
      <c r="EN31" s="2" t="inlineStr">
        <is>
          <t>2023-10-08</t>
        </is>
      </c>
      <c r="EO31" s="5">
        <f>ROUND(0.12000000000000001,2)</f>
        <v/>
      </c>
      <c r="EP31" s="3">
        <f>ROUND(590.0,2)</f>
        <v/>
      </c>
      <c r="EQ31" s="3">
        <f>ROUND(12.0,2)</f>
        <v/>
      </c>
      <c r="ER31" s="3">
        <f>ROUND(0.0,2)</f>
        <v/>
      </c>
      <c r="ES31" s="3">
        <f>ROUND(0.0,2)</f>
        <v/>
      </c>
      <c r="ET31" s="3">
        <f>ROUND(0.0,2)</f>
        <v/>
      </c>
      <c r="EU31" s="3">
        <f>ROUND(0.0,2)</f>
        <v/>
      </c>
      <c r="EV31" s="3">
        <f>ROUND(0.0,2)</f>
        <v/>
      </c>
      <c r="EW31" s="4">
        <f>IFERROR((EQ31/EP31),0)</f>
        <v/>
      </c>
      <c r="EX31" s="4">
        <f>IFERROR(((0+EO11+EO12+EO13+EO14+EO15+EO16+EO17+EO19+EO20+EO21+EO22+EO23+EO24+EO25+EO27+EO28+EO29+EO30+EO31)/T2),0)</f>
        <v/>
      </c>
      <c r="EY31" s="5">
        <f>IFERROR(ROUND(EO31/EQ31,2),0)</f>
        <v/>
      </c>
      <c r="EZ31" s="5">
        <f>IFERROR(ROUND(EO31/ER31,2),0)</f>
        <v/>
      </c>
      <c r="FA31" s="2" t="inlineStr">
        <is>
          <t>2023-10-08</t>
        </is>
      </c>
      <c r="FB31" s="5">
        <f>ROUND(1.1600000000000001,2)</f>
        <v/>
      </c>
      <c r="FC31" s="3">
        <f>ROUND(7467.0,2)</f>
        <v/>
      </c>
      <c r="FD31" s="3">
        <f>ROUND(116.0,2)</f>
        <v/>
      </c>
      <c r="FE31" s="3">
        <f>ROUND(0.0,2)</f>
        <v/>
      </c>
      <c r="FF31" s="3">
        <f>ROUND(0.0,2)</f>
        <v/>
      </c>
      <c r="FG31" s="3">
        <f>ROUND(0.0,2)</f>
        <v/>
      </c>
      <c r="FH31" s="3">
        <f>ROUND(0.0,2)</f>
        <v/>
      </c>
      <c r="FI31" s="3">
        <f>ROUND(0.0,2)</f>
        <v/>
      </c>
      <c r="FJ31" s="4">
        <f>IFERROR((FD31/FC31),0)</f>
        <v/>
      </c>
      <c r="FK31" s="4">
        <f>IFERROR(((0+FB11+FB12+FB13+FB14+FB15+FB16+FB17+FB19+FB20+FB21+FB22+FB23+FB24+FB25+FB27+FB28+FB29+FB30+FB31)/T2),0)</f>
        <v/>
      </c>
      <c r="FL31" s="5">
        <f>IFERROR(ROUND(FB31/FD31,2),0)</f>
        <v/>
      </c>
      <c r="FM31" s="5">
        <f>IFERROR(ROUND(FB31/FE31,2),0)</f>
        <v/>
      </c>
      <c r="FN31" s="2" t="inlineStr">
        <is>
          <t>2023-10-08</t>
        </is>
      </c>
      <c r="FO31" s="5">
        <f>ROUND(4.08,2)</f>
        <v/>
      </c>
      <c r="FP31" s="3">
        <f>ROUND(9852.0,2)</f>
        <v/>
      </c>
      <c r="FQ31" s="3">
        <f>ROUND(408.0,2)</f>
        <v/>
      </c>
      <c r="FR31" s="3">
        <f>ROUND(0.0,2)</f>
        <v/>
      </c>
      <c r="FS31" s="3">
        <f>ROUND(0.0,2)</f>
        <v/>
      </c>
      <c r="FT31" s="3">
        <f>ROUND(0.0,2)</f>
        <v/>
      </c>
      <c r="FU31" s="3">
        <f>ROUND(0.0,2)</f>
        <v/>
      </c>
      <c r="FV31" s="3">
        <f>ROUND(0.0,2)</f>
        <v/>
      </c>
      <c r="FW31" s="4">
        <f>IFERROR((FQ31/FP31),0)</f>
        <v/>
      </c>
      <c r="FX31" s="4">
        <f>IFERROR(((0+FO11+FO12+FO13+FO14+FO15+FO16+FO17+FO19+FO20+FO21+FO22+FO23+FO24+FO25+FO27+FO28+FO29+FO30+FO31)/T2),0)</f>
        <v/>
      </c>
      <c r="FY31" s="5">
        <f>IFERROR(ROUND(FO31/FQ31,2),0)</f>
        <v/>
      </c>
      <c r="FZ31" s="5">
        <f>IFERROR(ROUND(FO31/FR31,2),0)</f>
        <v/>
      </c>
      <c r="GA31" s="2" t="inlineStr">
        <is>
          <t>2023-10-08</t>
        </is>
      </c>
      <c r="GB31" s="5">
        <f>ROUND(0.2,2)</f>
        <v/>
      </c>
      <c r="GC31" s="3">
        <f>ROUND(727.0,2)</f>
        <v/>
      </c>
      <c r="GD31" s="3">
        <f>ROUND(20.0,2)</f>
        <v/>
      </c>
      <c r="GE31" s="3">
        <f>ROUND(0.0,2)</f>
        <v/>
      </c>
      <c r="GF31" s="3">
        <f>ROUND(0.0,2)</f>
        <v/>
      </c>
      <c r="GG31" s="3">
        <f>ROUND(0.0,2)</f>
        <v/>
      </c>
      <c r="GH31" s="3">
        <f>ROUND(0.0,2)</f>
        <v/>
      </c>
      <c r="GI31" s="3">
        <f>ROUND(0.0,2)</f>
        <v/>
      </c>
      <c r="GJ31" s="4">
        <f>IFERROR((GD31/GC31),0)</f>
        <v/>
      </c>
      <c r="GK31" s="4">
        <f>IFERROR(((0+GB11+GB12+GB13+GB14+GB15+GB16+GB17+GB19+GB20+GB21+GB22+GB23+GB24+GB25+GB27+GB28+GB29+GB30+GB31)/T2),0)</f>
        <v/>
      </c>
      <c r="GL31" s="5">
        <f>IFERROR(ROUND(GB31/GD31,2),0)</f>
        <v/>
      </c>
      <c r="GM31" s="5">
        <f>IFERROR(ROUND(GB31/GE31,2),0)</f>
        <v/>
      </c>
      <c r="GN31" s="2" t="inlineStr">
        <is>
          <t>2023-10-08</t>
        </is>
      </c>
      <c r="GO31" s="5">
        <f>ROUND(1.87,2)</f>
        <v/>
      </c>
      <c r="GP31" s="3">
        <f>ROUND(7100.0,2)</f>
        <v/>
      </c>
      <c r="GQ31" s="3">
        <f>ROUND(187.0,2)</f>
        <v/>
      </c>
      <c r="GR31" s="3">
        <f>ROUND(0.0,2)</f>
        <v/>
      </c>
      <c r="GS31" s="3">
        <f>ROUND(0.0,2)</f>
        <v/>
      </c>
      <c r="GT31" s="3">
        <f>ROUND(0.0,2)</f>
        <v/>
      </c>
      <c r="GU31" s="3">
        <f>ROUND(0.0,2)</f>
        <v/>
      </c>
      <c r="GV31" s="3">
        <f>ROUND(0.0,2)</f>
        <v/>
      </c>
      <c r="GW31" s="4">
        <f>IFERROR((GQ31/GP31),0)</f>
        <v/>
      </c>
      <c r="GX31" s="4">
        <f>IFERROR(((0+GO11+GO12+GO13+GO14+GO15+GO16+GO17+GO19+GO20+GO21+GO22+GO23+GO24+GO25+GO27+GO28+GO29+GO30+GO31)/T2),0)</f>
        <v/>
      </c>
      <c r="GY31" s="5">
        <f>IFERROR(ROUND(GO31/GQ31,2),0)</f>
        <v/>
      </c>
      <c r="GZ31" s="5">
        <f>IFERROR(ROUND(GO31/GR31,2),0)</f>
        <v/>
      </c>
      <c r="HA31" s="2" t="inlineStr">
        <is>
          <t>2023-10-08</t>
        </is>
      </c>
      <c r="HB31" s="5">
        <f>ROUND(3.2600000000000002,2)</f>
        <v/>
      </c>
      <c r="HC31" s="3">
        <f>ROUND(4960.0,2)</f>
        <v/>
      </c>
      <c r="HD31" s="3">
        <f>ROUND(326.0,2)</f>
        <v/>
      </c>
      <c r="HE31" s="3">
        <f>ROUND(0.0,2)</f>
        <v/>
      </c>
      <c r="HF31" s="3">
        <f>ROUND(0.0,2)</f>
        <v/>
      </c>
      <c r="HG31" s="3">
        <f>ROUND(0.0,2)</f>
        <v/>
      </c>
      <c r="HH31" s="3">
        <f>ROUND(0.0,2)</f>
        <v/>
      </c>
      <c r="HI31" s="3">
        <f>ROUND(0.0,2)</f>
        <v/>
      </c>
      <c r="HJ31" s="4">
        <f>IFERROR((HD31/HC31),0)</f>
        <v/>
      </c>
      <c r="HK31" s="4">
        <f>IFERROR(((0+HB11+HB12+HB13+HB14+HB15+HB16+HB17+HB19+HB20+HB21+HB22+HB23+HB24+HB25+HB27+HB28+HB29+HB30+HB31)/T2),0)</f>
        <v/>
      </c>
      <c r="HL31" s="5">
        <f>IFERROR(ROUND(HB31/HD31,2),0)</f>
        <v/>
      </c>
      <c r="HM31" s="5">
        <f>IFERROR(ROUND(HB31/HE31,2),0)</f>
        <v/>
      </c>
      <c r="HN31" s="2" t="inlineStr">
        <is>
          <t>2023-10-08</t>
        </is>
      </c>
      <c r="HO31" s="5">
        <f>ROUND(0.17,2)</f>
        <v/>
      </c>
      <c r="HP31" s="3">
        <f>ROUND(585.0,2)</f>
        <v/>
      </c>
      <c r="HQ31" s="3">
        <f>ROUND(17.0,2)</f>
        <v/>
      </c>
      <c r="HR31" s="3">
        <f>ROUND(0.0,2)</f>
        <v/>
      </c>
      <c r="HS31" s="3">
        <f>ROUND(0.0,2)</f>
        <v/>
      </c>
      <c r="HT31" s="3">
        <f>ROUND(0.0,2)</f>
        <v/>
      </c>
      <c r="HU31" s="3">
        <f>ROUND(0.0,2)</f>
        <v/>
      </c>
      <c r="HV31" s="3">
        <f>ROUND(0.0,2)</f>
        <v/>
      </c>
      <c r="HW31" s="4">
        <f>IFERROR((HQ31/HP31),0)</f>
        <v/>
      </c>
      <c r="HX31" s="4">
        <f>IFERROR(((0+HO11+HO12+HO13+HO14+HO15+HO16+HO17+HO19+HO20+HO21+HO22+HO23+HO24+HO25+HO27+HO28+HO29+HO30+HO31)/T2),0)</f>
        <v/>
      </c>
      <c r="HY31" s="5">
        <f>IFERROR(ROUND(HO31/HQ31,2),0)</f>
        <v/>
      </c>
      <c r="HZ31" s="5">
        <f>IFERROR(ROUND(HO31/HR31,2),0)</f>
        <v/>
      </c>
      <c r="IA31" s="2" t="inlineStr">
        <is>
          <t>2023-10-08</t>
        </is>
      </c>
      <c r="IB31" s="5">
        <f>ROUND(0.2,2)</f>
        <v/>
      </c>
      <c r="IC31" s="3">
        <f>ROUND(605.0,2)</f>
        <v/>
      </c>
      <c r="ID31" s="3">
        <f>ROUND(20.0,2)</f>
        <v/>
      </c>
      <c r="IE31" s="3">
        <f>ROUND(0.0,2)</f>
        <v/>
      </c>
      <c r="IF31" s="3">
        <f>ROUND(0.0,2)</f>
        <v/>
      </c>
      <c r="IG31" s="3">
        <f>ROUND(0.0,2)</f>
        <v/>
      </c>
      <c r="IH31" s="3">
        <f>ROUND(0.0,2)</f>
        <v/>
      </c>
      <c r="II31" s="3">
        <f>ROUND(0.0,2)</f>
        <v/>
      </c>
      <c r="IJ31" s="4">
        <f>IFERROR((ID31/IC31),0)</f>
        <v/>
      </c>
      <c r="IK31" s="4">
        <f>IFERROR(((0+IB11+IB12+IB13+IB14+IB15+IB16+IB17+IB19+IB20+IB21+IB22+IB23+IB24+IB25+IB27+IB28+IB29+IB30+IB31)/T2),0)</f>
        <v/>
      </c>
      <c r="IL31" s="5">
        <f>IFERROR(ROUND(IB31/ID31,2),0)</f>
        <v/>
      </c>
      <c r="IM31" s="5">
        <f>IFERROR(ROUND(IB31/IE31,2),0)</f>
        <v/>
      </c>
      <c r="IN31" s="2" t="inlineStr">
        <is>
          <t>2023-10-08</t>
        </is>
      </c>
      <c r="IO31" s="5">
        <f>ROUND(1.05,2)</f>
        <v/>
      </c>
      <c r="IP31" s="3">
        <f>ROUND(3831.0,2)</f>
        <v/>
      </c>
      <c r="IQ31" s="3">
        <f>ROUND(105.0,2)</f>
        <v/>
      </c>
      <c r="IR31" s="3">
        <f>ROUND(0.0,2)</f>
        <v/>
      </c>
      <c r="IS31" s="3">
        <f>ROUND(0.0,2)</f>
        <v/>
      </c>
      <c r="IT31" s="3">
        <f>ROUND(0.0,2)</f>
        <v/>
      </c>
      <c r="IU31" s="3">
        <f>ROUND(0.0,2)</f>
        <v/>
      </c>
      <c r="IV31" s="3">
        <f>ROUND(0.0,2)</f>
        <v/>
      </c>
      <c r="IW31" s="4">
        <f>IFERROR((IQ31/IP31),0)</f>
        <v/>
      </c>
      <c r="IX31" s="4">
        <f>IFERROR(((0+IO11+IO12+IO13+IO14+IO15+IO16+IO17+IO19+IO20+IO21+IO22+IO23+IO24+IO25+IO27+IO28+IO29+IO30+IO31)/T2),0)</f>
        <v/>
      </c>
      <c r="IY31" s="5">
        <f>IFERROR(ROUND(IO31/IQ31,2),0)</f>
        <v/>
      </c>
      <c r="IZ31" s="5">
        <f>IFERROR(ROUND(IO31/IR31,2),0)</f>
        <v/>
      </c>
      <c r="JA31" s="2" t="inlineStr">
        <is>
          <t>2023-10-08</t>
        </is>
      </c>
      <c r="JB31" s="5">
        <f>ROUND(0.45,2)</f>
        <v/>
      </c>
      <c r="JC31" s="3">
        <f>ROUND(1326.0,2)</f>
        <v/>
      </c>
      <c r="JD31" s="3">
        <f>ROUND(45.0,2)</f>
        <v/>
      </c>
      <c r="JE31" s="3">
        <f>ROUND(0.0,2)</f>
        <v/>
      </c>
      <c r="JF31" s="3">
        <f>ROUND(0.0,2)</f>
        <v/>
      </c>
      <c r="JG31" s="3">
        <f>ROUND(0.0,2)</f>
        <v/>
      </c>
      <c r="JH31" s="3">
        <f>ROUND(0.0,2)</f>
        <v/>
      </c>
      <c r="JI31" s="3">
        <f>ROUND(0.0,2)</f>
        <v/>
      </c>
      <c r="JJ31" s="4">
        <f>IFERROR((JD31/JC31),0)</f>
        <v/>
      </c>
      <c r="JK31" s="4">
        <f>IFERROR(((0+JB11+JB12+JB13+JB14+JB15+JB16+JB17+JB19+JB20+JB21+JB22+JB23+JB24+JB25+JB27+JB28+JB29+JB30+JB31)/T2),0)</f>
        <v/>
      </c>
      <c r="JL31" s="5">
        <f>IFERROR(ROUND(JB31/JD31,2),0)</f>
        <v/>
      </c>
      <c r="JM31" s="5">
        <f>IFERROR(ROUND(JB31/JE31,2),0)</f>
        <v/>
      </c>
      <c r="JN31" s="2" t="inlineStr">
        <is>
          <t>2023-10-08</t>
        </is>
      </c>
      <c r="JO31" s="5">
        <f>ROUND(0.36,2)</f>
        <v/>
      </c>
      <c r="JP31" s="3">
        <f>ROUND(1012.0,2)</f>
        <v/>
      </c>
      <c r="JQ31" s="3">
        <f>ROUND(36.0,2)</f>
        <v/>
      </c>
      <c r="JR31" s="3">
        <f>ROUND(0.0,2)</f>
        <v/>
      </c>
      <c r="JS31" s="3">
        <f>ROUND(0.0,2)</f>
        <v/>
      </c>
      <c r="JT31" s="3">
        <f>ROUND(0.0,2)</f>
        <v/>
      </c>
      <c r="JU31" s="3">
        <f>ROUND(0.0,2)</f>
        <v/>
      </c>
      <c r="JV31" s="3">
        <f>ROUND(0.0,2)</f>
        <v/>
      </c>
      <c r="JW31" s="4">
        <f>IFERROR((JQ31/JP31),0)</f>
        <v/>
      </c>
      <c r="JX31" s="4">
        <f>IFERROR(((0+JO11+JO12+JO13+JO14+JO15+JO16+JO17+JO19+JO20+JO21+JO22+JO23+JO24+JO25+JO27+JO28+JO29+JO30+JO31)/T2),0)</f>
        <v/>
      </c>
      <c r="JY31" s="5">
        <f>IFERROR(ROUND(JO31/JQ31,2),0)</f>
        <v/>
      </c>
      <c r="JZ31" s="5">
        <f>IFERROR(ROUND(JO31/JR31,2),0)</f>
        <v/>
      </c>
      <c r="KA31" s="2" t="inlineStr">
        <is>
          <t>2023-10-08</t>
        </is>
      </c>
      <c r="KB31" s="5">
        <f>ROUND(0.8800000000000001,2)</f>
        <v/>
      </c>
      <c r="KC31" s="3">
        <f>ROUND(2122.0,2)</f>
        <v/>
      </c>
      <c r="KD31" s="3">
        <f>ROUND(88.0,2)</f>
        <v/>
      </c>
      <c r="KE31" s="3">
        <f>ROUND(0.0,2)</f>
        <v/>
      </c>
      <c r="KF31" s="3">
        <f>ROUND(0.0,2)</f>
        <v/>
      </c>
      <c r="KG31" s="3">
        <f>ROUND(0.0,2)</f>
        <v/>
      </c>
      <c r="KH31" s="3">
        <f>ROUND(0.0,2)</f>
        <v/>
      </c>
      <c r="KI31" s="3">
        <f>ROUND(0.0,2)</f>
        <v/>
      </c>
      <c r="KJ31" s="4">
        <f>IFERROR((KD31/KC31),0)</f>
        <v/>
      </c>
      <c r="KK31" s="4">
        <f>IFERROR(((0+KB11+KB12+KB13+KB14+KB15+KB16+KB17+KB19+KB20+KB21+KB22+KB23+KB24+KB25+KB27+KB28+KB29+KB30+KB31)/T2),0)</f>
        <v/>
      </c>
      <c r="KL31" s="5">
        <f>IFERROR(ROUND(KB31/KD31,2),0)</f>
        <v/>
      </c>
      <c r="KM31" s="5">
        <f>IFERROR(ROUND(KB31/KE31,2),0)</f>
        <v/>
      </c>
      <c r="KN31" s="2" t="inlineStr">
        <is>
          <t>2023-10-08</t>
        </is>
      </c>
      <c r="KO31" s="5">
        <f>ROUND(0.9500000000000001,2)</f>
        <v/>
      </c>
      <c r="KP31" s="3">
        <f>ROUND(4706.0,2)</f>
        <v/>
      </c>
      <c r="KQ31" s="3">
        <f>ROUND(95.0,2)</f>
        <v/>
      </c>
      <c r="KR31" s="3">
        <f>ROUND(0.0,2)</f>
        <v/>
      </c>
      <c r="KS31" s="3">
        <f>ROUND(0.0,2)</f>
        <v/>
      </c>
      <c r="KT31" s="3">
        <f>ROUND(0.0,2)</f>
        <v/>
      </c>
      <c r="KU31" s="3">
        <f>ROUND(0.0,2)</f>
        <v/>
      </c>
      <c r="KV31" s="3">
        <f>ROUND(0.0,2)</f>
        <v/>
      </c>
      <c r="KW31" s="4">
        <f>IFERROR((KQ31/KP31),0)</f>
        <v/>
      </c>
      <c r="KX31" s="4">
        <f>IFERROR(((0+KO11+KO12+KO13+KO14+KO15+KO16+KO17+KO19+KO20+KO21+KO22+KO23+KO24+KO25+KO27+KO28+KO29+KO30+KO31)/T2),0)</f>
        <v/>
      </c>
      <c r="KY31" s="5">
        <f>IFERROR(ROUND(KO31/KQ31,2),0)</f>
        <v/>
      </c>
      <c r="KZ31" s="5">
        <f>IFERROR(ROUND(KO31/KR31,2),0)</f>
        <v/>
      </c>
      <c r="LA31" s="2" t="inlineStr">
        <is>
          <t>2023-10-08</t>
        </is>
      </c>
      <c r="LB31" s="5">
        <f>ROUND(0.69,2)</f>
        <v/>
      </c>
      <c r="LC31" s="3">
        <f>ROUND(3177.0,2)</f>
        <v/>
      </c>
      <c r="LD31" s="3">
        <f>ROUND(69.0,2)</f>
        <v/>
      </c>
      <c r="LE31" s="3">
        <f>ROUND(0.0,2)</f>
        <v/>
      </c>
      <c r="LF31" s="3">
        <f>ROUND(0.0,2)</f>
        <v/>
      </c>
      <c r="LG31" s="3">
        <f>ROUND(0.0,2)</f>
        <v/>
      </c>
      <c r="LH31" s="3">
        <f>ROUND(0.0,2)</f>
        <v/>
      </c>
      <c r="LI31" s="3">
        <f>ROUND(0.0,2)</f>
        <v/>
      </c>
      <c r="LJ31" s="4">
        <f>IFERROR((LD31/LC31),0)</f>
        <v/>
      </c>
      <c r="LK31" s="4">
        <f>IFERROR(((0+LB11+LB12+LB13+LB14+LB15+LB16+LB17+LB19+LB20+LB21+LB22+LB23+LB24+LB25+LB27+LB28+LB29+LB30+LB31)/T2),0)</f>
        <v/>
      </c>
      <c r="LL31" s="5">
        <f>IFERROR(ROUND(LB31/LD31,2),0)</f>
        <v/>
      </c>
      <c r="LM31" s="5">
        <f>IFERROR(ROUND(LB31/LE31,2),0)</f>
        <v/>
      </c>
      <c r="LN31" s="2" t="inlineStr">
        <is>
          <t>2023-10-08</t>
        </is>
      </c>
      <c r="LO31" s="5">
        <f>ROUND(0.88,2)</f>
        <v/>
      </c>
      <c r="LP31" s="3">
        <f>ROUND(5426.0,2)</f>
        <v/>
      </c>
      <c r="LQ31" s="3">
        <f>ROUND(88.0,2)</f>
        <v/>
      </c>
      <c r="LR31" s="3">
        <f>ROUND(0.0,2)</f>
        <v/>
      </c>
      <c r="LS31" s="3">
        <f>ROUND(0.0,2)</f>
        <v/>
      </c>
      <c r="LT31" s="3">
        <f>ROUND(0.0,2)</f>
        <v/>
      </c>
      <c r="LU31" s="3">
        <f>ROUND(0.0,2)</f>
        <v/>
      </c>
      <c r="LV31" s="3">
        <f>ROUND(0.0,2)</f>
        <v/>
      </c>
      <c r="LW31" s="4">
        <f>IFERROR((LQ31/LP31),0)</f>
        <v/>
      </c>
      <c r="LX31" s="4">
        <f>IFERROR(((0+LO11+LO12+LO13+LO14+LO15+LO16+LO17+LO19+LO20+LO21+LO22+LO23+LO24+LO25+LO27+LO28+LO29+LO30+LO31)/T2),0)</f>
        <v/>
      </c>
      <c r="LY31" s="5">
        <f>IFERROR(ROUND(LO31/LQ31,2),0)</f>
        <v/>
      </c>
      <c r="LZ31" s="5">
        <f>IFERROR(ROUND(LO31/LR31,2),0)</f>
        <v/>
      </c>
      <c r="MA31" s="2" t="inlineStr">
        <is>
          <t>2023-10-08</t>
        </is>
      </c>
      <c r="MB31" s="5">
        <f>ROUND(0.87,2)</f>
        <v/>
      </c>
      <c r="MC31" s="3">
        <f>ROUND(3387.0,2)</f>
        <v/>
      </c>
      <c r="MD31" s="3">
        <f>ROUND(87.0,2)</f>
        <v/>
      </c>
      <c r="ME31" s="3">
        <f>ROUND(0.0,2)</f>
        <v/>
      </c>
      <c r="MF31" s="3">
        <f>ROUND(0.0,2)</f>
        <v/>
      </c>
      <c r="MG31" s="3">
        <f>ROUND(0.0,2)</f>
        <v/>
      </c>
      <c r="MH31" s="3">
        <f>ROUND(0.0,2)</f>
        <v/>
      </c>
      <c r="MI31" s="3">
        <f>ROUND(0.0,2)</f>
        <v/>
      </c>
      <c r="MJ31" s="4">
        <f>IFERROR((MD31/MC31),0)</f>
        <v/>
      </c>
      <c r="MK31" s="4">
        <f>IFERROR(((0+MB11+MB12+MB13+MB14+MB15+MB16+MB17+MB19+MB20+MB21+MB22+MB23+MB24+MB25+MB27+MB28+MB29+MB30+MB31)/T2),0)</f>
        <v/>
      </c>
      <c r="ML31" s="5">
        <f>IFERROR(ROUND(MB31/MD31,2),0)</f>
        <v/>
      </c>
      <c r="MM31" s="5">
        <f>IFERROR(ROUND(MB31/ME31,2),0)</f>
        <v/>
      </c>
      <c r="MN31" s="2" t="inlineStr">
        <is>
          <t>2023-10-08</t>
        </is>
      </c>
      <c r="MO31" s="5">
        <f>ROUND(4.65,2)</f>
        <v/>
      </c>
      <c r="MP31" s="3">
        <f>ROUND(9018.0,2)</f>
        <v/>
      </c>
      <c r="MQ31" s="3">
        <f>ROUND(465.0,2)</f>
        <v/>
      </c>
      <c r="MR31" s="3">
        <f>ROUND(0.0,2)</f>
        <v/>
      </c>
      <c r="MS31" s="3">
        <f>ROUND(0.0,2)</f>
        <v/>
      </c>
      <c r="MT31" s="3">
        <f>ROUND(0.0,2)</f>
        <v/>
      </c>
      <c r="MU31" s="3">
        <f>ROUND(0.0,2)</f>
        <v/>
      </c>
      <c r="MV31" s="3">
        <f>ROUND(0.0,2)</f>
        <v/>
      </c>
      <c r="MW31" s="4">
        <f>IFERROR((MQ31/MP31),0)</f>
        <v/>
      </c>
      <c r="MX31" s="4">
        <f>IFERROR(((0+MO11+MO12+MO13+MO14+MO15+MO16+MO17+MO19+MO20+MO21+MO22+MO23+MO24+MO25+MO27+MO28+MO29+MO30+MO31)/T2),0)</f>
        <v/>
      </c>
      <c r="MY31" s="5">
        <f>IFERROR(ROUND(MO31/MQ31,2),0)</f>
        <v/>
      </c>
      <c r="MZ31" s="5">
        <f>IFERROR(ROUND(MO31/MR31,2),0)</f>
        <v/>
      </c>
      <c r="NA31" s="2" t="inlineStr">
        <is>
          <t>2023-10-08</t>
        </is>
      </c>
      <c r="NB31" s="5">
        <f>ROUND(1.29,2)</f>
        <v/>
      </c>
      <c r="NC31" s="3">
        <f>ROUND(4761.0,2)</f>
        <v/>
      </c>
      <c r="ND31" s="3">
        <f>ROUND(129.0,2)</f>
        <v/>
      </c>
      <c r="NE31" s="3">
        <f>ROUND(0.0,2)</f>
        <v/>
      </c>
      <c r="NF31" s="3">
        <f>ROUND(0.0,2)</f>
        <v/>
      </c>
      <c r="NG31" s="3">
        <f>ROUND(0.0,2)</f>
        <v/>
      </c>
      <c r="NH31" s="3">
        <f>ROUND(0.0,2)</f>
        <v/>
      </c>
      <c r="NI31" s="3">
        <f>ROUND(0.0,2)</f>
        <v/>
      </c>
      <c r="NJ31" s="4">
        <f>IFERROR((ND31/NC31),0)</f>
        <v/>
      </c>
      <c r="NK31" s="4">
        <f>IFERROR(((0+NB11+NB12+NB13+NB14+NB15+NB16+NB17+NB19+NB20+NB21+NB22+NB23+NB24+NB25+NB27+NB28+NB29+NB30+NB31)/T2),0)</f>
        <v/>
      </c>
      <c r="NL31" s="5">
        <f>IFERROR(ROUND(NB31/ND31,2),0)</f>
        <v/>
      </c>
      <c r="NM31" s="5">
        <f>IFERROR(ROUND(NB31/NE31,2),0)</f>
        <v/>
      </c>
      <c r="NN31" s="2" t="inlineStr">
        <is>
          <t>2023-10-08</t>
        </is>
      </c>
      <c r="NO31" s="5">
        <f>ROUND(0.18,2)</f>
        <v/>
      </c>
      <c r="NP31" s="3">
        <f>ROUND(836.0,2)</f>
        <v/>
      </c>
      <c r="NQ31" s="3">
        <f>ROUND(18.0,2)</f>
        <v/>
      </c>
      <c r="NR31" s="3">
        <f>ROUND(0.0,2)</f>
        <v/>
      </c>
      <c r="NS31" s="3">
        <f>ROUND(0.0,2)</f>
        <v/>
      </c>
      <c r="NT31" s="3">
        <f>ROUND(0.0,2)</f>
        <v/>
      </c>
      <c r="NU31" s="3">
        <f>ROUND(0.0,2)</f>
        <v/>
      </c>
      <c r="NV31" s="3">
        <f>ROUND(0.0,2)</f>
        <v/>
      </c>
      <c r="NW31" s="4">
        <f>IFERROR((NQ31/NP31),0)</f>
        <v/>
      </c>
      <c r="NX31" s="4">
        <f>IFERROR(((0+NO11+NO12+NO13+NO14+NO15+NO16+NO17+NO19+NO20+NO21+NO22+NO23+NO24+NO25+NO27+NO28+NO29+NO30+NO31)/T2),0)</f>
        <v/>
      </c>
      <c r="NY31" s="5">
        <f>IFERROR(ROUND(NO31/NQ31,2),0)</f>
        <v/>
      </c>
      <c r="NZ31" s="5">
        <f>IFERROR(ROUND(NO31/NR31,2),0)</f>
        <v/>
      </c>
      <c r="OA31" s="2" t="inlineStr">
        <is>
          <t>2023-10-08</t>
        </is>
      </c>
      <c r="OB31" s="5">
        <f>ROUND(0.53,2)</f>
        <v/>
      </c>
      <c r="OC31" s="3">
        <f>ROUND(1091.0,2)</f>
        <v/>
      </c>
      <c r="OD31" s="3">
        <f>ROUND(53.0,2)</f>
        <v/>
      </c>
      <c r="OE31" s="3">
        <f>ROUND(0.0,2)</f>
        <v/>
      </c>
      <c r="OF31" s="3">
        <f>ROUND(0.0,2)</f>
        <v/>
      </c>
      <c r="OG31" s="3">
        <f>ROUND(0.0,2)</f>
        <v/>
      </c>
      <c r="OH31" s="3">
        <f>ROUND(0.0,2)</f>
        <v/>
      </c>
      <c r="OI31" s="3">
        <f>ROUND(0.0,2)</f>
        <v/>
      </c>
      <c r="OJ31" s="4">
        <f>IFERROR((OD31/OC31),0)</f>
        <v/>
      </c>
      <c r="OK31" s="4">
        <f>IFERROR(((0+OB11+OB12+OB13+OB14+OB15+OB16+OB17+OB19+OB20+OB21+OB22+OB23+OB24+OB25+OB27+OB28+OB29+OB30+OB31)/T2),0)</f>
        <v/>
      </c>
      <c r="OL31" s="5">
        <f>IFERROR(ROUND(OB31/OD31,2),0)</f>
        <v/>
      </c>
      <c r="OM31" s="5">
        <f>IFERROR(ROUND(OB31/OE31,2),0)</f>
        <v/>
      </c>
      <c r="ON31" s="2" t="inlineStr">
        <is>
          <t>2023-10-08</t>
        </is>
      </c>
      <c r="OO31" s="5">
        <f>ROUND(0.51,2)</f>
        <v/>
      </c>
      <c r="OP31" s="3">
        <f>ROUND(1173.0,2)</f>
        <v/>
      </c>
      <c r="OQ31" s="3">
        <f>ROUND(51.0,2)</f>
        <v/>
      </c>
      <c r="OR31" s="3">
        <f>ROUND(0.0,2)</f>
        <v/>
      </c>
      <c r="OS31" s="3">
        <f>ROUND(0.0,2)</f>
        <v/>
      </c>
      <c r="OT31" s="3">
        <f>ROUND(0.0,2)</f>
        <v/>
      </c>
      <c r="OU31" s="3">
        <f>ROUND(0.0,2)</f>
        <v/>
      </c>
      <c r="OV31" s="3">
        <f>ROUND(0.0,2)</f>
        <v/>
      </c>
      <c r="OW31" s="4">
        <f>IFERROR((OQ31/OP31),0)</f>
        <v/>
      </c>
      <c r="OX31" s="4">
        <f>IFERROR(((0+OO11+OO12+OO13+OO14+OO15+OO16+OO17+OO19+OO20+OO21+OO22+OO23+OO24+OO25+OO27+OO28+OO29+OO30+OO31)/T2),0)</f>
        <v/>
      </c>
      <c r="OY31" s="5">
        <f>IFERROR(ROUND(OO31/OQ31,2),0)</f>
        <v/>
      </c>
      <c r="OZ31" s="5">
        <f>IFERROR(ROUND(OO31/OR31,2),0)</f>
        <v/>
      </c>
      <c r="PA31" s="2" t="inlineStr">
        <is>
          <t>2023-10-08</t>
        </is>
      </c>
      <c r="PB31" s="5">
        <f>ROUND(0.54,2)</f>
        <v/>
      </c>
      <c r="PC31" s="3">
        <f>ROUND(1410.0,2)</f>
        <v/>
      </c>
      <c r="PD31" s="3">
        <f>ROUND(54.0,2)</f>
        <v/>
      </c>
      <c r="PE31" s="3">
        <f>ROUND(0.0,2)</f>
        <v/>
      </c>
      <c r="PF31" s="3">
        <f>ROUND(0.0,2)</f>
        <v/>
      </c>
      <c r="PG31" s="3">
        <f>ROUND(0.0,2)</f>
        <v/>
      </c>
      <c r="PH31" s="3">
        <f>ROUND(0.0,2)</f>
        <v/>
      </c>
      <c r="PI31" s="3">
        <f>ROUND(0.0,2)</f>
        <v/>
      </c>
      <c r="PJ31" s="4">
        <f>IFERROR((PD31/PC31),0)</f>
        <v/>
      </c>
      <c r="PK31" s="4">
        <f>IFERROR(((0+PB11+PB12+PB13+PB14+PB15+PB16+PB17+PB19+PB20+PB21+PB22+PB23+PB24+PB25+PB27+PB28+PB29+PB30+PB31)/T2),0)</f>
        <v/>
      </c>
      <c r="PL31" s="5">
        <f>IFERROR(ROUND(PB31/PD31,2),0)</f>
        <v/>
      </c>
      <c r="PM31" s="5">
        <f>IFERROR(ROUND(PB31/PE31,2),0)</f>
        <v/>
      </c>
      <c r="PN31" s="2" t="inlineStr">
        <is>
          <t>2023-10-08</t>
        </is>
      </c>
      <c r="PO31" s="5">
        <f>ROUND(0.29000000000000004,2)</f>
        <v/>
      </c>
      <c r="PP31" s="3">
        <f>ROUND(925.0,2)</f>
        <v/>
      </c>
      <c r="PQ31" s="3">
        <f>ROUND(29.0,2)</f>
        <v/>
      </c>
      <c r="PR31" s="3">
        <f>ROUND(0.0,2)</f>
        <v/>
      </c>
      <c r="PS31" s="3">
        <f>ROUND(0.0,2)</f>
        <v/>
      </c>
      <c r="PT31" s="3">
        <f>ROUND(0.0,2)</f>
        <v/>
      </c>
      <c r="PU31" s="3">
        <f>ROUND(0.0,2)</f>
        <v/>
      </c>
      <c r="PV31" s="3">
        <f>ROUND(0.0,2)</f>
        <v/>
      </c>
      <c r="PW31" s="4">
        <f>IFERROR((PQ31/PP31),0)</f>
        <v/>
      </c>
      <c r="PX31" s="4">
        <f>IFERROR(((0+PO11+PO12+PO13+PO14+PO15+PO16+PO17+PO19+PO20+PO21+PO22+PO23+PO24+PO25+PO27+PO28+PO29+PO30+PO31)/T2),0)</f>
        <v/>
      </c>
      <c r="PY31" s="5">
        <f>IFERROR(ROUND(PO31/PQ31,2),0)</f>
        <v/>
      </c>
      <c r="PZ31" s="5">
        <f>IFERROR(ROUND(PO31/PR31,2),0)</f>
        <v/>
      </c>
      <c r="QA31" s="2" t="inlineStr">
        <is>
          <t>2023-10-08</t>
        </is>
      </c>
      <c r="QB31" s="5">
        <f>ROUND(0.35,2)</f>
        <v/>
      </c>
      <c r="QC31" s="3">
        <f>ROUND(1009.0,2)</f>
        <v/>
      </c>
      <c r="QD31" s="3">
        <f>ROUND(35.0,2)</f>
        <v/>
      </c>
      <c r="QE31" s="3">
        <f>ROUND(0.0,2)</f>
        <v/>
      </c>
      <c r="QF31" s="3">
        <f>ROUND(0.0,2)</f>
        <v/>
      </c>
      <c r="QG31" s="3">
        <f>ROUND(0.0,2)</f>
        <v/>
      </c>
      <c r="QH31" s="3">
        <f>ROUND(0.0,2)</f>
        <v/>
      </c>
      <c r="QI31" s="3">
        <f>ROUND(0.0,2)</f>
        <v/>
      </c>
      <c r="QJ31" s="4">
        <f>IFERROR((QD31/QC31),0)</f>
        <v/>
      </c>
      <c r="QK31" s="4">
        <f>IFERROR(((0+QB11+QB12+QB13+QB14+QB15+QB16+QB17+QB19+QB20+QB21+QB22+QB23+QB24+QB25+QB27+QB28+QB29+QB30+QB31)/T2),0)</f>
        <v/>
      </c>
      <c r="QL31" s="5">
        <f>IFERROR(ROUND(QB31/QD31,2),0)</f>
        <v/>
      </c>
      <c r="QM31" s="5">
        <f>IFERROR(ROUND(QB31/QE31,2),0)</f>
        <v/>
      </c>
      <c r="QN31" s="2" t="inlineStr">
        <is>
          <t>2023-10-08</t>
        </is>
      </c>
      <c r="QO31" s="5">
        <f>ROUND(0.36,2)</f>
        <v/>
      </c>
      <c r="QP31" s="3">
        <f>ROUND(2870.0,2)</f>
        <v/>
      </c>
      <c r="QQ31" s="3">
        <f>ROUND(36.0,2)</f>
        <v/>
      </c>
      <c r="QR31" s="3">
        <f>ROUND(0.0,2)</f>
        <v/>
      </c>
      <c r="QS31" s="3">
        <f>ROUND(0.0,2)</f>
        <v/>
      </c>
      <c r="QT31" s="3">
        <f>ROUND(0.0,2)</f>
        <v/>
      </c>
      <c r="QU31" s="3">
        <f>ROUND(0.0,2)</f>
        <v/>
      </c>
      <c r="QV31" s="3">
        <f>ROUND(0.0,2)</f>
        <v/>
      </c>
      <c r="QW31" s="4">
        <f>IFERROR((QQ31/QP31),0)</f>
        <v/>
      </c>
      <c r="QX31" s="4">
        <f>IFERROR(((0+QO11+QO12+QO13+QO14+QO15+QO16+QO17+QO19+QO20+QO21+QO22+QO23+QO24+QO25+QO27+QO28+QO29+QO30+QO31)/T2),0)</f>
        <v/>
      </c>
      <c r="QY31" s="5">
        <f>IFERROR(ROUND(QO31/QQ31,2),0)</f>
        <v/>
      </c>
      <c r="QZ31" s="5">
        <f>IFERROR(ROUND(QO31/QR31,2),0)</f>
        <v/>
      </c>
      <c r="RA31" s="2" t="inlineStr">
        <is>
          <t>2023-10-08</t>
        </is>
      </c>
      <c r="RB31" s="5">
        <f>ROUND(0.7200000000000001,2)</f>
        <v/>
      </c>
      <c r="RC31" s="3">
        <f>ROUND(1624.0,2)</f>
        <v/>
      </c>
      <c r="RD31" s="3">
        <f>ROUND(72.0,2)</f>
        <v/>
      </c>
      <c r="RE31" s="3">
        <f>ROUND(0.0,2)</f>
        <v/>
      </c>
      <c r="RF31" s="3">
        <f>ROUND(0.0,2)</f>
        <v/>
      </c>
      <c r="RG31" s="3">
        <f>ROUND(0.0,2)</f>
        <v/>
      </c>
      <c r="RH31" s="3">
        <f>ROUND(0.0,2)</f>
        <v/>
      </c>
      <c r="RI31" s="3">
        <f>ROUND(0.0,2)</f>
        <v/>
      </c>
      <c r="RJ31" s="4">
        <f>IFERROR((RD31/RC31),0)</f>
        <v/>
      </c>
      <c r="RK31" s="4">
        <f>IFERROR(((0+RB11+RB12+RB13+RB14+RB15+RB16+RB17+RB19+RB20+RB21+RB22+RB23+RB24+RB25+RB27+RB28+RB29+RB30+RB31)/T2),0)</f>
        <v/>
      </c>
      <c r="RL31" s="5">
        <f>IFERROR(ROUND(RB31/RD31,2),0)</f>
        <v/>
      </c>
      <c r="RM31" s="5">
        <f>IFERROR(ROUND(RB31/RE31,2),0)</f>
        <v/>
      </c>
      <c r="RN31" s="2" t="inlineStr">
        <is>
          <t>2023-10-08</t>
        </is>
      </c>
      <c r="RO31" s="5">
        <f>ROUND(0.27,2)</f>
        <v/>
      </c>
      <c r="RP31" s="3">
        <f>ROUND(824.0,2)</f>
        <v/>
      </c>
      <c r="RQ31" s="3">
        <f>ROUND(27.0,2)</f>
        <v/>
      </c>
      <c r="RR31" s="3">
        <f>ROUND(0.0,2)</f>
        <v/>
      </c>
      <c r="RS31" s="3">
        <f>ROUND(0.0,2)</f>
        <v/>
      </c>
      <c r="RT31" s="3">
        <f>ROUND(0.0,2)</f>
        <v/>
      </c>
      <c r="RU31" s="3">
        <f>ROUND(0.0,2)</f>
        <v/>
      </c>
      <c r="RV31" s="3">
        <f>ROUND(0.0,2)</f>
        <v/>
      </c>
      <c r="RW31" s="4">
        <f>IFERROR((RQ31/RP31),0)</f>
        <v/>
      </c>
      <c r="RX31" s="4">
        <f>IFERROR(((0+RO11+RO12+RO13+RO14+RO15+RO16+RO17+RO19+RO20+RO21+RO22+RO23+RO24+RO25+RO27+RO28+RO29+RO30+RO31)/T2),0)</f>
        <v/>
      </c>
      <c r="RY31" s="5">
        <f>IFERROR(ROUND(RO31/RQ31,2),0)</f>
        <v/>
      </c>
      <c r="RZ31" s="5">
        <f>IFERROR(ROUND(RO31/RR31,2),0)</f>
        <v/>
      </c>
      <c r="SA31" s="2" t="inlineStr">
        <is>
          <t>2023-10-08</t>
        </is>
      </c>
      <c r="SB31" s="5">
        <f>ROUND(0.9900000000000001,2)</f>
        <v/>
      </c>
      <c r="SC31" s="3">
        <f>ROUND(2697.0,2)</f>
        <v/>
      </c>
      <c r="SD31" s="3">
        <f>ROUND(99.0,2)</f>
        <v/>
      </c>
      <c r="SE31" s="3">
        <f>ROUND(0.0,2)</f>
        <v/>
      </c>
      <c r="SF31" s="3">
        <f>ROUND(0.0,2)</f>
        <v/>
      </c>
      <c r="SG31" s="3">
        <f>ROUND(0.0,2)</f>
        <v/>
      </c>
      <c r="SH31" s="3">
        <f>ROUND(0.0,2)</f>
        <v/>
      </c>
      <c r="SI31" s="3">
        <f>ROUND(0.0,2)</f>
        <v/>
      </c>
      <c r="SJ31" s="4">
        <f>IFERROR((SD31/SC31),0)</f>
        <v/>
      </c>
      <c r="SK31" s="4">
        <f>IFERROR(((0+SB11+SB12+SB13+SB14+SB15+SB16+SB17+SB19+SB20+SB21+SB22+SB23+SB24+SB25+SB27+SB28+SB29+SB30+SB31)/T2),0)</f>
        <v/>
      </c>
      <c r="SL31" s="5">
        <f>IFERROR(ROUND(SB31/SD31,2),0)</f>
        <v/>
      </c>
      <c r="SM31" s="5">
        <f>IFERROR(ROUND(SB31/SE31,2),0)</f>
        <v/>
      </c>
      <c r="SN31" s="2" t="inlineStr">
        <is>
          <t>2023-10-08</t>
        </is>
      </c>
      <c r="SO31" s="5">
        <f>ROUND(0.28,2)</f>
        <v/>
      </c>
      <c r="SP31" s="3">
        <f>ROUND(915.0,2)</f>
        <v/>
      </c>
      <c r="SQ31" s="3">
        <f>ROUND(28.0,2)</f>
        <v/>
      </c>
      <c r="SR31" s="3">
        <f>ROUND(0.0,2)</f>
        <v/>
      </c>
      <c r="SS31" s="3">
        <f>ROUND(0.0,2)</f>
        <v/>
      </c>
      <c r="ST31" s="3">
        <f>ROUND(0.0,2)</f>
        <v/>
      </c>
      <c r="SU31" s="3">
        <f>ROUND(0.0,2)</f>
        <v/>
      </c>
      <c r="SV31" s="3">
        <f>ROUND(0.0,2)</f>
        <v/>
      </c>
      <c r="SW31" s="4">
        <f>IFERROR((SQ31/SP31),0)</f>
        <v/>
      </c>
      <c r="SX31" s="4">
        <f>IFERROR(((0+SO11+SO12+SO13+SO14+SO15+SO16+SO17+SO19+SO20+SO21+SO22+SO23+SO24+SO25+SO27+SO28+SO29+SO30+SO31)/T2),0)</f>
        <v/>
      </c>
      <c r="SY31" s="5">
        <f>IFERROR(ROUND(SO31/SQ31,2),0)</f>
        <v/>
      </c>
      <c r="SZ31" s="5">
        <f>IFERROR(ROUND(SO31/SR31,2),0)</f>
        <v/>
      </c>
    </row>
    <row r="32">
      <c r="A32" s="2" t="inlineStr">
        <is>
          <t>2023-10-09</t>
        </is>
      </c>
      <c r="B32" s="5">
        <f>ROUND(40.31,2)</f>
        <v/>
      </c>
      <c r="C32" s="3">
        <f>ROUND(117884.0,2)</f>
        <v/>
      </c>
      <c r="D32" s="3">
        <f>ROUND(4030.0,2)</f>
        <v/>
      </c>
      <c r="E32" s="3">
        <f>ROUND(0.0,2)</f>
        <v/>
      </c>
      <c r="F32" s="3">
        <f>ROUND(0.0,2)</f>
        <v/>
      </c>
      <c r="G32" s="3">
        <f>ROUND(0.0,2)</f>
        <v/>
      </c>
      <c r="H32" s="3">
        <f>ROUND(0.0,2)</f>
        <v/>
      </c>
      <c r="I32" s="3">
        <f>ROUND(0.0,2)</f>
        <v/>
      </c>
      <c r="J32" s="4">
        <f>IFERROR((D32/C32),0)</f>
        <v/>
      </c>
      <c r="K32" s="4">
        <f>IFERROR(((0+B11+B12+B13+B14+B15+B16+B17+B19+B20+B21+B22+B23+B24+B25+B27+B28+B29+B30+B31+B32)/T2),0)</f>
        <v/>
      </c>
      <c r="L32" s="5">
        <f>IFERROR(ROUND(B32/D32,2),0)</f>
        <v/>
      </c>
      <c r="M32" s="5">
        <f>IFERROR(ROUND(B32/E32,2),0)</f>
        <v/>
      </c>
      <c r="N32" s="2" t="inlineStr">
        <is>
          <t>2023-10-09</t>
        </is>
      </c>
      <c r="O32" s="5">
        <f>ROUND(0.83,2)</f>
        <v/>
      </c>
      <c r="P32" s="3">
        <f>ROUND(963.0,2)</f>
        <v/>
      </c>
      <c r="Q32" s="3">
        <f>ROUND(83.0,2)</f>
        <v/>
      </c>
      <c r="R32" s="3">
        <f>ROUND(0.0,2)</f>
        <v/>
      </c>
      <c r="S32" s="3">
        <f>ROUND(0.0,2)</f>
        <v/>
      </c>
      <c r="T32" s="3">
        <f>ROUND(0.0,2)</f>
        <v/>
      </c>
      <c r="U32" s="3">
        <f>ROUND(0.0,2)</f>
        <v/>
      </c>
      <c r="V32" s="3">
        <f>ROUND(0.0,2)</f>
        <v/>
      </c>
      <c r="W32" s="4">
        <f>IFERROR((Q32/P32),0)</f>
        <v/>
      </c>
      <c r="X32" s="4">
        <f>IFERROR(((0+O11+O12+O13+O14+O15+O16+O17+O19+O20+O21+O22+O23+O24+O25+O27+O28+O29+O30+O31+O32)/T2),0)</f>
        <v/>
      </c>
      <c r="Y32" s="5">
        <f>IFERROR(ROUND(O32/Q32,2),0)</f>
        <v/>
      </c>
      <c r="Z32" s="5">
        <f>IFERROR(ROUND(O32/R32,2),0)</f>
        <v/>
      </c>
      <c r="AA32" s="2" t="inlineStr">
        <is>
          <t>2023-10-09</t>
        </is>
      </c>
      <c r="AB32" s="5">
        <f>ROUND(0.02,2)</f>
        <v/>
      </c>
      <c r="AC32" s="3">
        <f>ROUND(210.0,2)</f>
        <v/>
      </c>
      <c r="AD32" s="3">
        <f>ROUND(2.0,2)</f>
        <v/>
      </c>
      <c r="AE32" s="3">
        <f>ROUND(0.0,2)</f>
        <v/>
      </c>
      <c r="AF32" s="3">
        <f>ROUND(0.0,2)</f>
        <v/>
      </c>
      <c r="AG32" s="3">
        <f>ROUND(0.0,2)</f>
        <v/>
      </c>
      <c r="AH32" s="3">
        <f>ROUND(0.0,2)</f>
        <v/>
      </c>
      <c r="AI32" s="3">
        <f>ROUND(0.0,2)</f>
        <v/>
      </c>
      <c r="AJ32" s="4">
        <f>IFERROR((AD32/AC32),0)</f>
        <v/>
      </c>
      <c r="AK32" s="4">
        <f>IFERROR(((0+AB11+AB12+AB13+AB14+AB15+AB16+AB17+AB19+AB20+AB21+AB22+AB23+AB24+AB25+AB27+AB28+AB29+AB30+AB31+AB32)/T2),0)</f>
        <v/>
      </c>
      <c r="AL32" s="5">
        <f>IFERROR(ROUND(AB32/AD32,2),0)</f>
        <v/>
      </c>
      <c r="AM32" s="5">
        <f>IFERROR(ROUND(AB32/AE32,2),0)</f>
        <v/>
      </c>
      <c r="AN32" s="2" t="inlineStr">
        <is>
          <t>2023-10-09</t>
        </is>
      </c>
      <c r="AO32" s="5">
        <f>ROUND(3.7,2)</f>
        <v/>
      </c>
      <c r="AP32" s="3">
        <f>ROUND(21566.0,2)</f>
        <v/>
      </c>
      <c r="AQ32" s="3">
        <f>ROUND(370.0,2)</f>
        <v/>
      </c>
      <c r="AR32" s="3">
        <f>ROUND(0.0,2)</f>
        <v/>
      </c>
      <c r="AS32" s="3">
        <f>ROUND(0.0,2)</f>
        <v/>
      </c>
      <c r="AT32" s="3">
        <f>ROUND(0.0,2)</f>
        <v/>
      </c>
      <c r="AU32" s="3">
        <f>ROUND(0.0,2)</f>
        <v/>
      </c>
      <c r="AV32" s="3">
        <f>ROUND(0.0,2)</f>
        <v/>
      </c>
      <c r="AW32" s="4">
        <f>IFERROR((AQ32/AP32),0)</f>
        <v/>
      </c>
      <c r="AX32" s="4">
        <f>IFERROR(((0+AO11+AO12+AO13+AO14+AO15+AO16+AO17+AO19+AO20+AO21+AO22+AO23+AO24+AO25+AO27+AO28+AO29+AO30+AO31+AO32)/T2),0)</f>
        <v/>
      </c>
      <c r="AY32" s="5">
        <f>IFERROR(ROUND(AO32/AQ32,2),0)</f>
        <v/>
      </c>
      <c r="AZ32" s="5">
        <f>IFERROR(ROUND(AO32/AR32,2),0)</f>
        <v/>
      </c>
      <c r="BA32" s="2" t="inlineStr">
        <is>
          <t>2023-10-09</t>
        </is>
      </c>
      <c r="BB32" s="5">
        <f>ROUND(0.06,2)</f>
        <v/>
      </c>
      <c r="BC32" s="3">
        <f>ROUND(283.0,2)</f>
        <v/>
      </c>
      <c r="BD32" s="3">
        <f>ROUND(6.0,2)</f>
        <v/>
      </c>
      <c r="BE32" s="3">
        <f>ROUND(0.0,2)</f>
        <v/>
      </c>
      <c r="BF32" s="3">
        <f>ROUND(0.0,2)</f>
        <v/>
      </c>
      <c r="BG32" s="3">
        <f>ROUND(0.0,2)</f>
        <v/>
      </c>
      <c r="BH32" s="3">
        <f>ROUND(0.0,2)</f>
        <v/>
      </c>
      <c r="BI32" s="3">
        <f>ROUND(0.0,2)</f>
        <v/>
      </c>
      <c r="BJ32" s="4">
        <f>IFERROR((BD32/BC32),0)</f>
        <v/>
      </c>
      <c r="BK32" s="4">
        <f>IFERROR(((0+BB11+BB12+BB13+BB14+BB15+BB16+BB17+BB19+BB20+BB21+BB22+BB23+BB24+BB25+BB27+BB28+BB29+BB30+BB31+BB32)/T2),0)</f>
        <v/>
      </c>
      <c r="BL32" s="5">
        <f>IFERROR(ROUND(BB32/BD32,2),0)</f>
        <v/>
      </c>
      <c r="BM32" s="5">
        <f>IFERROR(ROUND(BB32/BE32,2),0)</f>
        <v/>
      </c>
      <c r="BN32" s="2" t="inlineStr">
        <is>
          <t>2023-10-09</t>
        </is>
      </c>
      <c r="BO32" s="5">
        <f>ROUND(0.05,2)</f>
        <v/>
      </c>
      <c r="BP32" s="3">
        <f>ROUND(268.0,2)</f>
        <v/>
      </c>
      <c r="BQ32" s="3">
        <f>ROUND(5.0,2)</f>
        <v/>
      </c>
      <c r="BR32" s="3">
        <f>ROUND(0.0,2)</f>
        <v/>
      </c>
      <c r="BS32" s="3">
        <f>ROUND(0.0,2)</f>
        <v/>
      </c>
      <c r="BT32" s="3">
        <f>ROUND(0.0,2)</f>
        <v/>
      </c>
      <c r="BU32" s="3">
        <f>ROUND(0.0,2)</f>
        <v/>
      </c>
      <c r="BV32" s="3">
        <f>ROUND(0.0,2)</f>
        <v/>
      </c>
      <c r="BW32" s="4">
        <f>IFERROR((BQ32/BP32),0)</f>
        <v/>
      </c>
      <c r="BX32" s="4">
        <f>IFERROR(((0+BO11+BO12+BO13+BO14+BO15+BO16+BO17+BO19+BO20+BO21+BO22+BO23+BO24+BO25+BO27+BO28+BO29+BO30+BO31+BO32)/T2),0)</f>
        <v/>
      </c>
      <c r="BY32" s="5">
        <f>IFERROR(ROUND(BO32/BQ32,2),0)</f>
        <v/>
      </c>
      <c r="BZ32" s="5">
        <f>IFERROR(ROUND(BO32/BR32,2),0)</f>
        <v/>
      </c>
      <c r="CA32" s="2" t="inlineStr">
        <is>
          <t>2023-10-09</t>
        </is>
      </c>
      <c r="CB32" s="5">
        <f>ROUND(0.0,2)</f>
        <v/>
      </c>
      <c r="CC32" s="3">
        <f>ROUND(72.0,2)</f>
        <v/>
      </c>
      <c r="CD32" s="3">
        <f>ROUND(0.0,2)</f>
        <v/>
      </c>
      <c r="CE32" s="3">
        <f>ROUND(0.0,2)</f>
        <v/>
      </c>
      <c r="CF32" s="3">
        <f>ROUND(0.0,2)</f>
        <v/>
      </c>
      <c r="CG32" s="3">
        <f>ROUND(0.0,2)</f>
        <v/>
      </c>
      <c r="CH32" s="3">
        <f>ROUND(0.0,2)</f>
        <v/>
      </c>
      <c r="CI32" s="3">
        <f>ROUND(0.0,2)</f>
        <v/>
      </c>
      <c r="CJ32" s="4">
        <f>IFERROR((CD32/CC32),0)</f>
        <v/>
      </c>
      <c r="CK32" s="4">
        <f>IFERROR(((0+CB11+CB12+CB13+CB14+CB15+CB16+CB17+CB19+CB20+CB21+CB22+CB23+CB24+CB25+CB27+CB28+CB29+CB30+CB31+CB32)/T2),0)</f>
        <v/>
      </c>
      <c r="CL32" s="5">
        <f>IFERROR(ROUND(CB32/CD32,2),0)</f>
        <v/>
      </c>
      <c r="CM32" s="5">
        <f>IFERROR(ROUND(CB32/CE32,2),0)</f>
        <v/>
      </c>
      <c r="CN32" s="2" t="inlineStr">
        <is>
          <t>2023-10-09</t>
        </is>
      </c>
      <c r="CO32" s="5">
        <f>ROUND(0.09999999999999999,2)</f>
        <v/>
      </c>
      <c r="CP32" s="3">
        <f>ROUND(1144.0,2)</f>
        <v/>
      </c>
      <c r="CQ32" s="3">
        <f>ROUND(10.0,2)</f>
        <v/>
      </c>
      <c r="CR32" s="3">
        <f>ROUND(0.0,2)</f>
        <v/>
      </c>
      <c r="CS32" s="3">
        <f>ROUND(0.0,2)</f>
        <v/>
      </c>
      <c r="CT32" s="3">
        <f>ROUND(0.0,2)</f>
        <v/>
      </c>
      <c r="CU32" s="3">
        <f>ROUND(0.0,2)</f>
        <v/>
      </c>
      <c r="CV32" s="3">
        <f>ROUND(0.0,2)</f>
        <v/>
      </c>
      <c r="CW32" s="4">
        <f>IFERROR((CQ32/CP32),0)</f>
        <v/>
      </c>
      <c r="CX32" s="4">
        <f>IFERROR(((0+CO11+CO12+CO13+CO14+CO15+CO16+CO17+CO19+CO20+CO21+CO22+CO23+CO24+CO25+CO27+CO28+CO29+CO30+CO31+CO32)/T2),0)</f>
        <v/>
      </c>
      <c r="CY32" s="5">
        <f>IFERROR(ROUND(CO32/CQ32,2),0)</f>
        <v/>
      </c>
      <c r="CZ32" s="5">
        <f>IFERROR(ROUND(CO32/CR32,2),0)</f>
        <v/>
      </c>
      <c r="DA32" s="2" t="inlineStr">
        <is>
          <t>2023-10-09</t>
        </is>
      </c>
      <c r="DB32" s="5">
        <f>ROUND(1.44,2)</f>
        <v/>
      </c>
      <c r="DC32" s="3">
        <f>ROUND(3938.0,2)</f>
        <v/>
      </c>
      <c r="DD32" s="3">
        <f>ROUND(144.0,2)</f>
        <v/>
      </c>
      <c r="DE32" s="3">
        <f>ROUND(0.0,2)</f>
        <v/>
      </c>
      <c r="DF32" s="3">
        <f>ROUND(0.0,2)</f>
        <v/>
      </c>
      <c r="DG32" s="3">
        <f>ROUND(0.0,2)</f>
        <v/>
      </c>
      <c r="DH32" s="3">
        <f>ROUND(0.0,2)</f>
        <v/>
      </c>
      <c r="DI32" s="3">
        <f>ROUND(0.0,2)</f>
        <v/>
      </c>
      <c r="DJ32" s="4">
        <f>IFERROR((DD32/DC32),0)</f>
        <v/>
      </c>
      <c r="DK32" s="4">
        <f>IFERROR(((0+DB11+DB12+DB13+DB14+DB15+DB16+DB17+DB19+DB20+DB21+DB22+DB23+DB24+DB25+DB27+DB28+DB29+DB30+DB31+DB32)/T2),0)</f>
        <v/>
      </c>
      <c r="DL32" s="5">
        <f>IFERROR(ROUND(DB32/DD32,2),0)</f>
        <v/>
      </c>
      <c r="DM32" s="5">
        <f>IFERROR(ROUND(DB32/DE32,2),0)</f>
        <v/>
      </c>
      <c r="DN32" s="2" t="inlineStr">
        <is>
          <t>2023-10-09</t>
        </is>
      </c>
      <c r="DO32" s="5">
        <f>ROUND(0.04,2)</f>
        <v/>
      </c>
      <c r="DP32" s="3">
        <f>ROUND(36.0,2)</f>
        <v/>
      </c>
      <c r="DQ32" s="3">
        <f>ROUND(4.0,2)</f>
        <v/>
      </c>
      <c r="DR32" s="3">
        <f>ROUND(0.0,2)</f>
        <v/>
      </c>
      <c r="DS32" s="3">
        <f>ROUND(0.0,2)</f>
        <v/>
      </c>
      <c r="DT32" s="3">
        <f>ROUND(0.0,2)</f>
        <v/>
      </c>
      <c r="DU32" s="3">
        <f>ROUND(0.0,2)</f>
        <v/>
      </c>
      <c r="DV32" s="3">
        <f>ROUND(0.0,2)</f>
        <v/>
      </c>
      <c r="DW32" s="4">
        <f>IFERROR((DQ32/DP32),0)</f>
        <v/>
      </c>
      <c r="DX32" s="4">
        <f>IFERROR(((0+DO11+DO12+DO13+DO14+DO15+DO16+DO17+DO19+DO20+DO21+DO22+DO23+DO24+DO25+DO27+DO28+DO29+DO30+DO31+DO32)/T2),0)</f>
        <v/>
      </c>
      <c r="DY32" s="5">
        <f>IFERROR(ROUND(DO32/DQ32,2),0)</f>
        <v/>
      </c>
      <c r="DZ32" s="5">
        <f>IFERROR(ROUND(DO32/DR32,2),0)</f>
        <v/>
      </c>
      <c r="EA32" s="2" t="inlineStr">
        <is>
          <t>2023-10-09</t>
        </is>
      </c>
      <c r="EB32" s="5">
        <f>ROUND(3.09,2)</f>
        <v/>
      </c>
      <c r="EC32" s="3">
        <f>ROUND(17315.0,2)</f>
        <v/>
      </c>
      <c r="ED32" s="3">
        <f>ROUND(309.0,2)</f>
        <v/>
      </c>
      <c r="EE32" s="3">
        <f>ROUND(0.0,2)</f>
        <v/>
      </c>
      <c r="EF32" s="3">
        <f>ROUND(0.0,2)</f>
        <v/>
      </c>
      <c r="EG32" s="3">
        <f>ROUND(0.0,2)</f>
        <v/>
      </c>
      <c r="EH32" s="3">
        <f>ROUND(0.0,2)</f>
        <v/>
      </c>
      <c r="EI32" s="3">
        <f>ROUND(0.0,2)</f>
        <v/>
      </c>
      <c r="EJ32" s="4">
        <f>IFERROR((ED32/EC32),0)</f>
        <v/>
      </c>
      <c r="EK32" s="4">
        <f>IFERROR(((0+EB11+EB12+EB13+EB14+EB15+EB16+EB17+EB19+EB20+EB21+EB22+EB23+EB24+EB25+EB27+EB28+EB29+EB30+EB31+EB32)/T2),0)</f>
        <v/>
      </c>
      <c r="EL32" s="5">
        <f>IFERROR(ROUND(EB32/ED32,2),0)</f>
        <v/>
      </c>
      <c r="EM32" s="5">
        <f>IFERROR(ROUND(EB32/EE32,2),0)</f>
        <v/>
      </c>
      <c r="EN32" s="2" t="inlineStr">
        <is>
          <t>2023-10-09</t>
        </is>
      </c>
      <c r="EO32" s="5">
        <f>ROUND(0.02,2)</f>
        <v/>
      </c>
      <c r="EP32" s="3">
        <f>ROUND(41.0,2)</f>
        <v/>
      </c>
      <c r="EQ32" s="3">
        <f>ROUND(2.0,2)</f>
        <v/>
      </c>
      <c r="ER32" s="3">
        <f>ROUND(0.0,2)</f>
        <v/>
      </c>
      <c r="ES32" s="3">
        <f>ROUND(0.0,2)</f>
        <v/>
      </c>
      <c r="ET32" s="3">
        <f>ROUND(0.0,2)</f>
        <v/>
      </c>
      <c r="EU32" s="3">
        <f>ROUND(0.0,2)</f>
        <v/>
      </c>
      <c r="EV32" s="3">
        <f>ROUND(0.0,2)</f>
        <v/>
      </c>
      <c r="EW32" s="4">
        <f>IFERROR((EQ32/EP32),0)</f>
        <v/>
      </c>
      <c r="EX32" s="4">
        <f>IFERROR(((0+EO11+EO12+EO13+EO14+EO15+EO16+EO17+EO19+EO20+EO21+EO22+EO23+EO24+EO25+EO27+EO28+EO29+EO30+EO31+EO32)/T2),0)</f>
        <v/>
      </c>
      <c r="EY32" s="5">
        <f>IFERROR(ROUND(EO32/EQ32,2),0)</f>
        <v/>
      </c>
      <c r="EZ32" s="5">
        <f>IFERROR(ROUND(EO32/ER32,2),0)</f>
        <v/>
      </c>
      <c r="FA32" s="2" t="inlineStr">
        <is>
          <t>2023-10-09</t>
        </is>
      </c>
      <c r="FB32" s="5">
        <f>ROUND(0.51,2)</f>
        <v/>
      </c>
      <c r="FC32" s="3">
        <f>ROUND(1799.0,2)</f>
        <v/>
      </c>
      <c r="FD32" s="3">
        <f>ROUND(51.0,2)</f>
        <v/>
      </c>
      <c r="FE32" s="3">
        <f>ROUND(0.0,2)</f>
        <v/>
      </c>
      <c r="FF32" s="3">
        <f>ROUND(0.0,2)</f>
        <v/>
      </c>
      <c r="FG32" s="3">
        <f>ROUND(0.0,2)</f>
        <v/>
      </c>
      <c r="FH32" s="3">
        <f>ROUND(0.0,2)</f>
        <v/>
      </c>
      <c r="FI32" s="3">
        <f>ROUND(0.0,2)</f>
        <v/>
      </c>
      <c r="FJ32" s="4">
        <f>IFERROR((FD32/FC32),0)</f>
        <v/>
      </c>
      <c r="FK32" s="4">
        <f>IFERROR(((0+FB11+FB12+FB13+FB14+FB15+FB16+FB17+FB19+FB20+FB21+FB22+FB23+FB24+FB25+FB27+FB28+FB29+FB30+FB31+FB32)/T2),0)</f>
        <v/>
      </c>
      <c r="FL32" s="5">
        <f>IFERROR(ROUND(FB32/FD32,2),0)</f>
        <v/>
      </c>
      <c r="FM32" s="5">
        <f>IFERROR(ROUND(FB32/FE32,2),0)</f>
        <v/>
      </c>
      <c r="FN32" s="2" t="inlineStr">
        <is>
          <t>2023-10-09</t>
        </is>
      </c>
      <c r="FO32" s="5">
        <f>ROUND(0.16,2)</f>
        <v/>
      </c>
      <c r="FP32" s="3">
        <f>ROUND(657.0,2)</f>
        <v/>
      </c>
      <c r="FQ32" s="3">
        <f>ROUND(16.0,2)</f>
        <v/>
      </c>
      <c r="FR32" s="3">
        <f>ROUND(0.0,2)</f>
        <v/>
      </c>
      <c r="FS32" s="3">
        <f>ROUND(0.0,2)</f>
        <v/>
      </c>
      <c r="FT32" s="3">
        <f>ROUND(0.0,2)</f>
        <v/>
      </c>
      <c r="FU32" s="3">
        <f>ROUND(0.0,2)</f>
        <v/>
      </c>
      <c r="FV32" s="3">
        <f>ROUND(0.0,2)</f>
        <v/>
      </c>
      <c r="FW32" s="4">
        <f>IFERROR((FQ32/FP32),0)</f>
        <v/>
      </c>
      <c r="FX32" s="4">
        <f>IFERROR(((0+FO11+FO12+FO13+FO14+FO15+FO16+FO17+FO19+FO20+FO21+FO22+FO23+FO24+FO25+FO27+FO28+FO29+FO30+FO31+FO32)/T2),0)</f>
        <v/>
      </c>
      <c r="FY32" s="5">
        <f>IFERROR(ROUND(FO32/FQ32,2),0)</f>
        <v/>
      </c>
      <c r="FZ32" s="5">
        <f>IFERROR(ROUND(FO32/FR32,2),0)</f>
        <v/>
      </c>
      <c r="GA32" s="2" t="inlineStr">
        <is>
          <t>2023-10-09</t>
        </is>
      </c>
      <c r="GB32" s="5">
        <f>ROUND(3.22,2)</f>
        <v/>
      </c>
      <c r="GC32" s="3">
        <f>ROUND(4114.0,2)</f>
        <v/>
      </c>
      <c r="GD32" s="3">
        <f>ROUND(322.0,2)</f>
        <v/>
      </c>
      <c r="GE32" s="3">
        <f>ROUND(0.0,2)</f>
        <v/>
      </c>
      <c r="GF32" s="3">
        <f>ROUND(0.0,2)</f>
        <v/>
      </c>
      <c r="GG32" s="3">
        <f>ROUND(0.0,2)</f>
        <v/>
      </c>
      <c r="GH32" s="3">
        <f>ROUND(0.0,2)</f>
        <v/>
      </c>
      <c r="GI32" s="3">
        <f>ROUND(0.0,2)</f>
        <v/>
      </c>
      <c r="GJ32" s="4">
        <f>IFERROR((GD32/GC32),0)</f>
        <v/>
      </c>
      <c r="GK32" s="4">
        <f>IFERROR(((0+GB11+GB12+GB13+GB14+GB15+GB16+GB17+GB19+GB20+GB21+GB22+GB23+GB24+GB25+GB27+GB28+GB29+GB30+GB31+GB32)/T2),0)</f>
        <v/>
      </c>
      <c r="GL32" s="5">
        <f>IFERROR(ROUND(GB32/GD32,2),0)</f>
        <v/>
      </c>
      <c r="GM32" s="5">
        <f>IFERROR(ROUND(GB32/GE32,2),0)</f>
        <v/>
      </c>
      <c r="GN32" s="2" t="inlineStr">
        <is>
          <t>2023-10-09</t>
        </is>
      </c>
      <c r="GO32" s="5">
        <f>ROUND(0.6699999999999999,2)</f>
        <v/>
      </c>
      <c r="GP32" s="3">
        <f>ROUND(934.0,2)</f>
        <v/>
      </c>
      <c r="GQ32" s="3">
        <f>ROUND(67.0,2)</f>
        <v/>
      </c>
      <c r="GR32" s="3">
        <f>ROUND(0.0,2)</f>
        <v/>
      </c>
      <c r="GS32" s="3">
        <f>ROUND(0.0,2)</f>
        <v/>
      </c>
      <c r="GT32" s="3">
        <f>ROUND(0.0,2)</f>
        <v/>
      </c>
      <c r="GU32" s="3">
        <f>ROUND(0.0,2)</f>
        <v/>
      </c>
      <c r="GV32" s="3">
        <f>ROUND(0.0,2)</f>
        <v/>
      </c>
      <c r="GW32" s="4">
        <f>IFERROR((GQ32/GP32),0)</f>
        <v/>
      </c>
      <c r="GX32" s="4">
        <f>IFERROR(((0+GO11+GO12+GO13+GO14+GO15+GO16+GO17+GO19+GO20+GO21+GO22+GO23+GO24+GO25+GO27+GO28+GO29+GO30+GO31+GO32)/T2),0)</f>
        <v/>
      </c>
      <c r="GY32" s="5">
        <f>IFERROR(ROUND(GO32/GQ32,2),0)</f>
        <v/>
      </c>
      <c r="GZ32" s="5">
        <f>IFERROR(ROUND(GO32/GR32,2),0)</f>
        <v/>
      </c>
      <c r="HA32" s="2" t="inlineStr">
        <is>
          <t>2023-10-09</t>
        </is>
      </c>
      <c r="HB32" s="5">
        <f>ROUND(9.74,2)</f>
        <v/>
      </c>
      <c r="HC32" s="3">
        <f>ROUND(10804.0,2)</f>
        <v/>
      </c>
      <c r="HD32" s="3">
        <f>ROUND(974.0,2)</f>
        <v/>
      </c>
      <c r="HE32" s="3">
        <f>ROUND(0.0,2)</f>
        <v/>
      </c>
      <c r="HF32" s="3">
        <f>ROUND(0.0,2)</f>
        <v/>
      </c>
      <c r="HG32" s="3">
        <f>ROUND(0.0,2)</f>
        <v/>
      </c>
      <c r="HH32" s="3">
        <f>ROUND(0.0,2)</f>
        <v/>
      </c>
      <c r="HI32" s="3">
        <f>ROUND(0.0,2)</f>
        <v/>
      </c>
      <c r="HJ32" s="4">
        <f>IFERROR((HD32/HC32),0)</f>
        <v/>
      </c>
      <c r="HK32" s="4">
        <f>IFERROR(((0+HB11+HB12+HB13+HB14+HB15+HB16+HB17+HB19+HB20+HB21+HB22+HB23+HB24+HB25+HB27+HB28+HB29+HB30+HB31+HB32)/T2),0)</f>
        <v/>
      </c>
      <c r="HL32" s="5">
        <f>IFERROR(ROUND(HB32/HD32,2),0)</f>
        <v/>
      </c>
      <c r="HM32" s="5">
        <f>IFERROR(ROUND(HB32/HE32,2),0)</f>
        <v/>
      </c>
      <c r="HN32" s="2" t="inlineStr">
        <is>
          <t>2023-10-09</t>
        </is>
      </c>
      <c r="HO32" s="5">
        <f>ROUND(0.15,2)</f>
        <v/>
      </c>
      <c r="HP32" s="3">
        <f>ROUND(887.0,2)</f>
        <v/>
      </c>
      <c r="HQ32" s="3">
        <f>ROUND(15.0,2)</f>
        <v/>
      </c>
      <c r="HR32" s="3">
        <f>ROUND(0.0,2)</f>
        <v/>
      </c>
      <c r="HS32" s="3">
        <f>ROUND(0.0,2)</f>
        <v/>
      </c>
      <c r="HT32" s="3">
        <f>ROUND(0.0,2)</f>
        <v/>
      </c>
      <c r="HU32" s="3">
        <f>ROUND(0.0,2)</f>
        <v/>
      </c>
      <c r="HV32" s="3">
        <f>ROUND(0.0,2)</f>
        <v/>
      </c>
      <c r="HW32" s="4">
        <f>IFERROR((HQ32/HP32),0)</f>
        <v/>
      </c>
      <c r="HX32" s="4">
        <f>IFERROR(((0+HO11+HO12+HO13+HO14+HO15+HO16+HO17+HO19+HO20+HO21+HO22+HO23+HO24+HO25+HO27+HO28+HO29+HO30+HO31+HO32)/T2),0)</f>
        <v/>
      </c>
      <c r="HY32" s="5">
        <f>IFERROR(ROUND(HO32/HQ32,2),0)</f>
        <v/>
      </c>
      <c r="HZ32" s="5">
        <f>IFERROR(ROUND(HO32/HR32,2),0)</f>
        <v/>
      </c>
      <c r="IA32" s="2" t="inlineStr">
        <is>
          <t>2023-10-09</t>
        </is>
      </c>
      <c r="IB32" s="5">
        <f>ROUND(0.08,2)</f>
        <v/>
      </c>
      <c r="IC32" s="3">
        <f>ROUND(84.0,2)</f>
        <v/>
      </c>
      <c r="ID32" s="3">
        <f>ROUND(8.0,2)</f>
        <v/>
      </c>
      <c r="IE32" s="3">
        <f>ROUND(0.0,2)</f>
        <v/>
      </c>
      <c r="IF32" s="3">
        <f>ROUND(0.0,2)</f>
        <v/>
      </c>
      <c r="IG32" s="3">
        <f>ROUND(0.0,2)</f>
        <v/>
      </c>
      <c r="IH32" s="3">
        <f>ROUND(0.0,2)</f>
        <v/>
      </c>
      <c r="II32" s="3">
        <f>ROUND(0.0,2)</f>
        <v/>
      </c>
      <c r="IJ32" s="4">
        <f>IFERROR((ID32/IC32),0)</f>
        <v/>
      </c>
      <c r="IK32" s="4">
        <f>IFERROR(((0+IB11+IB12+IB13+IB14+IB15+IB16+IB17+IB19+IB20+IB21+IB22+IB23+IB24+IB25+IB27+IB28+IB29+IB30+IB31+IB32)/T2),0)</f>
        <v/>
      </c>
      <c r="IL32" s="5">
        <f>IFERROR(ROUND(IB32/ID32,2),0)</f>
        <v/>
      </c>
      <c r="IM32" s="5">
        <f>IFERROR(ROUND(IB32/IE32,2),0)</f>
        <v/>
      </c>
      <c r="IN32" s="2" t="inlineStr">
        <is>
          <t>2023-10-09</t>
        </is>
      </c>
      <c r="IO32" s="5">
        <f>ROUND(0.47000000000000003,2)</f>
        <v/>
      </c>
      <c r="IP32" s="3">
        <f>ROUND(2713.0,2)</f>
        <v/>
      </c>
      <c r="IQ32" s="3">
        <f>ROUND(47.0,2)</f>
        <v/>
      </c>
      <c r="IR32" s="3">
        <f>ROUND(0.0,2)</f>
        <v/>
      </c>
      <c r="IS32" s="3">
        <f>ROUND(0.0,2)</f>
        <v/>
      </c>
      <c r="IT32" s="3">
        <f>ROUND(0.0,2)</f>
        <v/>
      </c>
      <c r="IU32" s="3">
        <f>ROUND(0.0,2)</f>
        <v/>
      </c>
      <c r="IV32" s="3">
        <f>ROUND(0.0,2)</f>
        <v/>
      </c>
      <c r="IW32" s="4">
        <f>IFERROR((IQ32/IP32),0)</f>
        <v/>
      </c>
      <c r="IX32" s="4">
        <f>IFERROR(((0+IO11+IO12+IO13+IO14+IO15+IO16+IO17+IO19+IO20+IO21+IO22+IO23+IO24+IO25+IO27+IO28+IO29+IO30+IO31+IO32)/T2),0)</f>
        <v/>
      </c>
      <c r="IY32" s="5">
        <f>IFERROR(ROUND(IO32/IQ32,2),0)</f>
        <v/>
      </c>
      <c r="IZ32" s="5">
        <f>IFERROR(ROUND(IO32/IR32,2),0)</f>
        <v/>
      </c>
      <c r="JA32" s="2" t="inlineStr">
        <is>
          <t>2023-10-09</t>
        </is>
      </c>
      <c r="JB32" s="5">
        <f>ROUND(0.69,2)</f>
        <v/>
      </c>
      <c r="JC32" s="3">
        <f>ROUND(3190.0,2)</f>
        <v/>
      </c>
      <c r="JD32" s="3">
        <f>ROUND(69.0,2)</f>
        <v/>
      </c>
      <c r="JE32" s="3">
        <f>ROUND(0.0,2)</f>
        <v/>
      </c>
      <c r="JF32" s="3">
        <f>ROUND(0.0,2)</f>
        <v/>
      </c>
      <c r="JG32" s="3">
        <f>ROUND(0.0,2)</f>
        <v/>
      </c>
      <c r="JH32" s="3">
        <f>ROUND(0.0,2)</f>
        <v/>
      </c>
      <c r="JI32" s="3">
        <f>ROUND(0.0,2)</f>
        <v/>
      </c>
      <c r="JJ32" s="4">
        <f>IFERROR((JD32/JC32),0)</f>
        <v/>
      </c>
      <c r="JK32" s="4">
        <f>IFERROR(((0+JB11+JB12+JB13+JB14+JB15+JB16+JB17+JB19+JB20+JB21+JB22+JB23+JB24+JB25+JB27+JB28+JB29+JB30+JB31+JB32)/T2),0)</f>
        <v/>
      </c>
      <c r="JL32" s="5">
        <f>IFERROR(ROUND(JB32/JD32,2),0)</f>
        <v/>
      </c>
      <c r="JM32" s="5">
        <f>IFERROR(ROUND(JB32/JE32,2),0)</f>
        <v/>
      </c>
      <c r="JN32" s="2" t="inlineStr">
        <is>
          <t>2023-10-09</t>
        </is>
      </c>
      <c r="JO32" s="5">
        <f>ROUND(0.09,2)</f>
        <v/>
      </c>
      <c r="JP32" s="3">
        <f>ROUND(237.0,2)</f>
        <v/>
      </c>
      <c r="JQ32" s="3">
        <f>ROUND(9.0,2)</f>
        <v/>
      </c>
      <c r="JR32" s="3">
        <f>ROUND(0.0,2)</f>
        <v/>
      </c>
      <c r="JS32" s="3">
        <f>ROUND(0.0,2)</f>
        <v/>
      </c>
      <c r="JT32" s="3">
        <f>ROUND(0.0,2)</f>
        <v/>
      </c>
      <c r="JU32" s="3">
        <f>ROUND(0.0,2)</f>
        <v/>
      </c>
      <c r="JV32" s="3">
        <f>ROUND(0.0,2)</f>
        <v/>
      </c>
      <c r="JW32" s="4">
        <f>IFERROR((JQ32/JP32),0)</f>
        <v/>
      </c>
      <c r="JX32" s="4">
        <f>IFERROR(((0+JO11+JO12+JO13+JO14+JO15+JO16+JO17+JO19+JO20+JO21+JO22+JO23+JO24+JO25+JO27+JO28+JO29+JO30+JO31+JO32)/T2),0)</f>
        <v/>
      </c>
      <c r="JY32" s="5">
        <f>IFERROR(ROUND(JO32/JQ32,2),0)</f>
        <v/>
      </c>
      <c r="JZ32" s="5">
        <f>IFERROR(ROUND(JO32/JR32,2),0)</f>
        <v/>
      </c>
      <c r="KA32" s="2" t="inlineStr">
        <is>
          <t>2023-10-09</t>
        </is>
      </c>
      <c r="KB32" s="5">
        <f>ROUND(0.43,2)</f>
        <v/>
      </c>
      <c r="KC32" s="3">
        <f>ROUND(1675.0,2)</f>
        <v/>
      </c>
      <c r="KD32" s="3">
        <f>ROUND(43.0,2)</f>
        <v/>
      </c>
      <c r="KE32" s="3">
        <f>ROUND(0.0,2)</f>
        <v/>
      </c>
      <c r="KF32" s="3">
        <f>ROUND(0.0,2)</f>
        <v/>
      </c>
      <c r="KG32" s="3">
        <f>ROUND(0.0,2)</f>
        <v/>
      </c>
      <c r="KH32" s="3">
        <f>ROUND(0.0,2)</f>
        <v/>
      </c>
      <c r="KI32" s="3">
        <f>ROUND(0.0,2)</f>
        <v/>
      </c>
      <c r="KJ32" s="4">
        <f>IFERROR((KD32/KC32),0)</f>
        <v/>
      </c>
      <c r="KK32" s="4">
        <f>IFERROR(((0+KB11+KB12+KB13+KB14+KB15+KB16+KB17+KB19+KB20+KB21+KB22+KB23+KB24+KB25+KB27+KB28+KB29+KB30+KB31+KB32)/T2),0)</f>
        <v/>
      </c>
      <c r="KL32" s="5">
        <f>IFERROR(ROUND(KB32/KD32,2),0)</f>
        <v/>
      </c>
      <c r="KM32" s="5">
        <f>IFERROR(ROUND(KB32/KE32,2),0)</f>
        <v/>
      </c>
      <c r="KN32" s="2" t="inlineStr">
        <is>
          <t>2023-10-09</t>
        </is>
      </c>
      <c r="KO32" s="5">
        <f>ROUND(0.16,2)</f>
        <v/>
      </c>
      <c r="KP32" s="3">
        <f>ROUND(567.0,2)</f>
        <v/>
      </c>
      <c r="KQ32" s="3">
        <f>ROUND(16.0,2)</f>
        <v/>
      </c>
      <c r="KR32" s="3">
        <f>ROUND(0.0,2)</f>
        <v/>
      </c>
      <c r="KS32" s="3">
        <f>ROUND(0.0,2)</f>
        <v/>
      </c>
      <c r="KT32" s="3">
        <f>ROUND(0.0,2)</f>
        <v/>
      </c>
      <c r="KU32" s="3">
        <f>ROUND(0.0,2)</f>
        <v/>
      </c>
      <c r="KV32" s="3">
        <f>ROUND(0.0,2)</f>
        <v/>
      </c>
      <c r="KW32" s="4">
        <f>IFERROR((KQ32/KP32),0)</f>
        <v/>
      </c>
      <c r="KX32" s="4">
        <f>IFERROR(((0+KO11+KO12+KO13+KO14+KO15+KO16+KO17+KO19+KO20+KO21+KO22+KO23+KO24+KO25+KO27+KO28+KO29+KO30+KO31+KO32)/T2),0)</f>
        <v/>
      </c>
      <c r="KY32" s="5">
        <f>IFERROR(ROUND(KO32/KQ32,2),0)</f>
        <v/>
      </c>
      <c r="KZ32" s="5">
        <f>IFERROR(ROUND(KO32/KR32,2),0)</f>
        <v/>
      </c>
      <c r="LA32" s="2" t="inlineStr">
        <is>
          <t>2023-10-09</t>
        </is>
      </c>
      <c r="LB32" s="5">
        <f>ROUND(0.24,2)</f>
        <v/>
      </c>
      <c r="LC32" s="3">
        <f>ROUND(791.0,2)</f>
        <v/>
      </c>
      <c r="LD32" s="3">
        <f>ROUND(24.0,2)</f>
        <v/>
      </c>
      <c r="LE32" s="3">
        <f>ROUND(0.0,2)</f>
        <v/>
      </c>
      <c r="LF32" s="3">
        <f>ROUND(0.0,2)</f>
        <v/>
      </c>
      <c r="LG32" s="3">
        <f>ROUND(0.0,2)</f>
        <v/>
      </c>
      <c r="LH32" s="3">
        <f>ROUND(0.0,2)</f>
        <v/>
      </c>
      <c r="LI32" s="3">
        <f>ROUND(0.0,2)</f>
        <v/>
      </c>
      <c r="LJ32" s="4">
        <f>IFERROR((LD32/LC32),0)</f>
        <v/>
      </c>
      <c r="LK32" s="4">
        <f>IFERROR(((0+LB11+LB12+LB13+LB14+LB15+LB16+LB17+LB19+LB20+LB21+LB22+LB23+LB24+LB25+LB27+LB28+LB29+LB30+LB31+LB32)/T2),0)</f>
        <v/>
      </c>
      <c r="LL32" s="5">
        <f>IFERROR(ROUND(LB32/LD32,2),0)</f>
        <v/>
      </c>
      <c r="LM32" s="5">
        <f>IFERROR(ROUND(LB32/LE32,2),0)</f>
        <v/>
      </c>
      <c r="LN32" s="2" t="inlineStr">
        <is>
          <t>2023-10-09</t>
        </is>
      </c>
      <c r="LO32" s="5">
        <f>ROUND(0.05,2)</f>
        <v/>
      </c>
      <c r="LP32" s="3">
        <f>ROUND(228.0,2)</f>
        <v/>
      </c>
      <c r="LQ32" s="3">
        <f>ROUND(5.0,2)</f>
        <v/>
      </c>
      <c r="LR32" s="3">
        <f>ROUND(0.0,2)</f>
        <v/>
      </c>
      <c r="LS32" s="3">
        <f>ROUND(0.0,2)</f>
        <v/>
      </c>
      <c r="LT32" s="3">
        <f>ROUND(0.0,2)</f>
        <v/>
      </c>
      <c r="LU32" s="3">
        <f>ROUND(0.0,2)</f>
        <v/>
      </c>
      <c r="LV32" s="3">
        <f>ROUND(0.0,2)</f>
        <v/>
      </c>
      <c r="LW32" s="4">
        <f>IFERROR((LQ32/LP32),0)</f>
        <v/>
      </c>
      <c r="LX32" s="4">
        <f>IFERROR(((0+LO11+LO12+LO13+LO14+LO15+LO16+LO17+LO19+LO20+LO21+LO22+LO23+LO24+LO25+LO27+LO28+LO29+LO30+LO31+LO32)/T2),0)</f>
        <v/>
      </c>
      <c r="LY32" s="5">
        <f>IFERROR(ROUND(LO32/LQ32,2),0)</f>
        <v/>
      </c>
      <c r="LZ32" s="5">
        <f>IFERROR(ROUND(LO32/LR32,2),0)</f>
        <v/>
      </c>
      <c r="MA32" s="2" t="inlineStr">
        <is>
          <t>2023-10-09</t>
        </is>
      </c>
      <c r="MB32" s="5">
        <f>ROUND(1.3699999999999999,2)</f>
        <v/>
      </c>
      <c r="MC32" s="3">
        <f>ROUND(6254.0,2)</f>
        <v/>
      </c>
      <c r="MD32" s="3">
        <f>ROUND(137.0,2)</f>
        <v/>
      </c>
      <c r="ME32" s="3">
        <f>ROUND(0.0,2)</f>
        <v/>
      </c>
      <c r="MF32" s="3">
        <f>ROUND(0.0,2)</f>
        <v/>
      </c>
      <c r="MG32" s="3">
        <f>ROUND(0.0,2)</f>
        <v/>
      </c>
      <c r="MH32" s="3">
        <f>ROUND(0.0,2)</f>
        <v/>
      </c>
      <c r="MI32" s="3">
        <f>ROUND(0.0,2)</f>
        <v/>
      </c>
      <c r="MJ32" s="4">
        <f>IFERROR((MD32/MC32),0)</f>
        <v/>
      </c>
      <c r="MK32" s="4">
        <f>IFERROR(((0+MB11+MB12+MB13+MB14+MB15+MB16+MB17+MB19+MB20+MB21+MB22+MB23+MB24+MB25+MB27+MB28+MB29+MB30+MB31+MB32)/T2),0)</f>
        <v/>
      </c>
      <c r="ML32" s="5">
        <f>IFERROR(ROUND(MB32/MD32,2),0)</f>
        <v/>
      </c>
      <c r="MM32" s="5">
        <f>IFERROR(ROUND(MB32/ME32,2),0)</f>
        <v/>
      </c>
      <c r="MN32" s="2" t="inlineStr">
        <is>
          <t>2023-10-09</t>
        </is>
      </c>
      <c r="MO32" s="5">
        <f>ROUND(0.56,2)</f>
        <v/>
      </c>
      <c r="MP32" s="3">
        <f>ROUND(1028.0,2)</f>
        <v/>
      </c>
      <c r="MQ32" s="3">
        <f>ROUND(56.0,2)</f>
        <v/>
      </c>
      <c r="MR32" s="3">
        <f>ROUND(0.0,2)</f>
        <v/>
      </c>
      <c r="MS32" s="3">
        <f>ROUND(0.0,2)</f>
        <v/>
      </c>
      <c r="MT32" s="3">
        <f>ROUND(0.0,2)</f>
        <v/>
      </c>
      <c r="MU32" s="3">
        <f>ROUND(0.0,2)</f>
        <v/>
      </c>
      <c r="MV32" s="3">
        <f>ROUND(0.0,2)</f>
        <v/>
      </c>
      <c r="MW32" s="4">
        <f>IFERROR((MQ32/MP32),0)</f>
        <v/>
      </c>
      <c r="MX32" s="4">
        <f>IFERROR(((0+MO11+MO12+MO13+MO14+MO15+MO16+MO17+MO19+MO20+MO21+MO22+MO23+MO24+MO25+MO27+MO28+MO29+MO30+MO31+MO32)/T2),0)</f>
        <v/>
      </c>
      <c r="MY32" s="5">
        <f>IFERROR(ROUND(MO32/MQ32,2),0)</f>
        <v/>
      </c>
      <c r="MZ32" s="5">
        <f>IFERROR(ROUND(MO32/MR32,2),0)</f>
        <v/>
      </c>
      <c r="NA32" s="2" t="inlineStr">
        <is>
          <t>2023-10-09</t>
        </is>
      </c>
      <c r="NB32" s="5">
        <f>ROUND(2.4099999999999997,2)</f>
        <v/>
      </c>
      <c r="NC32" s="3">
        <f>ROUND(12196.0,2)</f>
        <v/>
      </c>
      <c r="ND32" s="3">
        <f>ROUND(241.0,2)</f>
        <v/>
      </c>
      <c r="NE32" s="3">
        <f>ROUND(0.0,2)</f>
        <v/>
      </c>
      <c r="NF32" s="3">
        <f>ROUND(0.0,2)</f>
        <v/>
      </c>
      <c r="NG32" s="3">
        <f>ROUND(0.0,2)</f>
        <v/>
      </c>
      <c r="NH32" s="3">
        <f>ROUND(0.0,2)</f>
        <v/>
      </c>
      <c r="NI32" s="3">
        <f>ROUND(0.0,2)</f>
        <v/>
      </c>
      <c r="NJ32" s="4">
        <f>IFERROR((ND32/NC32),0)</f>
        <v/>
      </c>
      <c r="NK32" s="4">
        <f>IFERROR(((0+NB11+NB12+NB13+NB14+NB15+NB16+NB17+NB19+NB20+NB21+NB22+NB23+NB24+NB25+NB27+NB28+NB29+NB30+NB31+NB32)/T2),0)</f>
        <v/>
      </c>
      <c r="NL32" s="5">
        <f>IFERROR(ROUND(NB32/ND32,2),0)</f>
        <v/>
      </c>
      <c r="NM32" s="5">
        <f>IFERROR(ROUND(NB32/NE32,2),0)</f>
        <v/>
      </c>
      <c r="NN32" s="2" t="inlineStr">
        <is>
          <t>2023-10-09</t>
        </is>
      </c>
      <c r="NO32" s="5">
        <f>ROUND(0.02,2)</f>
        <v/>
      </c>
      <c r="NP32" s="3">
        <f>ROUND(79.0,2)</f>
        <v/>
      </c>
      <c r="NQ32" s="3">
        <f>ROUND(2.0,2)</f>
        <v/>
      </c>
      <c r="NR32" s="3">
        <f>ROUND(0.0,2)</f>
        <v/>
      </c>
      <c r="NS32" s="3">
        <f>ROUND(0.0,2)</f>
        <v/>
      </c>
      <c r="NT32" s="3">
        <f>ROUND(0.0,2)</f>
        <v/>
      </c>
      <c r="NU32" s="3">
        <f>ROUND(0.0,2)</f>
        <v/>
      </c>
      <c r="NV32" s="3">
        <f>ROUND(0.0,2)</f>
        <v/>
      </c>
      <c r="NW32" s="4">
        <f>IFERROR((NQ32/NP32),0)</f>
        <v/>
      </c>
      <c r="NX32" s="4">
        <f>IFERROR(((0+NO11+NO12+NO13+NO14+NO15+NO16+NO17+NO19+NO20+NO21+NO22+NO23+NO24+NO25+NO27+NO28+NO29+NO30+NO31+NO32)/T2),0)</f>
        <v/>
      </c>
      <c r="NY32" s="5">
        <f>IFERROR(ROUND(NO32/NQ32,2),0)</f>
        <v/>
      </c>
      <c r="NZ32" s="5">
        <f>IFERROR(ROUND(NO32/NR32,2),0)</f>
        <v/>
      </c>
      <c r="OA32" s="2" t="inlineStr">
        <is>
          <t>2023-10-09</t>
        </is>
      </c>
      <c r="OB32" s="5">
        <f>ROUND(1.92,2)</f>
        <v/>
      </c>
      <c r="OC32" s="3">
        <f>ROUND(3050.0,2)</f>
        <v/>
      </c>
      <c r="OD32" s="3">
        <f>ROUND(192.0,2)</f>
        <v/>
      </c>
      <c r="OE32" s="3">
        <f>ROUND(0.0,2)</f>
        <v/>
      </c>
      <c r="OF32" s="3">
        <f>ROUND(0.0,2)</f>
        <v/>
      </c>
      <c r="OG32" s="3">
        <f>ROUND(0.0,2)</f>
        <v/>
      </c>
      <c r="OH32" s="3">
        <f>ROUND(0.0,2)</f>
        <v/>
      </c>
      <c r="OI32" s="3">
        <f>ROUND(0.0,2)</f>
        <v/>
      </c>
      <c r="OJ32" s="4">
        <f>IFERROR((OD32/OC32),0)</f>
        <v/>
      </c>
      <c r="OK32" s="4">
        <f>IFERROR(((0+OB11+OB12+OB13+OB14+OB15+OB16+OB17+OB19+OB20+OB21+OB22+OB23+OB24+OB25+OB27+OB28+OB29+OB30+OB31+OB32)/T2),0)</f>
        <v/>
      </c>
      <c r="OL32" s="5">
        <f>IFERROR(ROUND(OB32/OD32,2),0)</f>
        <v/>
      </c>
      <c r="OM32" s="5">
        <f>IFERROR(ROUND(OB32/OE32,2),0)</f>
        <v/>
      </c>
      <c r="ON32" s="2" t="inlineStr">
        <is>
          <t>2023-10-09</t>
        </is>
      </c>
      <c r="OO32" s="5">
        <f>ROUND(0.53,2)</f>
        <v/>
      </c>
      <c r="OP32" s="3">
        <f>ROUND(2772.0,2)</f>
        <v/>
      </c>
      <c r="OQ32" s="3">
        <f>ROUND(53.0,2)</f>
        <v/>
      </c>
      <c r="OR32" s="3">
        <f>ROUND(0.0,2)</f>
        <v/>
      </c>
      <c r="OS32" s="3">
        <f>ROUND(0.0,2)</f>
        <v/>
      </c>
      <c r="OT32" s="3">
        <f>ROUND(0.0,2)</f>
        <v/>
      </c>
      <c r="OU32" s="3">
        <f>ROUND(0.0,2)</f>
        <v/>
      </c>
      <c r="OV32" s="3">
        <f>ROUND(0.0,2)</f>
        <v/>
      </c>
      <c r="OW32" s="4">
        <f>IFERROR((OQ32/OP32),0)</f>
        <v/>
      </c>
      <c r="OX32" s="4">
        <f>IFERROR(((0+OO11+OO12+OO13+OO14+OO15+OO16+OO17+OO19+OO20+OO21+OO22+OO23+OO24+OO25+OO27+OO28+OO29+OO30+OO31+OO32)/T2),0)</f>
        <v/>
      </c>
      <c r="OY32" s="5">
        <f>IFERROR(ROUND(OO32/OQ32,2),0)</f>
        <v/>
      </c>
      <c r="OZ32" s="5">
        <f>IFERROR(ROUND(OO32/OR32,2),0)</f>
        <v/>
      </c>
      <c r="PA32" s="2" t="inlineStr">
        <is>
          <t>2023-10-09</t>
        </is>
      </c>
      <c r="PB32" s="5">
        <f>ROUND(0.03,2)</f>
        <v/>
      </c>
      <c r="PC32" s="3">
        <f>ROUND(117.0,2)</f>
        <v/>
      </c>
      <c r="PD32" s="3">
        <f>ROUND(3.0,2)</f>
        <v/>
      </c>
      <c r="PE32" s="3">
        <f>ROUND(0.0,2)</f>
        <v/>
      </c>
      <c r="PF32" s="3">
        <f>ROUND(0.0,2)</f>
        <v/>
      </c>
      <c r="PG32" s="3">
        <f>ROUND(0.0,2)</f>
        <v/>
      </c>
      <c r="PH32" s="3">
        <f>ROUND(0.0,2)</f>
        <v/>
      </c>
      <c r="PI32" s="3">
        <f>ROUND(0.0,2)</f>
        <v/>
      </c>
      <c r="PJ32" s="4">
        <f>IFERROR((PD32/PC32),0)</f>
        <v/>
      </c>
      <c r="PK32" s="4">
        <f>IFERROR(((0+PB11+PB12+PB13+PB14+PB15+PB16+PB17+PB19+PB20+PB21+PB22+PB23+PB24+PB25+PB27+PB28+PB29+PB30+PB31+PB32)/T2),0)</f>
        <v/>
      </c>
      <c r="PL32" s="5">
        <f>IFERROR(ROUND(PB32/PD32,2),0)</f>
        <v/>
      </c>
      <c r="PM32" s="5">
        <f>IFERROR(ROUND(PB32/PE32,2),0)</f>
        <v/>
      </c>
      <c r="PN32" s="2" t="inlineStr">
        <is>
          <t>2023-10-09</t>
        </is>
      </c>
      <c r="PO32" s="5">
        <f>ROUND(0.06,2)</f>
        <v/>
      </c>
      <c r="PP32" s="3">
        <f>ROUND(72.0,2)</f>
        <v/>
      </c>
      <c r="PQ32" s="3">
        <f>ROUND(6.0,2)</f>
        <v/>
      </c>
      <c r="PR32" s="3">
        <f>ROUND(0.0,2)</f>
        <v/>
      </c>
      <c r="PS32" s="3">
        <f>ROUND(0.0,2)</f>
        <v/>
      </c>
      <c r="PT32" s="3">
        <f>ROUND(0.0,2)</f>
        <v/>
      </c>
      <c r="PU32" s="3">
        <f>ROUND(0.0,2)</f>
        <v/>
      </c>
      <c r="PV32" s="3">
        <f>ROUND(0.0,2)</f>
        <v/>
      </c>
      <c r="PW32" s="4">
        <f>IFERROR((PQ32/PP32),0)</f>
        <v/>
      </c>
      <c r="PX32" s="4">
        <f>IFERROR(((0+PO11+PO12+PO13+PO14+PO15+PO16+PO17+PO19+PO20+PO21+PO22+PO23+PO24+PO25+PO27+PO28+PO29+PO30+PO31+PO32)/T2),0)</f>
        <v/>
      </c>
      <c r="PY32" s="5">
        <f>IFERROR(ROUND(PO32/PQ32,2),0)</f>
        <v/>
      </c>
      <c r="PZ32" s="5">
        <f>IFERROR(ROUND(PO32/PR32,2),0)</f>
        <v/>
      </c>
      <c r="QA32" s="2" t="inlineStr">
        <is>
          <t>2023-10-09</t>
        </is>
      </c>
      <c r="QB32" s="5">
        <f>ROUND(0.07,2)</f>
        <v/>
      </c>
      <c r="QC32" s="3">
        <f>ROUND(175.0,2)</f>
        <v/>
      </c>
      <c r="QD32" s="3">
        <f>ROUND(7.0,2)</f>
        <v/>
      </c>
      <c r="QE32" s="3">
        <f>ROUND(0.0,2)</f>
        <v/>
      </c>
      <c r="QF32" s="3">
        <f>ROUND(0.0,2)</f>
        <v/>
      </c>
      <c r="QG32" s="3">
        <f>ROUND(0.0,2)</f>
        <v/>
      </c>
      <c r="QH32" s="3">
        <f>ROUND(0.0,2)</f>
        <v/>
      </c>
      <c r="QI32" s="3">
        <f>ROUND(0.0,2)</f>
        <v/>
      </c>
      <c r="QJ32" s="4">
        <f>IFERROR((QD32/QC32),0)</f>
        <v/>
      </c>
      <c r="QK32" s="4">
        <f>IFERROR(((0+QB11+QB12+QB13+QB14+QB15+QB16+QB17+QB19+QB20+QB21+QB22+QB23+QB24+QB25+QB27+QB28+QB29+QB30+QB31+QB32)/T2),0)</f>
        <v/>
      </c>
      <c r="QL32" s="5">
        <f>IFERROR(ROUND(QB32/QD32,2),0)</f>
        <v/>
      </c>
      <c r="QM32" s="5">
        <f>IFERROR(ROUND(QB32/QE32,2),0)</f>
        <v/>
      </c>
      <c r="QN32" s="2" t="inlineStr">
        <is>
          <t>2023-10-09</t>
        </is>
      </c>
      <c r="QO32" s="5">
        <f>ROUND(0.1,2)</f>
        <v/>
      </c>
      <c r="QP32" s="3">
        <f>ROUND(437.0,2)</f>
        <v/>
      </c>
      <c r="QQ32" s="3">
        <f>ROUND(10.0,2)</f>
        <v/>
      </c>
      <c r="QR32" s="3">
        <f>ROUND(0.0,2)</f>
        <v/>
      </c>
      <c r="QS32" s="3">
        <f>ROUND(0.0,2)</f>
        <v/>
      </c>
      <c r="QT32" s="3">
        <f>ROUND(0.0,2)</f>
        <v/>
      </c>
      <c r="QU32" s="3">
        <f>ROUND(0.0,2)</f>
        <v/>
      </c>
      <c r="QV32" s="3">
        <f>ROUND(0.0,2)</f>
        <v/>
      </c>
      <c r="QW32" s="4">
        <f>IFERROR((QQ32/QP32),0)</f>
        <v/>
      </c>
      <c r="QX32" s="4">
        <f>IFERROR(((0+QO11+QO12+QO13+QO14+QO15+QO16+QO17+QO19+QO20+QO21+QO22+QO23+QO24+QO25+QO27+QO28+QO29+QO30+QO31+QO32)/T2),0)</f>
        <v/>
      </c>
      <c r="QY32" s="5">
        <f>IFERROR(ROUND(QO32/QQ32,2),0)</f>
        <v/>
      </c>
      <c r="QZ32" s="5">
        <f>IFERROR(ROUND(QO32/QR32,2),0)</f>
        <v/>
      </c>
      <c r="RA32" s="2" t="inlineStr">
        <is>
          <t>2023-10-09</t>
        </is>
      </c>
      <c r="RB32" s="5">
        <f>ROUND(0.77,2)</f>
        <v/>
      </c>
      <c r="RC32" s="3">
        <f>ROUND(794.0,2)</f>
        <v/>
      </c>
      <c r="RD32" s="3">
        <f>ROUND(77.0,2)</f>
        <v/>
      </c>
      <c r="RE32" s="3">
        <f>ROUND(0.0,2)</f>
        <v/>
      </c>
      <c r="RF32" s="3">
        <f>ROUND(0.0,2)</f>
        <v/>
      </c>
      <c r="RG32" s="3">
        <f>ROUND(0.0,2)</f>
        <v/>
      </c>
      <c r="RH32" s="3">
        <f>ROUND(0.0,2)</f>
        <v/>
      </c>
      <c r="RI32" s="3">
        <f>ROUND(0.0,2)</f>
        <v/>
      </c>
      <c r="RJ32" s="4">
        <f>IFERROR((RD32/RC32),0)</f>
        <v/>
      </c>
      <c r="RK32" s="4">
        <f>IFERROR(((0+RB11+RB12+RB13+RB14+RB15+RB16+RB17+RB19+RB20+RB21+RB22+RB23+RB24+RB25+RB27+RB28+RB29+RB30+RB31+RB32)/T2),0)</f>
        <v/>
      </c>
      <c r="RL32" s="5">
        <f>IFERROR(ROUND(RB32/RD32,2),0)</f>
        <v/>
      </c>
      <c r="RM32" s="5">
        <f>IFERROR(ROUND(RB32/RE32,2),0)</f>
        <v/>
      </c>
      <c r="RN32" s="2" t="inlineStr">
        <is>
          <t>2023-10-09</t>
        </is>
      </c>
      <c r="RO32" s="5">
        <f>ROUND(0.060000000000000005,2)</f>
        <v/>
      </c>
      <c r="RP32" s="3">
        <f>ROUND(111.0,2)</f>
        <v/>
      </c>
      <c r="RQ32" s="3">
        <f>ROUND(6.0,2)</f>
        <v/>
      </c>
      <c r="RR32" s="3">
        <f>ROUND(0.0,2)</f>
        <v/>
      </c>
      <c r="RS32" s="3">
        <f>ROUND(0.0,2)</f>
        <v/>
      </c>
      <c r="RT32" s="3">
        <f>ROUND(0.0,2)</f>
        <v/>
      </c>
      <c r="RU32" s="3">
        <f>ROUND(0.0,2)</f>
        <v/>
      </c>
      <c r="RV32" s="3">
        <f>ROUND(0.0,2)</f>
        <v/>
      </c>
      <c r="RW32" s="4">
        <f>IFERROR((RQ32/RP32),0)</f>
        <v/>
      </c>
      <c r="RX32" s="4">
        <f>IFERROR(((0+RO11+RO12+RO13+RO14+RO15+RO16+RO17+RO19+RO20+RO21+RO22+RO23+RO24+RO25+RO27+RO28+RO29+RO30+RO31+RO32)/T2),0)</f>
        <v/>
      </c>
      <c r="RY32" s="5">
        <f>IFERROR(ROUND(RO32/RQ32,2),0)</f>
        <v/>
      </c>
      <c r="RZ32" s="5">
        <f>IFERROR(ROUND(RO32/RR32,2),0)</f>
        <v/>
      </c>
      <c r="SA32" s="2" t="inlineStr">
        <is>
          <t>2023-10-09</t>
        </is>
      </c>
      <c r="SB32" s="5">
        <f>ROUND(5.79,2)</f>
        <v/>
      </c>
      <c r="SC32" s="3">
        <f>ROUND(13686.0,2)</f>
        <v/>
      </c>
      <c r="SD32" s="3">
        <f>ROUND(578.0,2)</f>
        <v/>
      </c>
      <c r="SE32" s="3">
        <f>ROUND(0.0,2)</f>
        <v/>
      </c>
      <c r="SF32" s="3">
        <f>ROUND(0.0,2)</f>
        <v/>
      </c>
      <c r="SG32" s="3">
        <f>ROUND(0.0,2)</f>
        <v/>
      </c>
      <c r="SH32" s="3">
        <f>ROUND(0.0,2)</f>
        <v/>
      </c>
      <c r="SI32" s="3">
        <f>ROUND(0.0,2)</f>
        <v/>
      </c>
      <c r="SJ32" s="4">
        <f>IFERROR((SD32/SC32),0)</f>
        <v/>
      </c>
      <c r="SK32" s="4">
        <f>IFERROR(((0+SB11+SB12+SB13+SB14+SB15+SB16+SB17+SB19+SB20+SB21+SB22+SB23+SB24+SB25+SB27+SB28+SB29+SB30+SB31+SB32)/T2),0)</f>
        <v/>
      </c>
      <c r="SL32" s="5">
        <f>IFERROR(ROUND(SB32/SD32,2),0)</f>
        <v/>
      </c>
      <c r="SM32" s="5">
        <f>IFERROR(ROUND(SB32/SE32,2),0)</f>
        <v/>
      </c>
      <c r="SN32" s="2" t="inlineStr">
        <is>
          <t>2023-10-09</t>
        </is>
      </c>
      <c r="SO32" s="5">
        <f>ROUND(0.61,2)</f>
        <v/>
      </c>
      <c r="SP32" s="3">
        <f>ROUND(2597.0,2)</f>
        <v/>
      </c>
      <c r="SQ32" s="3">
        <f>ROUND(61.0,2)</f>
        <v/>
      </c>
      <c r="SR32" s="3">
        <f>ROUND(0.0,2)</f>
        <v/>
      </c>
      <c r="SS32" s="3">
        <f>ROUND(0.0,2)</f>
        <v/>
      </c>
      <c r="ST32" s="3">
        <f>ROUND(0.0,2)</f>
        <v/>
      </c>
      <c r="SU32" s="3">
        <f>ROUND(0.0,2)</f>
        <v/>
      </c>
      <c r="SV32" s="3">
        <f>ROUND(0.0,2)</f>
        <v/>
      </c>
      <c r="SW32" s="4">
        <f>IFERROR((SQ32/SP32),0)</f>
        <v/>
      </c>
      <c r="SX32" s="4">
        <f>IFERROR(((0+SO11+SO12+SO13+SO14+SO15+SO16+SO17+SO19+SO20+SO21+SO22+SO23+SO24+SO25+SO27+SO28+SO29+SO30+SO31+SO32)/T2),0)</f>
        <v/>
      </c>
      <c r="SY32" s="5">
        <f>IFERROR(ROUND(SO32/SQ32,2),0)</f>
        <v/>
      </c>
      <c r="SZ32" s="5">
        <f>IFERROR(ROUND(SO32/SR32,2),0)</f>
        <v/>
      </c>
    </row>
    <row r="33">
      <c r="A33" s="2" t="inlineStr">
        <is>
          <t>2023-10-10</t>
        </is>
      </c>
      <c r="B33" s="5">
        <f>ROUND(40.97,2)</f>
        <v/>
      </c>
      <c r="C33" s="3">
        <f>ROUND(119409.0,2)</f>
        <v/>
      </c>
      <c r="D33" s="3">
        <f>ROUND(4097.0,2)</f>
        <v/>
      </c>
      <c r="E33" s="3">
        <f>ROUND(0.0,2)</f>
        <v/>
      </c>
      <c r="F33" s="3">
        <f>ROUND(0.0,2)</f>
        <v/>
      </c>
      <c r="G33" s="3">
        <f>ROUND(0.0,2)</f>
        <v/>
      </c>
      <c r="H33" s="3">
        <f>ROUND(0.0,2)</f>
        <v/>
      </c>
      <c r="I33" s="3">
        <f>ROUND(0.0,2)</f>
        <v/>
      </c>
      <c r="J33" s="4">
        <f>IFERROR((D33/C33),0)</f>
        <v/>
      </c>
      <c r="K33" s="4">
        <f>IFERROR(((0+B11+B12+B13+B14+B15+B16+B17+B19+B20+B21+B22+B23+B24+B25+B27+B28+B29+B30+B31+B32+B33)/T2),0)</f>
        <v/>
      </c>
      <c r="L33" s="5">
        <f>IFERROR(ROUND(B33/D33,2),0)</f>
        <v/>
      </c>
      <c r="M33" s="5">
        <f>IFERROR(ROUND(B33/E33,2),0)</f>
        <v/>
      </c>
      <c r="N33" s="2" t="inlineStr">
        <is>
          <t>2023-10-10</t>
        </is>
      </c>
      <c r="O33" s="5">
        <f>ROUND(1.72,2)</f>
        <v/>
      </c>
      <c r="P33" s="3">
        <f>ROUND(2568.0,2)</f>
        <v/>
      </c>
      <c r="Q33" s="3">
        <f>ROUND(172.0,2)</f>
        <v/>
      </c>
      <c r="R33" s="3">
        <f>ROUND(0.0,2)</f>
        <v/>
      </c>
      <c r="S33" s="3">
        <f>ROUND(0.0,2)</f>
        <v/>
      </c>
      <c r="T33" s="3">
        <f>ROUND(0.0,2)</f>
        <v/>
      </c>
      <c r="U33" s="3">
        <f>ROUND(0.0,2)</f>
        <v/>
      </c>
      <c r="V33" s="3">
        <f>ROUND(0.0,2)</f>
        <v/>
      </c>
      <c r="W33" s="4">
        <f>IFERROR((Q33/P33),0)</f>
        <v/>
      </c>
      <c r="X33" s="4">
        <f>IFERROR(((0+O11+O12+O13+O14+O15+O16+O17+O19+O20+O21+O22+O23+O24+O25+O27+O28+O29+O30+O31+O32+O33)/T2),0)</f>
        <v/>
      </c>
      <c r="Y33" s="5">
        <f>IFERROR(ROUND(O33/Q33,2),0)</f>
        <v/>
      </c>
      <c r="Z33" s="5">
        <f>IFERROR(ROUND(O33/R33,2),0)</f>
        <v/>
      </c>
      <c r="AA33" s="2" t="inlineStr">
        <is>
          <t>2023-10-10</t>
        </is>
      </c>
      <c r="AB33" s="5">
        <f>ROUND(0.48,2)</f>
        <v/>
      </c>
      <c r="AC33" s="3">
        <f>ROUND(1249.0,2)</f>
        <v/>
      </c>
      <c r="AD33" s="3">
        <f>ROUND(48.0,2)</f>
        <v/>
      </c>
      <c r="AE33" s="3">
        <f>ROUND(0.0,2)</f>
        <v/>
      </c>
      <c r="AF33" s="3">
        <f>ROUND(0.0,2)</f>
        <v/>
      </c>
      <c r="AG33" s="3">
        <f>ROUND(0.0,2)</f>
        <v/>
      </c>
      <c r="AH33" s="3">
        <f>ROUND(0.0,2)</f>
        <v/>
      </c>
      <c r="AI33" s="3">
        <f>ROUND(0.0,2)</f>
        <v/>
      </c>
      <c r="AJ33" s="4">
        <f>IFERROR((AD33/AC33),0)</f>
        <v/>
      </c>
      <c r="AK33" s="4">
        <f>IFERROR(((0+AB11+AB12+AB13+AB14+AB15+AB16+AB17+AB19+AB20+AB21+AB22+AB23+AB24+AB25+AB27+AB28+AB29+AB30+AB31+AB32+AB33)/T2),0)</f>
        <v/>
      </c>
      <c r="AL33" s="5">
        <f>IFERROR(ROUND(AB33/AD33,2),0)</f>
        <v/>
      </c>
      <c r="AM33" s="5">
        <f>IFERROR(ROUND(AB33/AE33,2),0)</f>
        <v/>
      </c>
      <c r="AN33" s="2" t="inlineStr">
        <is>
          <t>2023-10-10</t>
        </is>
      </c>
      <c r="AO33" s="5">
        <f>ROUND(2.3100000000000005,2)</f>
        <v/>
      </c>
      <c r="AP33" s="3">
        <f>ROUND(8172.0,2)</f>
        <v/>
      </c>
      <c r="AQ33" s="3">
        <f>ROUND(231.0,2)</f>
        <v/>
      </c>
      <c r="AR33" s="3">
        <f>ROUND(0.0,2)</f>
        <v/>
      </c>
      <c r="AS33" s="3">
        <f>ROUND(0.0,2)</f>
        <v/>
      </c>
      <c r="AT33" s="3">
        <f>ROUND(0.0,2)</f>
        <v/>
      </c>
      <c r="AU33" s="3">
        <f>ROUND(0.0,2)</f>
        <v/>
      </c>
      <c r="AV33" s="3">
        <f>ROUND(0.0,2)</f>
        <v/>
      </c>
      <c r="AW33" s="4">
        <f>IFERROR((AQ33/AP33),0)</f>
        <v/>
      </c>
      <c r="AX33" s="4">
        <f>IFERROR(((0+AO11+AO12+AO13+AO14+AO15+AO16+AO17+AO19+AO20+AO21+AO22+AO23+AO24+AO25+AO27+AO28+AO29+AO30+AO31+AO32+AO33)/T2),0)</f>
        <v/>
      </c>
      <c r="AY33" s="5">
        <f>IFERROR(ROUND(AO33/AQ33,2),0)</f>
        <v/>
      </c>
      <c r="AZ33" s="5">
        <f>IFERROR(ROUND(AO33/AR33,2),0)</f>
        <v/>
      </c>
      <c r="BA33" s="2" t="inlineStr">
        <is>
          <t>2023-10-10</t>
        </is>
      </c>
      <c r="BB33" s="5">
        <f>ROUND(0.6399999999999999,2)</f>
        <v/>
      </c>
      <c r="BC33" s="3">
        <f>ROUND(1325.0,2)</f>
        <v/>
      </c>
      <c r="BD33" s="3">
        <f>ROUND(64.0,2)</f>
        <v/>
      </c>
      <c r="BE33" s="3">
        <f>ROUND(0.0,2)</f>
        <v/>
      </c>
      <c r="BF33" s="3">
        <f>ROUND(0.0,2)</f>
        <v/>
      </c>
      <c r="BG33" s="3">
        <f>ROUND(0.0,2)</f>
        <v/>
      </c>
      <c r="BH33" s="3">
        <f>ROUND(0.0,2)</f>
        <v/>
      </c>
      <c r="BI33" s="3">
        <f>ROUND(0.0,2)</f>
        <v/>
      </c>
      <c r="BJ33" s="4">
        <f>IFERROR((BD33/BC33),0)</f>
        <v/>
      </c>
      <c r="BK33" s="4">
        <f>IFERROR(((0+BB11+BB12+BB13+BB14+BB15+BB16+BB17+BB19+BB20+BB21+BB22+BB23+BB24+BB25+BB27+BB28+BB29+BB30+BB31+BB32+BB33)/T2),0)</f>
        <v/>
      </c>
      <c r="BL33" s="5">
        <f>IFERROR(ROUND(BB33/BD33,2),0)</f>
        <v/>
      </c>
      <c r="BM33" s="5">
        <f>IFERROR(ROUND(BB33/BE33,2),0)</f>
        <v/>
      </c>
      <c r="BN33" s="2" t="inlineStr">
        <is>
          <t>2023-10-10</t>
        </is>
      </c>
      <c r="BO33" s="5">
        <f>ROUND(0.3,2)</f>
        <v/>
      </c>
      <c r="BP33" s="3">
        <f>ROUND(851.0,2)</f>
        <v/>
      </c>
      <c r="BQ33" s="3">
        <f>ROUND(30.0,2)</f>
        <v/>
      </c>
      <c r="BR33" s="3">
        <f>ROUND(0.0,2)</f>
        <v/>
      </c>
      <c r="BS33" s="3">
        <f>ROUND(0.0,2)</f>
        <v/>
      </c>
      <c r="BT33" s="3">
        <f>ROUND(0.0,2)</f>
        <v/>
      </c>
      <c r="BU33" s="3">
        <f>ROUND(0.0,2)</f>
        <v/>
      </c>
      <c r="BV33" s="3">
        <f>ROUND(0.0,2)</f>
        <v/>
      </c>
      <c r="BW33" s="4">
        <f>IFERROR((BQ33/BP33),0)</f>
        <v/>
      </c>
      <c r="BX33" s="4">
        <f>IFERROR(((0+BO11+BO12+BO13+BO14+BO15+BO16+BO17+BO19+BO20+BO21+BO22+BO23+BO24+BO25+BO27+BO28+BO29+BO30+BO31+BO32+BO33)/T2),0)</f>
        <v/>
      </c>
      <c r="BY33" s="5">
        <f>IFERROR(ROUND(BO33/BQ33,2),0)</f>
        <v/>
      </c>
      <c r="BZ33" s="5">
        <f>IFERROR(ROUND(BO33/BR33,2),0)</f>
        <v/>
      </c>
      <c r="CA33" s="2" t="inlineStr">
        <is>
          <t>2023-10-10</t>
        </is>
      </c>
      <c r="CB33" s="5">
        <f>ROUND(0.8,2)</f>
        <v/>
      </c>
      <c r="CC33" s="3">
        <f>ROUND(1678.0,2)</f>
        <v/>
      </c>
      <c r="CD33" s="3">
        <f>ROUND(80.0,2)</f>
        <v/>
      </c>
      <c r="CE33" s="3">
        <f>ROUND(0.0,2)</f>
        <v/>
      </c>
      <c r="CF33" s="3">
        <f>ROUND(0.0,2)</f>
        <v/>
      </c>
      <c r="CG33" s="3">
        <f>ROUND(0.0,2)</f>
        <v/>
      </c>
      <c r="CH33" s="3">
        <f>ROUND(0.0,2)</f>
        <v/>
      </c>
      <c r="CI33" s="3">
        <f>ROUND(0.0,2)</f>
        <v/>
      </c>
      <c r="CJ33" s="4">
        <f>IFERROR((CD33/CC33),0)</f>
        <v/>
      </c>
      <c r="CK33" s="4">
        <f>IFERROR(((0+CB11+CB12+CB13+CB14+CB15+CB16+CB17+CB19+CB20+CB21+CB22+CB23+CB24+CB25+CB27+CB28+CB29+CB30+CB31+CB32+CB33)/T2),0)</f>
        <v/>
      </c>
      <c r="CL33" s="5">
        <f>IFERROR(ROUND(CB33/CD33,2),0)</f>
        <v/>
      </c>
      <c r="CM33" s="5">
        <f>IFERROR(ROUND(CB33/CE33,2),0)</f>
        <v/>
      </c>
      <c r="CN33" s="2" t="inlineStr">
        <is>
          <t>2023-10-10</t>
        </is>
      </c>
      <c r="CO33" s="5">
        <f>ROUND(1.72,2)</f>
        <v/>
      </c>
      <c r="CP33" s="3">
        <f>ROUND(8183.0,2)</f>
        <v/>
      </c>
      <c r="CQ33" s="3">
        <f>ROUND(172.0,2)</f>
        <v/>
      </c>
      <c r="CR33" s="3">
        <f>ROUND(0.0,2)</f>
        <v/>
      </c>
      <c r="CS33" s="3">
        <f>ROUND(0.0,2)</f>
        <v/>
      </c>
      <c r="CT33" s="3">
        <f>ROUND(0.0,2)</f>
        <v/>
      </c>
      <c r="CU33" s="3">
        <f>ROUND(0.0,2)</f>
        <v/>
      </c>
      <c r="CV33" s="3">
        <f>ROUND(0.0,2)</f>
        <v/>
      </c>
      <c r="CW33" s="4">
        <f>IFERROR((CQ33/CP33),0)</f>
        <v/>
      </c>
      <c r="CX33" s="4">
        <f>IFERROR(((0+CO11+CO12+CO13+CO14+CO15+CO16+CO17+CO19+CO20+CO21+CO22+CO23+CO24+CO25+CO27+CO28+CO29+CO30+CO31+CO32+CO33)/T2),0)</f>
        <v/>
      </c>
      <c r="CY33" s="5">
        <f>IFERROR(ROUND(CO33/CQ33,2),0)</f>
        <v/>
      </c>
      <c r="CZ33" s="5">
        <f>IFERROR(ROUND(CO33/CR33,2),0)</f>
        <v/>
      </c>
      <c r="DA33" s="2" t="inlineStr">
        <is>
          <t>2023-10-10</t>
        </is>
      </c>
      <c r="DB33" s="5">
        <f>ROUND(1.65,2)</f>
        <v/>
      </c>
      <c r="DC33" s="3">
        <f>ROUND(2959.0,2)</f>
        <v/>
      </c>
      <c r="DD33" s="3">
        <f>ROUND(165.0,2)</f>
        <v/>
      </c>
      <c r="DE33" s="3">
        <f>ROUND(0.0,2)</f>
        <v/>
      </c>
      <c r="DF33" s="3">
        <f>ROUND(0.0,2)</f>
        <v/>
      </c>
      <c r="DG33" s="3">
        <f>ROUND(0.0,2)</f>
        <v/>
      </c>
      <c r="DH33" s="3">
        <f>ROUND(0.0,2)</f>
        <v/>
      </c>
      <c r="DI33" s="3">
        <f>ROUND(0.0,2)</f>
        <v/>
      </c>
      <c r="DJ33" s="4">
        <f>IFERROR((DD33/DC33),0)</f>
        <v/>
      </c>
      <c r="DK33" s="4">
        <f>IFERROR(((0+DB11+DB12+DB13+DB14+DB15+DB16+DB17+DB19+DB20+DB21+DB22+DB23+DB24+DB25+DB27+DB28+DB29+DB30+DB31+DB32+DB33)/T2),0)</f>
        <v/>
      </c>
      <c r="DL33" s="5">
        <f>IFERROR(ROUND(DB33/DD33,2),0)</f>
        <v/>
      </c>
      <c r="DM33" s="5">
        <f>IFERROR(ROUND(DB33/DE33,2),0)</f>
        <v/>
      </c>
      <c r="DN33" s="2" t="inlineStr">
        <is>
          <t>2023-10-10</t>
        </is>
      </c>
      <c r="DO33" s="5">
        <f>ROUND(0.31,2)</f>
        <v/>
      </c>
      <c r="DP33" s="3">
        <f>ROUND(842.0,2)</f>
        <v/>
      </c>
      <c r="DQ33" s="3">
        <f>ROUND(31.0,2)</f>
        <v/>
      </c>
      <c r="DR33" s="3">
        <f>ROUND(0.0,2)</f>
        <v/>
      </c>
      <c r="DS33" s="3">
        <f>ROUND(0.0,2)</f>
        <v/>
      </c>
      <c r="DT33" s="3">
        <f>ROUND(0.0,2)</f>
        <v/>
      </c>
      <c r="DU33" s="3">
        <f>ROUND(0.0,2)</f>
        <v/>
      </c>
      <c r="DV33" s="3">
        <f>ROUND(0.0,2)</f>
        <v/>
      </c>
      <c r="DW33" s="4">
        <f>IFERROR((DQ33/DP33),0)</f>
        <v/>
      </c>
      <c r="DX33" s="4">
        <f>IFERROR(((0+DO11+DO12+DO13+DO14+DO15+DO16+DO17+DO19+DO20+DO21+DO22+DO23+DO24+DO25+DO27+DO28+DO29+DO30+DO31+DO32+DO33)/T2),0)</f>
        <v/>
      </c>
      <c r="DY33" s="5">
        <f>IFERROR(ROUND(DO33/DQ33,2),0)</f>
        <v/>
      </c>
      <c r="DZ33" s="5">
        <f>IFERROR(ROUND(DO33/DR33,2),0)</f>
        <v/>
      </c>
      <c r="EA33" s="2" t="inlineStr">
        <is>
          <t>2023-10-10</t>
        </is>
      </c>
      <c r="EB33" s="5">
        <f>ROUND(1.89,2)</f>
        <v/>
      </c>
      <c r="EC33" s="3">
        <f>ROUND(10127.0,2)</f>
        <v/>
      </c>
      <c r="ED33" s="3">
        <f>ROUND(189.0,2)</f>
        <v/>
      </c>
      <c r="EE33" s="3">
        <f>ROUND(0.0,2)</f>
        <v/>
      </c>
      <c r="EF33" s="3">
        <f>ROUND(0.0,2)</f>
        <v/>
      </c>
      <c r="EG33" s="3">
        <f>ROUND(0.0,2)</f>
        <v/>
      </c>
      <c r="EH33" s="3">
        <f>ROUND(0.0,2)</f>
        <v/>
      </c>
      <c r="EI33" s="3">
        <f>ROUND(0.0,2)</f>
        <v/>
      </c>
      <c r="EJ33" s="4">
        <f>IFERROR((ED33/EC33),0)</f>
        <v/>
      </c>
      <c r="EK33" s="4">
        <f>IFERROR(((0+EB11+EB12+EB13+EB14+EB15+EB16+EB17+EB19+EB20+EB21+EB22+EB23+EB24+EB25+EB27+EB28+EB29+EB30+EB31+EB32+EB33)/T2),0)</f>
        <v/>
      </c>
      <c r="EL33" s="5">
        <f>IFERROR(ROUND(EB33/ED33,2),0)</f>
        <v/>
      </c>
      <c r="EM33" s="5">
        <f>IFERROR(ROUND(EB33/EE33,2),0)</f>
        <v/>
      </c>
      <c r="EN33" s="2" t="inlineStr">
        <is>
          <t>2023-10-10</t>
        </is>
      </c>
      <c r="EO33" s="5">
        <f>ROUND(0.25,2)</f>
        <v/>
      </c>
      <c r="EP33" s="3">
        <f>ROUND(1099.0,2)</f>
        <v/>
      </c>
      <c r="EQ33" s="3">
        <f>ROUND(25.0,2)</f>
        <v/>
      </c>
      <c r="ER33" s="3">
        <f>ROUND(0.0,2)</f>
        <v/>
      </c>
      <c r="ES33" s="3">
        <f>ROUND(0.0,2)</f>
        <v/>
      </c>
      <c r="ET33" s="3">
        <f>ROUND(0.0,2)</f>
        <v/>
      </c>
      <c r="EU33" s="3">
        <f>ROUND(0.0,2)</f>
        <v/>
      </c>
      <c r="EV33" s="3">
        <f>ROUND(0.0,2)</f>
        <v/>
      </c>
      <c r="EW33" s="4">
        <f>IFERROR((EQ33/EP33),0)</f>
        <v/>
      </c>
      <c r="EX33" s="4">
        <f>IFERROR(((0+EO11+EO12+EO13+EO14+EO15+EO16+EO17+EO19+EO20+EO21+EO22+EO23+EO24+EO25+EO27+EO28+EO29+EO30+EO31+EO32+EO33)/T2),0)</f>
        <v/>
      </c>
      <c r="EY33" s="5">
        <f>IFERROR(ROUND(EO33/EQ33,2),0)</f>
        <v/>
      </c>
      <c r="EZ33" s="5">
        <f>IFERROR(ROUND(EO33/ER33,2),0)</f>
        <v/>
      </c>
      <c r="FA33" s="2" t="inlineStr">
        <is>
          <t>2023-10-10</t>
        </is>
      </c>
      <c r="FB33" s="5">
        <f>ROUND(1.1300000000000001,2)</f>
        <v/>
      </c>
      <c r="FC33" s="3">
        <f>ROUND(5966.0,2)</f>
        <v/>
      </c>
      <c r="FD33" s="3">
        <f>ROUND(113.0,2)</f>
        <v/>
      </c>
      <c r="FE33" s="3">
        <f>ROUND(0.0,2)</f>
        <v/>
      </c>
      <c r="FF33" s="3">
        <f>ROUND(0.0,2)</f>
        <v/>
      </c>
      <c r="FG33" s="3">
        <f>ROUND(0.0,2)</f>
        <v/>
      </c>
      <c r="FH33" s="3">
        <f>ROUND(0.0,2)</f>
        <v/>
      </c>
      <c r="FI33" s="3">
        <f>ROUND(0.0,2)</f>
        <v/>
      </c>
      <c r="FJ33" s="4">
        <f>IFERROR((FD33/FC33),0)</f>
        <v/>
      </c>
      <c r="FK33" s="4">
        <f>IFERROR(((0+FB11+FB12+FB13+FB14+FB15+FB16+FB17+FB19+FB20+FB21+FB22+FB23+FB24+FB25+FB27+FB28+FB29+FB30+FB31+FB32+FB33)/T2),0)</f>
        <v/>
      </c>
      <c r="FL33" s="5">
        <f>IFERROR(ROUND(FB33/FD33,2),0)</f>
        <v/>
      </c>
      <c r="FM33" s="5">
        <f>IFERROR(ROUND(FB33/FE33,2),0)</f>
        <v/>
      </c>
      <c r="FN33" s="2" t="inlineStr">
        <is>
          <t>2023-10-10</t>
        </is>
      </c>
      <c r="FO33" s="5">
        <f>ROUND(3.4400000000000004,2)</f>
        <v/>
      </c>
      <c r="FP33" s="3">
        <f>ROUND(10800.0,2)</f>
        <v/>
      </c>
      <c r="FQ33" s="3">
        <f>ROUND(344.0,2)</f>
        <v/>
      </c>
      <c r="FR33" s="3">
        <f>ROUND(0.0,2)</f>
        <v/>
      </c>
      <c r="FS33" s="3">
        <f>ROUND(0.0,2)</f>
        <v/>
      </c>
      <c r="FT33" s="3">
        <f>ROUND(0.0,2)</f>
        <v/>
      </c>
      <c r="FU33" s="3">
        <f>ROUND(0.0,2)</f>
        <v/>
      </c>
      <c r="FV33" s="3">
        <f>ROUND(0.0,2)</f>
        <v/>
      </c>
      <c r="FW33" s="4">
        <f>IFERROR((FQ33/FP33),0)</f>
        <v/>
      </c>
      <c r="FX33" s="4">
        <f>IFERROR(((0+FO11+FO12+FO13+FO14+FO15+FO16+FO17+FO19+FO20+FO21+FO22+FO23+FO24+FO25+FO27+FO28+FO29+FO30+FO31+FO32+FO33)/T2),0)</f>
        <v/>
      </c>
      <c r="FY33" s="5">
        <f>IFERROR(ROUND(FO33/FQ33,2),0)</f>
        <v/>
      </c>
      <c r="FZ33" s="5">
        <f>IFERROR(ROUND(FO33/FR33,2),0)</f>
        <v/>
      </c>
      <c r="GA33" s="2" t="inlineStr">
        <is>
          <t>2023-10-10</t>
        </is>
      </c>
      <c r="GB33" s="5">
        <f>ROUND(0.45999999999999996,2)</f>
        <v/>
      </c>
      <c r="GC33" s="3">
        <f>ROUND(1024.0,2)</f>
        <v/>
      </c>
      <c r="GD33" s="3">
        <f>ROUND(46.0,2)</f>
        <v/>
      </c>
      <c r="GE33" s="3">
        <f>ROUND(0.0,2)</f>
        <v/>
      </c>
      <c r="GF33" s="3">
        <f>ROUND(0.0,2)</f>
        <v/>
      </c>
      <c r="GG33" s="3">
        <f>ROUND(0.0,2)</f>
        <v/>
      </c>
      <c r="GH33" s="3">
        <f>ROUND(0.0,2)</f>
        <v/>
      </c>
      <c r="GI33" s="3">
        <f>ROUND(0.0,2)</f>
        <v/>
      </c>
      <c r="GJ33" s="4">
        <f>IFERROR((GD33/GC33),0)</f>
        <v/>
      </c>
      <c r="GK33" s="4">
        <f>IFERROR(((0+GB11+GB12+GB13+GB14+GB15+GB16+GB17+GB19+GB20+GB21+GB22+GB23+GB24+GB25+GB27+GB28+GB29+GB30+GB31+GB32+GB33)/T2),0)</f>
        <v/>
      </c>
      <c r="GL33" s="5">
        <f>IFERROR(ROUND(GB33/GD33,2),0)</f>
        <v/>
      </c>
      <c r="GM33" s="5">
        <f>IFERROR(ROUND(GB33/GE33,2),0)</f>
        <v/>
      </c>
      <c r="GN33" s="2" t="inlineStr">
        <is>
          <t>2023-10-10</t>
        </is>
      </c>
      <c r="GO33" s="5">
        <f>ROUND(1.77,2)</f>
        <v/>
      </c>
      <c r="GP33" s="3">
        <f>ROUND(7473.0,2)</f>
        <v/>
      </c>
      <c r="GQ33" s="3">
        <f>ROUND(177.0,2)</f>
        <v/>
      </c>
      <c r="GR33" s="3">
        <f>ROUND(0.0,2)</f>
        <v/>
      </c>
      <c r="GS33" s="3">
        <f>ROUND(0.0,2)</f>
        <v/>
      </c>
      <c r="GT33" s="3">
        <f>ROUND(0.0,2)</f>
        <v/>
      </c>
      <c r="GU33" s="3">
        <f>ROUND(0.0,2)</f>
        <v/>
      </c>
      <c r="GV33" s="3">
        <f>ROUND(0.0,2)</f>
        <v/>
      </c>
      <c r="GW33" s="4">
        <f>IFERROR((GQ33/GP33),0)</f>
        <v/>
      </c>
      <c r="GX33" s="4">
        <f>IFERROR(((0+GO11+GO12+GO13+GO14+GO15+GO16+GO17+GO19+GO20+GO21+GO22+GO23+GO24+GO25+GO27+GO28+GO29+GO30+GO31+GO32+GO33)/T2),0)</f>
        <v/>
      </c>
      <c r="GY33" s="5">
        <f>IFERROR(ROUND(GO33/GQ33,2),0)</f>
        <v/>
      </c>
      <c r="GZ33" s="5">
        <f>IFERROR(ROUND(GO33/GR33,2),0)</f>
        <v/>
      </c>
      <c r="HA33" s="2" t="inlineStr">
        <is>
          <t>2023-10-10</t>
        </is>
      </c>
      <c r="HB33" s="5">
        <f>ROUND(4.21,2)</f>
        <v/>
      </c>
      <c r="HC33" s="3">
        <f>ROUND(5680.0,2)</f>
        <v/>
      </c>
      <c r="HD33" s="3">
        <f>ROUND(421.0,2)</f>
        <v/>
      </c>
      <c r="HE33" s="3">
        <f>ROUND(0.0,2)</f>
        <v/>
      </c>
      <c r="HF33" s="3">
        <f>ROUND(0.0,2)</f>
        <v/>
      </c>
      <c r="HG33" s="3">
        <f>ROUND(0.0,2)</f>
        <v/>
      </c>
      <c r="HH33" s="3">
        <f>ROUND(0.0,2)</f>
        <v/>
      </c>
      <c r="HI33" s="3">
        <f>ROUND(0.0,2)</f>
        <v/>
      </c>
      <c r="HJ33" s="4">
        <f>IFERROR((HD33/HC33),0)</f>
        <v/>
      </c>
      <c r="HK33" s="4">
        <f>IFERROR(((0+HB11+HB12+HB13+HB14+HB15+HB16+HB17+HB19+HB20+HB21+HB22+HB23+HB24+HB25+HB27+HB28+HB29+HB30+HB31+HB32+HB33)/T2),0)</f>
        <v/>
      </c>
      <c r="HL33" s="5">
        <f>IFERROR(ROUND(HB33/HD33,2),0)</f>
        <v/>
      </c>
      <c r="HM33" s="5">
        <f>IFERROR(ROUND(HB33/HE33,2),0)</f>
        <v/>
      </c>
      <c r="HN33" s="2" t="inlineStr">
        <is>
          <t>2023-10-10</t>
        </is>
      </c>
      <c r="HO33" s="5">
        <f>ROUND(0.37,2)</f>
        <v/>
      </c>
      <c r="HP33" s="3">
        <f>ROUND(823.0,2)</f>
        <v/>
      </c>
      <c r="HQ33" s="3">
        <f>ROUND(37.0,2)</f>
        <v/>
      </c>
      <c r="HR33" s="3">
        <f>ROUND(0.0,2)</f>
        <v/>
      </c>
      <c r="HS33" s="3">
        <f>ROUND(0.0,2)</f>
        <v/>
      </c>
      <c r="HT33" s="3">
        <f>ROUND(0.0,2)</f>
        <v/>
      </c>
      <c r="HU33" s="3">
        <f>ROUND(0.0,2)</f>
        <v/>
      </c>
      <c r="HV33" s="3">
        <f>ROUND(0.0,2)</f>
        <v/>
      </c>
      <c r="HW33" s="4">
        <f>IFERROR((HQ33/HP33),0)</f>
        <v/>
      </c>
      <c r="HX33" s="4">
        <f>IFERROR(((0+HO11+HO12+HO13+HO14+HO15+HO16+HO17+HO19+HO20+HO21+HO22+HO23+HO24+HO25+HO27+HO28+HO29+HO30+HO31+HO32+HO33)/T2),0)</f>
        <v/>
      </c>
      <c r="HY33" s="5">
        <f>IFERROR(ROUND(HO33/HQ33,2),0)</f>
        <v/>
      </c>
      <c r="HZ33" s="5">
        <f>IFERROR(ROUND(HO33/HR33,2),0)</f>
        <v/>
      </c>
      <c r="IA33" s="2" t="inlineStr">
        <is>
          <t>2023-10-10</t>
        </is>
      </c>
      <c r="IB33" s="5">
        <f>ROUND(0.4,2)</f>
        <v/>
      </c>
      <c r="IC33" s="3">
        <f>ROUND(863.0,2)</f>
        <v/>
      </c>
      <c r="ID33" s="3">
        <f>ROUND(40.0,2)</f>
        <v/>
      </c>
      <c r="IE33" s="3">
        <f>ROUND(0.0,2)</f>
        <v/>
      </c>
      <c r="IF33" s="3">
        <f>ROUND(0.0,2)</f>
        <v/>
      </c>
      <c r="IG33" s="3">
        <f>ROUND(0.0,2)</f>
        <v/>
      </c>
      <c r="IH33" s="3">
        <f>ROUND(0.0,2)</f>
        <v/>
      </c>
      <c r="II33" s="3">
        <f>ROUND(0.0,2)</f>
        <v/>
      </c>
      <c r="IJ33" s="4">
        <f>IFERROR((ID33/IC33),0)</f>
        <v/>
      </c>
      <c r="IK33" s="4">
        <f>IFERROR(((0+IB11+IB12+IB13+IB14+IB15+IB16+IB17+IB19+IB20+IB21+IB22+IB23+IB24+IB25+IB27+IB28+IB29+IB30+IB31+IB32+IB33)/T2),0)</f>
        <v/>
      </c>
      <c r="IL33" s="5">
        <f>IFERROR(ROUND(IB33/ID33,2),0)</f>
        <v/>
      </c>
      <c r="IM33" s="5">
        <f>IFERROR(ROUND(IB33/IE33,2),0)</f>
        <v/>
      </c>
      <c r="IN33" s="2" t="inlineStr">
        <is>
          <t>2023-10-10</t>
        </is>
      </c>
      <c r="IO33" s="5">
        <f>ROUND(0.71,2)</f>
        <v/>
      </c>
      <c r="IP33" s="3">
        <f>ROUND(2274.0,2)</f>
        <v/>
      </c>
      <c r="IQ33" s="3">
        <f>ROUND(71.0,2)</f>
        <v/>
      </c>
      <c r="IR33" s="3">
        <f>ROUND(0.0,2)</f>
        <v/>
      </c>
      <c r="IS33" s="3">
        <f>ROUND(0.0,2)</f>
        <v/>
      </c>
      <c r="IT33" s="3">
        <f>ROUND(0.0,2)</f>
        <v/>
      </c>
      <c r="IU33" s="3">
        <f>ROUND(0.0,2)</f>
        <v/>
      </c>
      <c r="IV33" s="3">
        <f>ROUND(0.0,2)</f>
        <v/>
      </c>
      <c r="IW33" s="4">
        <f>IFERROR((IQ33/IP33),0)</f>
        <v/>
      </c>
      <c r="IX33" s="4">
        <f>IFERROR(((0+IO11+IO12+IO13+IO14+IO15+IO16+IO17+IO19+IO20+IO21+IO22+IO23+IO24+IO25+IO27+IO28+IO29+IO30+IO31+IO32+IO33)/T2),0)</f>
        <v/>
      </c>
      <c r="IY33" s="5">
        <f>IFERROR(ROUND(IO33/IQ33,2),0)</f>
        <v/>
      </c>
      <c r="IZ33" s="5">
        <f>IFERROR(ROUND(IO33/IR33,2),0)</f>
        <v/>
      </c>
      <c r="JA33" s="2" t="inlineStr">
        <is>
          <t>2023-10-10</t>
        </is>
      </c>
      <c r="JB33" s="5">
        <f>ROUND(0.78,2)</f>
        <v/>
      </c>
      <c r="JC33" s="3">
        <f>ROUND(1403.0,2)</f>
        <v/>
      </c>
      <c r="JD33" s="3">
        <f>ROUND(78.0,2)</f>
        <v/>
      </c>
      <c r="JE33" s="3">
        <f>ROUND(0.0,2)</f>
        <v/>
      </c>
      <c r="JF33" s="3">
        <f>ROUND(0.0,2)</f>
        <v/>
      </c>
      <c r="JG33" s="3">
        <f>ROUND(0.0,2)</f>
        <v/>
      </c>
      <c r="JH33" s="3">
        <f>ROUND(0.0,2)</f>
        <v/>
      </c>
      <c r="JI33" s="3">
        <f>ROUND(0.0,2)</f>
        <v/>
      </c>
      <c r="JJ33" s="4">
        <f>IFERROR((JD33/JC33),0)</f>
        <v/>
      </c>
      <c r="JK33" s="4">
        <f>IFERROR(((0+JB11+JB12+JB13+JB14+JB15+JB16+JB17+JB19+JB20+JB21+JB22+JB23+JB24+JB25+JB27+JB28+JB29+JB30+JB31+JB32+JB33)/T2),0)</f>
        <v/>
      </c>
      <c r="JL33" s="5">
        <f>IFERROR(ROUND(JB33/JD33,2),0)</f>
        <v/>
      </c>
      <c r="JM33" s="5">
        <f>IFERROR(ROUND(JB33/JE33,2),0)</f>
        <v/>
      </c>
      <c r="JN33" s="2" t="inlineStr">
        <is>
          <t>2023-10-10</t>
        </is>
      </c>
      <c r="JO33" s="5">
        <f>ROUND(0.45999999999999996,2)</f>
        <v/>
      </c>
      <c r="JP33" s="3">
        <f>ROUND(995.0,2)</f>
        <v/>
      </c>
      <c r="JQ33" s="3">
        <f>ROUND(46.0,2)</f>
        <v/>
      </c>
      <c r="JR33" s="3">
        <f>ROUND(0.0,2)</f>
        <v/>
      </c>
      <c r="JS33" s="3">
        <f>ROUND(0.0,2)</f>
        <v/>
      </c>
      <c r="JT33" s="3">
        <f>ROUND(0.0,2)</f>
        <v/>
      </c>
      <c r="JU33" s="3">
        <f>ROUND(0.0,2)</f>
        <v/>
      </c>
      <c r="JV33" s="3">
        <f>ROUND(0.0,2)</f>
        <v/>
      </c>
      <c r="JW33" s="4">
        <f>IFERROR((JQ33/JP33),0)</f>
        <v/>
      </c>
      <c r="JX33" s="4">
        <f>IFERROR(((0+JO11+JO12+JO13+JO14+JO15+JO16+JO17+JO19+JO20+JO21+JO22+JO23+JO24+JO25+JO27+JO28+JO29+JO30+JO31+JO32+JO33)/T2),0)</f>
        <v/>
      </c>
      <c r="JY33" s="5">
        <f>IFERROR(ROUND(JO33/JQ33,2),0)</f>
        <v/>
      </c>
      <c r="JZ33" s="5">
        <f>IFERROR(ROUND(JO33/JR33,2),0)</f>
        <v/>
      </c>
      <c r="KA33" s="2" t="inlineStr">
        <is>
          <t>2023-10-10</t>
        </is>
      </c>
      <c r="KB33" s="5">
        <f>ROUND(2.1199999999999997,2)</f>
        <v/>
      </c>
      <c r="KC33" s="3">
        <f>ROUND(3383.0,2)</f>
        <v/>
      </c>
      <c r="KD33" s="3">
        <f>ROUND(212.0,2)</f>
        <v/>
      </c>
      <c r="KE33" s="3">
        <f>ROUND(0.0,2)</f>
        <v/>
      </c>
      <c r="KF33" s="3">
        <f>ROUND(0.0,2)</f>
        <v/>
      </c>
      <c r="KG33" s="3">
        <f>ROUND(0.0,2)</f>
        <v/>
      </c>
      <c r="KH33" s="3">
        <f>ROUND(0.0,2)</f>
        <v/>
      </c>
      <c r="KI33" s="3">
        <f>ROUND(0.0,2)</f>
        <v/>
      </c>
      <c r="KJ33" s="4">
        <f>IFERROR((KD33/KC33),0)</f>
        <v/>
      </c>
      <c r="KK33" s="4">
        <f>IFERROR(((0+KB11+KB12+KB13+KB14+KB15+KB16+KB17+KB19+KB20+KB21+KB22+KB23+KB24+KB25+KB27+KB28+KB29+KB30+KB31+KB32+KB33)/T2),0)</f>
        <v/>
      </c>
      <c r="KL33" s="5">
        <f>IFERROR(ROUND(KB33/KD33,2),0)</f>
        <v/>
      </c>
      <c r="KM33" s="5">
        <f>IFERROR(ROUND(KB33/KE33,2),0)</f>
        <v/>
      </c>
      <c r="KN33" s="2" t="inlineStr">
        <is>
          <t>2023-10-10</t>
        </is>
      </c>
      <c r="KO33" s="5">
        <f>ROUND(0.89,2)</f>
        <v/>
      </c>
      <c r="KP33" s="3">
        <f>ROUND(4961.0,2)</f>
        <v/>
      </c>
      <c r="KQ33" s="3">
        <f>ROUND(89.0,2)</f>
        <v/>
      </c>
      <c r="KR33" s="3">
        <f>ROUND(0.0,2)</f>
        <v/>
      </c>
      <c r="KS33" s="3">
        <f>ROUND(0.0,2)</f>
        <v/>
      </c>
      <c r="KT33" s="3">
        <f>ROUND(0.0,2)</f>
        <v/>
      </c>
      <c r="KU33" s="3">
        <f>ROUND(0.0,2)</f>
        <v/>
      </c>
      <c r="KV33" s="3">
        <f>ROUND(0.0,2)</f>
        <v/>
      </c>
      <c r="KW33" s="4">
        <f>IFERROR((KQ33/KP33),0)</f>
        <v/>
      </c>
      <c r="KX33" s="4">
        <f>IFERROR(((0+KO11+KO12+KO13+KO14+KO15+KO16+KO17+KO19+KO20+KO21+KO22+KO23+KO24+KO25+KO27+KO28+KO29+KO30+KO31+KO32+KO33)/T2),0)</f>
        <v/>
      </c>
      <c r="KY33" s="5">
        <f>IFERROR(ROUND(KO33/KQ33,2),0)</f>
        <v/>
      </c>
      <c r="KZ33" s="5">
        <f>IFERROR(ROUND(KO33/KR33,2),0)</f>
        <v/>
      </c>
      <c r="LA33" s="2" t="inlineStr">
        <is>
          <t>2023-10-10</t>
        </is>
      </c>
      <c r="LB33" s="5">
        <f>ROUND(1.1199999999999999,2)</f>
        <v/>
      </c>
      <c r="LC33" s="3">
        <f>ROUND(4764.0,2)</f>
        <v/>
      </c>
      <c r="LD33" s="3">
        <f>ROUND(112.0,2)</f>
        <v/>
      </c>
      <c r="LE33" s="3">
        <f>ROUND(0.0,2)</f>
        <v/>
      </c>
      <c r="LF33" s="3">
        <f>ROUND(0.0,2)</f>
        <v/>
      </c>
      <c r="LG33" s="3">
        <f>ROUND(0.0,2)</f>
        <v/>
      </c>
      <c r="LH33" s="3">
        <f>ROUND(0.0,2)</f>
        <v/>
      </c>
      <c r="LI33" s="3">
        <f>ROUND(0.0,2)</f>
        <v/>
      </c>
      <c r="LJ33" s="4">
        <f>IFERROR((LD33/LC33),0)</f>
        <v/>
      </c>
      <c r="LK33" s="4">
        <f>IFERROR(((0+LB11+LB12+LB13+LB14+LB15+LB16+LB17+LB19+LB20+LB21+LB22+LB23+LB24+LB25+LB27+LB28+LB29+LB30+LB31+LB32+LB33)/T2),0)</f>
        <v/>
      </c>
      <c r="LL33" s="5">
        <f>IFERROR(ROUND(LB33/LD33,2),0)</f>
        <v/>
      </c>
      <c r="LM33" s="5">
        <f>IFERROR(ROUND(LB33/LE33,2),0)</f>
        <v/>
      </c>
      <c r="LN33" s="2" t="inlineStr">
        <is>
          <t>2023-10-10</t>
        </is>
      </c>
      <c r="LO33" s="5">
        <f>ROUND(0.54,2)</f>
        <v/>
      </c>
      <c r="LP33" s="3">
        <f>ROUND(2784.0,2)</f>
        <v/>
      </c>
      <c r="LQ33" s="3">
        <f>ROUND(54.0,2)</f>
        <v/>
      </c>
      <c r="LR33" s="3">
        <f>ROUND(0.0,2)</f>
        <v/>
      </c>
      <c r="LS33" s="3">
        <f>ROUND(0.0,2)</f>
        <v/>
      </c>
      <c r="LT33" s="3">
        <f>ROUND(0.0,2)</f>
        <v/>
      </c>
      <c r="LU33" s="3">
        <f>ROUND(0.0,2)</f>
        <v/>
      </c>
      <c r="LV33" s="3">
        <f>ROUND(0.0,2)</f>
        <v/>
      </c>
      <c r="LW33" s="4">
        <f>IFERROR((LQ33/LP33),0)</f>
        <v/>
      </c>
      <c r="LX33" s="4">
        <f>IFERROR(((0+LO11+LO12+LO13+LO14+LO15+LO16+LO17+LO19+LO20+LO21+LO22+LO23+LO24+LO25+LO27+LO28+LO29+LO30+LO31+LO32+LO33)/T2),0)</f>
        <v/>
      </c>
      <c r="LY33" s="5">
        <f>IFERROR(ROUND(LO33/LQ33,2),0)</f>
        <v/>
      </c>
      <c r="LZ33" s="5">
        <f>IFERROR(ROUND(LO33/LR33,2),0)</f>
        <v/>
      </c>
      <c r="MA33" s="2" t="inlineStr">
        <is>
          <t>2023-10-10</t>
        </is>
      </c>
      <c r="MB33" s="5">
        <f>ROUND(0.82,2)</f>
        <v/>
      </c>
      <c r="MC33" s="3">
        <f>ROUND(3940.0,2)</f>
        <v/>
      </c>
      <c r="MD33" s="3">
        <f>ROUND(82.0,2)</f>
        <v/>
      </c>
      <c r="ME33" s="3">
        <f>ROUND(0.0,2)</f>
        <v/>
      </c>
      <c r="MF33" s="3">
        <f>ROUND(0.0,2)</f>
        <v/>
      </c>
      <c r="MG33" s="3">
        <f>ROUND(0.0,2)</f>
        <v/>
      </c>
      <c r="MH33" s="3">
        <f>ROUND(0.0,2)</f>
        <v/>
      </c>
      <c r="MI33" s="3">
        <f>ROUND(0.0,2)</f>
        <v/>
      </c>
      <c r="MJ33" s="4">
        <f>IFERROR((MD33/MC33),0)</f>
        <v/>
      </c>
      <c r="MK33" s="4">
        <f>IFERROR(((0+MB11+MB12+MB13+MB14+MB15+MB16+MB17+MB19+MB20+MB21+MB22+MB23+MB24+MB25+MB27+MB28+MB29+MB30+MB31+MB32+MB33)/T2),0)</f>
        <v/>
      </c>
      <c r="ML33" s="5">
        <f>IFERROR(ROUND(MB33/MD33,2),0)</f>
        <v/>
      </c>
      <c r="MM33" s="5">
        <f>IFERROR(ROUND(MB33/ME33,2),0)</f>
        <v/>
      </c>
      <c r="MN33" s="2" t="inlineStr">
        <is>
          <t>2023-10-10</t>
        </is>
      </c>
      <c r="MO33" s="5">
        <f>ROUND(2.28,2)</f>
        <v/>
      </c>
      <c r="MP33" s="3">
        <f>ROUND(3869.0,2)</f>
        <v/>
      </c>
      <c r="MQ33" s="3">
        <f>ROUND(228.0,2)</f>
        <v/>
      </c>
      <c r="MR33" s="3">
        <f>ROUND(0.0,2)</f>
        <v/>
      </c>
      <c r="MS33" s="3">
        <f>ROUND(0.0,2)</f>
        <v/>
      </c>
      <c r="MT33" s="3">
        <f>ROUND(0.0,2)</f>
        <v/>
      </c>
      <c r="MU33" s="3">
        <f>ROUND(0.0,2)</f>
        <v/>
      </c>
      <c r="MV33" s="3">
        <f>ROUND(0.0,2)</f>
        <v/>
      </c>
      <c r="MW33" s="4">
        <f>IFERROR((MQ33/MP33),0)</f>
        <v/>
      </c>
      <c r="MX33" s="4">
        <f>IFERROR(((0+MO11+MO12+MO13+MO14+MO15+MO16+MO17+MO19+MO20+MO21+MO22+MO23+MO24+MO25+MO27+MO28+MO29+MO30+MO31+MO32+MO33)/T2),0)</f>
        <v/>
      </c>
      <c r="MY33" s="5">
        <f>IFERROR(ROUND(MO33/MQ33,2),0)</f>
        <v/>
      </c>
      <c r="MZ33" s="5">
        <f>IFERROR(ROUND(MO33/MR33,2),0)</f>
        <v/>
      </c>
      <c r="NA33" s="2" t="inlineStr">
        <is>
          <t>2023-10-10</t>
        </is>
      </c>
      <c r="NB33" s="5">
        <f>ROUND(1.21,2)</f>
        <v/>
      </c>
      <c r="NC33" s="3">
        <f>ROUND(4426.0,2)</f>
        <v/>
      </c>
      <c r="ND33" s="3">
        <f>ROUND(121.0,2)</f>
        <v/>
      </c>
      <c r="NE33" s="3">
        <f>ROUND(0.0,2)</f>
        <v/>
      </c>
      <c r="NF33" s="3">
        <f>ROUND(0.0,2)</f>
        <v/>
      </c>
      <c r="NG33" s="3">
        <f>ROUND(0.0,2)</f>
        <v/>
      </c>
      <c r="NH33" s="3">
        <f>ROUND(0.0,2)</f>
        <v/>
      </c>
      <c r="NI33" s="3">
        <f>ROUND(0.0,2)</f>
        <v/>
      </c>
      <c r="NJ33" s="4">
        <f>IFERROR((ND33/NC33),0)</f>
        <v/>
      </c>
      <c r="NK33" s="4">
        <f>IFERROR(((0+NB11+NB12+NB13+NB14+NB15+NB16+NB17+NB19+NB20+NB21+NB22+NB23+NB24+NB25+NB27+NB28+NB29+NB30+NB31+NB32+NB33)/T2),0)</f>
        <v/>
      </c>
      <c r="NL33" s="5">
        <f>IFERROR(ROUND(NB33/ND33,2),0)</f>
        <v/>
      </c>
      <c r="NM33" s="5">
        <f>IFERROR(ROUND(NB33/NE33,2),0)</f>
        <v/>
      </c>
      <c r="NN33" s="2" t="inlineStr">
        <is>
          <t>2023-10-10</t>
        </is>
      </c>
      <c r="NO33" s="5">
        <f>ROUND(0.29,2)</f>
        <v/>
      </c>
      <c r="NP33" s="3">
        <f>ROUND(841.0,2)</f>
        <v/>
      </c>
      <c r="NQ33" s="3">
        <f>ROUND(29.0,2)</f>
        <v/>
      </c>
      <c r="NR33" s="3">
        <f>ROUND(0.0,2)</f>
        <v/>
      </c>
      <c r="NS33" s="3">
        <f>ROUND(0.0,2)</f>
        <v/>
      </c>
      <c r="NT33" s="3">
        <f>ROUND(0.0,2)</f>
        <v/>
      </c>
      <c r="NU33" s="3">
        <f>ROUND(0.0,2)</f>
        <v/>
      </c>
      <c r="NV33" s="3">
        <f>ROUND(0.0,2)</f>
        <v/>
      </c>
      <c r="NW33" s="4">
        <f>IFERROR((NQ33/NP33),0)</f>
        <v/>
      </c>
      <c r="NX33" s="4">
        <f>IFERROR(((0+NO11+NO12+NO13+NO14+NO15+NO16+NO17+NO19+NO20+NO21+NO22+NO23+NO24+NO25+NO27+NO28+NO29+NO30+NO31+NO32+NO33)/T2),0)</f>
        <v/>
      </c>
      <c r="NY33" s="5">
        <f>IFERROR(ROUND(NO33/NQ33,2),0)</f>
        <v/>
      </c>
      <c r="NZ33" s="5">
        <f>IFERROR(ROUND(NO33/NR33,2),0)</f>
        <v/>
      </c>
      <c r="OA33" s="2" t="inlineStr">
        <is>
          <t>2023-10-10</t>
        </is>
      </c>
      <c r="OB33" s="5">
        <f>ROUND(0.57,2)</f>
        <v/>
      </c>
      <c r="OC33" s="3">
        <f>ROUND(1129.0,2)</f>
        <v/>
      </c>
      <c r="OD33" s="3">
        <f>ROUND(57.0,2)</f>
        <v/>
      </c>
      <c r="OE33" s="3">
        <f>ROUND(0.0,2)</f>
        <v/>
      </c>
      <c r="OF33" s="3">
        <f>ROUND(0.0,2)</f>
        <v/>
      </c>
      <c r="OG33" s="3">
        <f>ROUND(0.0,2)</f>
        <v/>
      </c>
      <c r="OH33" s="3">
        <f>ROUND(0.0,2)</f>
        <v/>
      </c>
      <c r="OI33" s="3">
        <f>ROUND(0.0,2)</f>
        <v/>
      </c>
      <c r="OJ33" s="4">
        <f>IFERROR((OD33/OC33),0)</f>
        <v/>
      </c>
      <c r="OK33" s="4">
        <f>IFERROR(((0+OB11+OB12+OB13+OB14+OB15+OB16+OB17+OB19+OB20+OB21+OB22+OB23+OB24+OB25+OB27+OB28+OB29+OB30+OB31+OB32+OB33)/T2),0)</f>
        <v/>
      </c>
      <c r="OL33" s="5">
        <f>IFERROR(ROUND(OB33/OD33,2),0)</f>
        <v/>
      </c>
      <c r="OM33" s="5">
        <f>IFERROR(ROUND(OB33/OE33,2),0)</f>
        <v/>
      </c>
      <c r="ON33" s="2" t="inlineStr">
        <is>
          <t>2023-10-10</t>
        </is>
      </c>
      <c r="OO33" s="5">
        <f>ROUND(0.64,2)</f>
        <v/>
      </c>
      <c r="OP33" s="3">
        <f>ROUND(1098.0,2)</f>
        <v/>
      </c>
      <c r="OQ33" s="3">
        <f>ROUND(64.0,2)</f>
        <v/>
      </c>
      <c r="OR33" s="3">
        <f>ROUND(0.0,2)</f>
        <v/>
      </c>
      <c r="OS33" s="3">
        <f>ROUND(0.0,2)</f>
        <v/>
      </c>
      <c r="OT33" s="3">
        <f>ROUND(0.0,2)</f>
        <v/>
      </c>
      <c r="OU33" s="3">
        <f>ROUND(0.0,2)</f>
        <v/>
      </c>
      <c r="OV33" s="3">
        <f>ROUND(0.0,2)</f>
        <v/>
      </c>
      <c r="OW33" s="4">
        <f>IFERROR((OQ33/OP33),0)</f>
        <v/>
      </c>
      <c r="OX33" s="4">
        <f>IFERROR(((0+OO11+OO12+OO13+OO14+OO15+OO16+OO17+OO19+OO20+OO21+OO22+OO23+OO24+OO25+OO27+OO28+OO29+OO30+OO31+OO32+OO33)/T2),0)</f>
        <v/>
      </c>
      <c r="OY33" s="5">
        <f>IFERROR(ROUND(OO33/OQ33,2),0)</f>
        <v/>
      </c>
      <c r="OZ33" s="5">
        <f>IFERROR(ROUND(OO33/OR33,2),0)</f>
        <v/>
      </c>
      <c r="PA33" s="2" t="inlineStr">
        <is>
          <t>2023-10-10</t>
        </is>
      </c>
      <c r="PB33" s="5">
        <f>ROUND(0.42000000000000004,2)</f>
        <v/>
      </c>
      <c r="PC33" s="3">
        <f>ROUND(1332.0,2)</f>
        <v/>
      </c>
      <c r="PD33" s="3">
        <f>ROUND(42.0,2)</f>
        <v/>
      </c>
      <c r="PE33" s="3">
        <f>ROUND(0.0,2)</f>
        <v/>
      </c>
      <c r="PF33" s="3">
        <f>ROUND(0.0,2)</f>
        <v/>
      </c>
      <c r="PG33" s="3">
        <f>ROUND(0.0,2)</f>
        <v/>
      </c>
      <c r="PH33" s="3">
        <f>ROUND(0.0,2)</f>
        <v/>
      </c>
      <c r="PI33" s="3">
        <f>ROUND(0.0,2)</f>
        <v/>
      </c>
      <c r="PJ33" s="4">
        <f>IFERROR((PD33/PC33),0)</f>
        <v/>
      </c>
      <c r="PK33" s="4">
        <f>IFERROR(((0+PB11+PB12+PB13+PB14+PB15+PB16+PB17+PB19+PB20+PB21+PB22+PB23+PB24+PB25+PB27+PB28+PB29+PB30+PB31+PB32+PB33)/T2),0)</f>
        <v/>
      </c>
      <c r="PL33" s="5">
        <f>IFERROR(ROUND(PB33/PD33,2),0)</f>
        <v/>
      </c>
      <c r="PM33" s="5">
        <f>IFERROR(ROUND(PB33/PE33,2),0)</f>
        <v/>
      </c>
      <c r="PN33" s="2" t="inlineStr">
        <is>
          <t>2023-10-10</t>
        </is>
      </c>
      <c r="PO33" s="5">
        <f>ROUND(0.66,2)</f>
        <v/>
      </c>
      <c r="PP33" s="3">
        <f>ROUND(1190.0,2)</f>
        <v/>
      </c>
      <c r="PQ33" s="3">
        <f>ROUND(66.0,2)</f>
        <v/>
      </c>
      <c r="PR33" s="3">
        <f>ROUND(0.0,2)</f>
        <v/>
      </c>
      <c r="PS33" s="3">
        <f>ROUND(0.0,2)</f>
        <v/>
      </c>
      <c r="PT33" s="3">
        <f>ROUND(0.0,2)</f>
        <v/>
      </c>
      <c r="PU33" s="3">
        <f>ROUND(0.0,2)</f>
        <v/>
      </c>
      <c r="PV33" s="3">
        <f>ROUND(0.0,2)</f>
        <v/>
      </c>
      <c r="PW33" s="4">
        <f>IFERROR((PQ33/PP33),0)</f>
        <v/>
      </c>
      <c r="PX33" s="4">
        <f>IFERROR(((0+PO11+PO12+PO13+PO14+PO15+PO16+PO17+PO19+PO20+PO21+PO22+PO23+PO24+PO25+PO27+PO28+PO29+PO30+PO31+PO32+PO33)/T2),0)</f>
        <v/>
      </c>
      <c r="PY33" s="5">
        <f>IFERROR(ROUND(PO33/PQ33,2),0)</f>
        <v/>
      </c>
      <c r="PZ33" s="5">
        <f>IFERROR(ROUND(PO33/PR33,2),0)</f>
        <v/>
      </c>
      <c r="QA33" s="2" t="inlineStr">
        <is>
          <t>2023-10-10</t>
        </is>
      </c>
      <c r="QB33" s="5">
        <f>ROUND(0.38,2)</f>
        <v/>
      </c>
      <c r="QC33" s="3">
        <f>ROUND(1243.0,2)</f>
        <v/>
      </c>
      <c r="QD33" s="3">
        <f>ROUND(38.0,2)</f>
        <v/>
      </c>
      <c r="QE33" s="3">
        <f>ROUND(0.0,2)</f>
        <v/>
      </c>
      <c r="QF33" s="3">
        <f>ROUND(0.0,2)</f>
        <v/>
      </c>
      <c r="QG33" s="3">
        <f>ROUND(0.0,2)</f>
        <v/>
      </c>
      <c r="QH33" s="3">
        <f>ROUND(0.0,2)</f>
        <v/>
      </c>
      <c r="QI33" s="3">
        <f>ROUND(0.0,2)</f>
        <v/>
      </c>
      <c r="QJ33" s="4">
        <f>IFERROR((QD33/QC33),0)</f>
        <v/>
      </c>
      <c r="QK33" s="4">
        <f>IFERROR(((0+QB11+QB12+QB13+QB14+QB15+QB16+QB17+QB19+QB20+QB21+QB22+QB23+QB24+QB25+QB27+QB28+QB29+QB30+QB31+QB32+QB33)/T2),0)</f>
        <v/>
      </c>
      <c r="QL33" s="5">
        <f>IFERROR(ROUND(QB33/QD33,2),0)</f>
        <v/>
      </c>
      <c r="QM33" s="5">
        <f>IFERROR(ROUND(QB33/QE33,2),0)</f>
        <v/>
      </c>
      <c r="QN33" s="2" t="inlineStr">
        <is>
          <t>2023-10-10</t>
        </is>
      </c>
      <c r="QO33" s="5">
        <f>ROUND(0.6699999999999999,2)</f>
        <v/>
      </c>
      <c r="QP33" s="3">
        <f>ROUND(2897.0,2)</f>
        <v/>
      </c>
      <c r="QQ33" s="3">
        <f>ROUND(67.0,2)</f>
        <v/>
      </c>
      <c r="QR33" s="3">
        <f>ROUND(0.0,2)</f>
        <v/>
      </c>
      <c r="QS33" s="3">
        <f>ROUND(0.0,2)</f>
        <v/>
      </c>
      <c r="QT33" s="3">
        <f>ROUND(0.0,2)</f>
        <v/>
      </c>
      <c r="QU33" s="3">
        <f>ROUND(0.0,2)</f>
        <v/>
      </c>
      <c r="QV33" s="3">
        <f>ROUND(0.0,2)</f>
        <v/>
      </c>
      <c r="QW33" s="4">
        <f>IFERROR((QQ33/QP33),0)</f>
        <v/>
      </c>
      <c r="QX33" s="4">
        <f>IFERROR(((0+QO11+QO12+QO13+QO14+QO15+QO16+QO17+QO19+QO20+QO21+QO22+QO23+QO24+QO25+QO27+QO28+QO29+QO30+QO31+QO32+QO33)/T2),0)</f>
        <v/>
      </c>
      <c r="QY33" s="5">
        <f>IFERROR(ROUND(QO33/QQ33,2),0)</f>
        <v/>
      </c>
      <c r="QZ33" s="5">
        <f>IFERROR(ROUND(QO33/QR33,2),0)</f>
        <v/>
      </c>
      <c r="RA33" s="2" t="inlineStr">
        <is>
          <t>2023-10-10</t>
        </is>
      </c>
      <c r="RB33" s="5">
        <f>ROUND(0.6699999999999999,2)</f>
        <v/>
      </c>
      <c r="RC33" s="3">
        <f>ROUND(1267.0,2)</f>
        <v/>
      </c>
      <c r="RD33" s="3">
        <f>ROUND(67.0,2)</f>
        <v/>
      </c>
      <c r="RE33" s="3">
        <f>ROUND(0.0,2)</f>
        <v/>
      </c>
      <c r="RF33" s="3">
        <f>ROUND(0.0,2)</f>
        <v/>
      </c>
      <c r="RG33" s="3">
        <f>ROUND(0.0,2)</f>
        <v/>
      </c>
      <c r="RH33" s="3">
        <f>ROUND(0.0,2)</f>
        <v/>
      </c>
      <c r="RI33" s="3">
        <f>ROUND(0.0,2)</f>
        <v/>
      </c>
      <c r="RJ33" s="4">
        <f>IFERROR((RD33/RC33),0)</f>
        <v/>
      </c>
      <c r="RK33" s="4">
        <f>IFERROR(((0+RB11+RB12+RB13+RB14+RB15+RB16+RB17+RB19+RB20+RB21+RB22+RB23+RB24+RB25+RB27+RB28+RB29+RB30+RB31+RB32+RB33)/T2),0)</f>
        <v/>
      </c>
      <c r="RL33" s="5">
        <f>IFERROR(ROUND(RB33/RD33,2),0)</f>
        <v/>
      </c>
      <c r="RM33" s="5">
        <f>IFERROR(ROUND(RB33/RE33,2),0)</f>
        <v/>
      </c>
      <c r="RN33" s="2" t="inlineStr">
        <is>
          <t>2023-10-10</t>
        </is>
      </c>
      <c r="RO33" s="5">
        <f>ROUND(0.34,2)</f>
        <v/>
      </c>
      <c r="RP33" s="3">
        <f>ROUND(833.0,2)</f>
        <v/>
      </c>
      <c r="RQ33" s="3">
        <f>ROUND(34.0,2)</f>
        <v/>
      </c>
      <c r="RR33" s="3">
        <f>ROUND(0.0,2)</f>
        <v/>
      </c>
      <c r="RS33" s="3">
        <f>ROUND(0.0,2)</f>
        <v/>
      </c>
      <c r="RT33" s="3">
        <f>ROUND(0.0,2)</f>
        <v/>
      </c>
      <c r="RU33" s="3">
        <f>ROUND(0.0,2)</f>
        <v/>
      </c>
      <c r="RV33" s="3">
        <f>ROUND(0.0,2)</f>
        <v/>
      </c>
      <c r="RW33" s="4">
        <f>IFERROR((RQ33/RP33),0)</f>
        <v/>
      </c>
      <c r="RX33" s="4">
        <f>IFERROR(((0+RO11+RO12+RO13+RO14+RO15+RO16+RO17+RO19+RO20+RO21+RO22+RO23+RO24+RO25+RO27+RO28+RO29+RO30+RO31+RO32+RO33)/T2),0)</f>
        <v/>
      </c>
      <c r="RY33" s="5">
        <f>IFERROR(ROUND(RO33/RQ33,2),0)</f>
        <v/>
      </c>
      <c r="RZ33" s="5">
        <f>IFERROR(ROUND(RO33/RR33,2),0)</f>
        <v/>
      </c>
      <c r="SA33" s="2" t="inlineStr">
        <is>
          <t>2023-10-10</t>
        </is>
      </c>
      <c r="SB33" s="5">
        <f>ROUND(1.15,2)</f>
        <v/>
      </c>
      <c r="SC33" s="3">
        <f>ROUND(2075.0,2)</f>
        <v/>
      </c>
      <c r="SD33" s="3">
        <f>ROUND(115.0,2)</f>
        <v/>
      </c>
      <c r="SE33" s="3">
        <f>ROUND(0.0,2)</f>
        <v/>
      </c>
      <c r="SF33" s="3">
        <f>ROUND(0.0,2)</f>
        <v/>
      </c>
      <c r="SG33" s="3">
        <f>ROUND(0.0,2)</f>
        <v/>
      </c>
      <c r="SH33" s="3">
        <f>ROUND(0.0,2)</f>
        <v/>
      </c>
      <c r="SI33" s="3">
        <f>ROUND(0.0,2)</f>
        <v/>
      </c>
      <c r="SJ33" s="4">
        <f>IFERROR((SD33/SC33),0)</f>
        <v/>
      </c>
      <c r="SK33" s="4">
        <f>IFERROR(((0+SB11+SB12+SB13+SB14+SB15+SB16+SB17+SB19+SB20+SB21+SB22+SB23+SB24+SB25+SB27+SB28+SB29+SB30+SB31+SB32+SB33)/T2),0)</f>
        <v/>
      </c>
      <c r="SL33" s="5">
        <f>IFERROR(ROUND(SB33/SD33,2),0)</f>
        <v/>
      </c>
      <c r="SM33" s="5">
        <f>IFERROR(ROUND(SB33/SE33,2),0)</f>
        <v/>
      </c>
      <c r="SN33" s="2" t="inlineStr">
        <is>
          <t>2023-10-10</t>
        </is>
      </c>
      <c r="SO33" s="5">
        <f>ROUND(0.4,2)</f>
        <v/>
      </c>
      <c r="SP33" s="3">
        <f>ROUND(1023.0,2)</f>
        <v/>
      </c>
      <c r="SQ33" s="3">
        <f>ROUND(40.0,2)</f>
        <v/>
      </c>
      <c r="SR33" s="3">
        <f>ROUND(0.0,2)</f>
        <v/>
      </c>
      <c r="SS33" s="3">
        <f>ROUND(0.0,2)</f>
        <v/>
      </c>
      <c r="ST33" s="3">
        <f>ROUND(0.0,2)</f>
        <v/>
      </c>
      <c r="SU33" s="3">
        <f>ROUND(0.0,2)</f>
        <v/>
      </c>
      <c r="SV33" s="3">
        <f>ROUND(0.0,2)</f>
        <v/>
      </c>
      <c r="SW33" s="4">
        <f>IFERROR((SQ33/SP33),0)</f>
        <v/>
      </c>
      <c r="SX33" s="4">
        <f>IFERROR(((0+SO11+SO12+SO13+SO14+SO15+SO16+SO17+SO19+SO20+SO21+SO22+SO23+SO24+SO25+SO27+SO28+SO29+SO30+SO31+SO32+SO33)/T2),0)</f>
        <v/>
      </c>
      <c r="SY33" s="5">
        <f>IFERROR(ROUND(SO33/SQ33,2),0)</f>
        <v/>
      </c>
      <c r="SZ33" s="5">
        <f>IFERROR(ROUND(SO33/SR33,2),0)</f>
        <v/>
      </c>
    </row>
    <row r="34">
      <c r="A34" s="2" t="inlineStr">
        <is>
          <t>3 Weekly Total</t>
        </is>
      </c>
      <c r="B34" s="5">
        <f>ROUND(289.23,2)</f>
        <v/>
      </c>
      <c r="C34" s="3">
        <f>ROUND(849779.0,2)</f>
        <v/>
      </c>
      <c r="D34" s="3">
        <f>ROUND(28922.0,2)</f>
        <v/>
      </c>
      <c r="E34" s="3">
        <f>ROUND(0.0,2)</f>
        <v/>
      </c>
      <c r="F34" s="3">
        <f>ROUND(0.0,2)</f>
        <v/>
      </c>
      <c r="G34" s="3">
        <f>ROUND(0.0,2)</f>
        <v/>
      </c>
      <c r="H34" s="3">
        <f>ROUND(0.0,2)</f>
        <v/>
      </c>
      <c r="I34" s="3">
        <f>ROUND(0.0,2)</f>
        <v/>
      </c>
      <c r="J34" s="4">
        <f>IFERROR((D34/C34),0)</f>
        <v/>
      </c>
      <c r="K34" s="4">
        <f>IFERROR(((0+B11+B12+B13+B14+B15+B16+B17+B19+B20+B21+B22+B23+B24+B25+B27+B28+B29+B30+B31+B32+B33)/T2),0)</f>
        <v/>
      </c>
      <c r="L34" s="5">
        <f>IFERROR(ROUND(B34/D34,2),0)</f>
        <v/>
      </c>
      <c r="M34" s="5">
        <f>IFERROR(ROUND(B34/E34,2),0)</f>
        <v/>
      </c>
      <c r="N34" s="2" t="inlineStr">
        <is>
          <t>3 Weekly Total</t>
        </is>
      </c>
      <c r="O34" s="5">
        <f>ROUND(18.94,2)</f>
        <v/>
      </c>
      <c r="P34" s="3">
        <f>ROUND(28326.0,2)</f>
        <v/>
      </c>
      <c r="Q34" s="3">
        <f>ROUND(1894.0,2)</f>
        <v/>
      </c>
      <c r="R34" s="3">
        <f>ROUND(0.0,2)</f>
        <v/>
      </c>
      <c r="S34" s="3">
        <f>ROUND(0.0,2)</f>
        <v/>
      </c>
      <c r="T34" s="3">
        <f>ROUND(0.0,2)</f>
        <v/>
      </c>
      <c r="U34" s="3">
        <f>ROUND(0.0,2)</f>
        <v/>
      </c>
      <c r="V34" s="3">
        <f>ROUND(0.0,2)</f>
        <v/>
      </c>
      <c r="W34" s="4">
        <f>IFERROR((Q34/P34),0)</f>
        <v/>
      </c>
      <c r="X34" s="4">
        <f>IFERROR(((0+O11+O12+O13+O14+O15+O16+O17+O19+O20+O21+O22+O23+O24+O25+O27+O28+O29+O30+O31+O32+O33)/T2),0)</f>
        <v/>
      </c>
      <c r="Y34" s="5">
        <f>IFERROR(ROUND(O34/Q34,2),0)</f>
        <v/>
      </c>
      <c r="Z34" s="5">
        <f>IFERROR(ROUND(O34/R34,2),0)</f>
        <v/>
      </c>
      <c r="AA34" s="2" t="inlineStr">
        <is>
          <t>3 Weekly Total</t>
        </is>
      </c>
      <c r="AB34" s="5">
        <f>ROUND(1.18,2)</f>
        <v/>
      </c>
      <c r="AC34" s="3">
        <f>ROUND(3444.0,2)</f>
        <v/>
      </c>
      <c r="AD34" s="3">
        <f>ROUND(118.0,2)</f>
        <v/>
      </c>
      <c r="AE34" s="3">
        <f>ROUND(0.0,2)</f>
        <v/>
      </c>
      <c r="AF34" s="3">
        <f>ROUND(0.0,2)</f>
        <v/>
      </c>
      <c r="AG34" s="3">
        <f>ROUND(0.0,2)</f>
        <v/>
      </c>
      <c r="AH34" s="3">
        <f>ROUND(0.0,2)</f>
        <v/>
      </c>
      <c r="AI34" s="3">
        <f>ROUND(0.0,2)</f>
        <v/>
      </c>
      <c r="AJ34" s="4">
        <f>IFERROR((AD34/AC34),0)</f>
        <v/>
      </c>
      <c r="AK34" s="4">
        <f>IFERROR(((0+AB11+AB12+AB13+AB14+AB15+AB16+AB17+AB19+AB20+AB21+AB22+AB23+AB24+AB25+AB27+AB28+AB29+AB30+AB31+AB32+AB33)/T2),0)</f>
        <v/>
      </c>
      <c r="AL34" s="5">
        <f>IFERROR(ROUND(AB34/AD34,2),0)</f>
        <v/>
      </c>
      <c r="AM34" s="5">
        <f>IFERROR(ROUND(AB34/AE34,2),0)</f>
        <v/>
      </c>
      <c r="AN34" s="2" t="inlineStr">
        <is>
          <t>3 Weekly Total</t>
        </is>
      </c>
      <c r="AO34" s="5">
        <f>ROUND(18.37,2)</f>
        <v/>
      </c>
      <c r="AP34" s="3">
        <f>ROUND(96287.0,2)</f>
        <v/>
      </c>
      <c r="AQ34" s="3">
        <f>ROUND(1837.0,2)</f>
        <v/>
      </c>
      <c r="AR34" s="3">
        <f>ROUND(0.0,2)</f>
        <v/>
      </c>
      <c r="AS34" s="3">
        <f>ROUND(0.0,2)</f>
        <v/>
      </c>
      <c r="AT34" s="3">
        <f>ROUND(0.0,2)</f>
        <v/>
      </c>
      <c r="AU34" s="3">
        <f>ROUND(0.0,2)</f>
        <v/>
      </c>
      <c r="AV34" s="3">
        <f>ROUND(0.0,2)</f>
        <v/>
      </c>
      <c r="AW34" s="4">
        <f>IFERROR((AQ34/AP34),0)</f>
        <v/>
      </c>
      <c r="AX34" s="4">
        <f>IFERROR(((0+AO11+AO12+AO13+AO14+AO15+AO16+AO17+AO19+AO20+AO21+AO22+AO23+AO24+AO25+AO27+AO28+AO29+AO30+AO31+AO32+AO33)/T2),0)</f>
        <v/>
      </c>
      <c r="AY34" s="5">
        <f>IFERROR(ROUND(AO34/AQ34,2),0)</f>
        <v/>
      </c>
      <c r="AZ34" s="5">
        <f>IFERROR(ROUND(AO34/AR34,2),0)</f>
        <v/>
      </c>
      <c r="BA34" s="2" t="inlineStr">
        <is>
          <t>3 Weekly Total</t>
        </is>
      </c>
      <c r="BB34" s="5">
        <f>ROUND(1.99,2)</f>
        <v/>
      </c>
      <c r="BC34" s="3">
        <f>ROUND(3968.0,2)</f>
        <v/>
      </c>
      <c r="BD34" s="3">
        <f>ROUND(199.0,2)</f>
        <v/>
      </c>
      <c r="BE34" s="3">
        <f>ROUND(0.0,2)</f>
        <v/>
      </c>
      <c r="BF34" s="3">
        <f>ROUND(0.0,2)</f>
        <v/>
      </c>
      <c r="BG34" s="3">
        <f>ROUND(0.0,2)</f>
        <v/>
      </c>
      <c r="BH34" s="3">
        <f>ROUND(0.0,2)</f>
        <v/>
      </c>
      <c r="BI34" s="3">
        <f>ROUND(0.0,2)</f>
        <v/>
      </c>
      <c r="BJ34" s="4">
        <f>IFERROR((BD34/BC34),0)</f>
        <v/>
      </c>
      <c r="BK34" s="4">
        <f>IFERROR(((0+BB11+BB12+BB13+BB14+BB15+BB16+BB17+BB19+BB20+BB21+BB22+BB23+BB24+BB25+BB27+BB28+BB29+BB30+BB31+BB32+BB33)/T2),0)</f>
        <v/>
      </c>
      <c r="BL34" s="5">
        <f>IFERROR(ROUND(BB34/BD34,2),0)</f>
        <v/>
      </c>
      <c r="BM34" s="5">
        <f>IFERROR(ROUND(BB34/BE34,2),0)</f>
        <v/>
      </c>
      <c r="BN34" s="2" t="inlineStr">
        <is>
          <t>3 Weekly Total</t>
        </is>
      </c>
      <c r="BO34" s="5">
        <f>ROUND(2.45,2)</f>
        <v/>
      </c>
      <c r="BP34" s="3">
        <f>ROUND(4923.0,2)</f>
        <v/>
      </c>
      <c r="BQ34" s="3">
        <f>ROUND(245.0,2)</f>
        <v/>
      </c>
      <c r="BR34" s="3">
        <f>ROUND(0.0,2)</f>
        <v/>
      </c>
      <c r="BS34" s="3">
        <f>ROUND(0.0,2)</f>
        <v/>
      </c>
      <c r="BT34" s="3">
        <f>ROUND(0.0,2)</f>
        <v/>
      </c>
      <c r="BU34" s="3">
        <f>ROUND(0.0,2)</f>
        <v/>
      </c>
      <c r="BV34" s="3">
        <f>ROUND(0.0,2)</f>
        <v/>
      </c>
      <c r="BW34" s="4">
        <f>IFERROR((BQ34/BP34),0)</f>
        <v/>
      </c>
      <c r="BX34" s="4">
        <f>IFERROR(((0+BO11+BO12+BO13+BO14+BO15+BO16+BO17+BO19+BO20+BO21+BO22+BO23+BO24+BO25+BO27+BO28+BO29+BO30+BO31+BO32+BO33)/T2),0)</f>
        <v/>
      </c>
      <c r="BY34" s="5">
        <f>IFERROR(ROUND(BO34/BQ34,2),0)</f>
        <v/>
      </c>
      <c r="BZ34" s="5">
        <f>IFERROR(ROUND(BO34/BR34,2),0)</f>
        <v/>
      </c>
      <c r="CA34" s="2" t="inlineStr">
        <is>
          <t>3 Weekly Total</t>
        </is>
      </c>
      <c r="CB34" s="5">
        <f>ROUND(2.92,2)</f>
        <v/>
      </c>
      <c r="CC34" s="3">
        <f>ROUND(6095.0,2)</f>
        <v/>
      </c>
      <c r="CD34" s="3">
        <f>ROUND(292.0,2)</f>
        <v/>
      </c>
      <c r="CE34" s="3">
        <f>ROUND(0.0,2)</f>
        <v/>
      </c>
      <c r="CF34" s="3">
        <f>ROUND(0.0,2)</f>
        <v/>
      </c>
      <c r="CG34" s="3">
        <f>ROUND(0.0,2)</f>
        <v/>
      </c>
      <c r="CH34" s="3">
        <f>ROUND(0.0,2)</f>
        <v/>
      </c>
      <c r="CI34" s="3">
        <f>ROUND(0.0,2)</f>
        <v/>
      </c>
      <c r="CJ34" s="4">
        <f>IFERROR((CD34/CC34),0)</f>
        <v/>
      </c>
      <c r="CK34" s="4">
        <f>IFERROR(((0+CB11+CB12+CB13+CB14+CB15+CB16+CB17+CB19+CB20+CB21+CB22+CB23+CB24+CB25+CB27+CB28+CB29+CB30+CB31+CB32+CB33)/T2),0)</f>
        <v/>
      </c>
      <c r="CL34" s="5">
        <f>IFERROR(ROUND(CB34/CD34,2),0)</f>
        <v/>
      </c>
      <c r="CM34" s="5">
        <f>IFERROR(ROUND(CB34/CE34,2),0)</f>
        <v/>
      </c>
      <c r="CN34" s="2" t="inlineStr">
        <is>
          <t>3 Weekly Total</t>
        </is>
      </c>
      <c r="CO34" s="5">
        <f>ROUND(8.06,2)</f>
        <v/>
      </c>
      <c r="CP34" s="3">
        <f>ROUND(38089.0,2)</f>
        <v/>
      </c>
      <c r="CQ34" s="3">
        <f>ROUND(806.0,2)</f>
        <v/>
      </c>
      <c r="CR34" s="3">
        <f>ROUND(0.0,2)</f>
        <v/>
      </c>
      <c r="CS34" s="3">
        <f>ROUND(0.0,2)</f>
        <v/>
      </c>
      <c r="CT34" s="3">
        <f>ROUND(0.0,2)</f>
        <v/>
      </c>
      <c r="CU34" s="3">
        <f>ROUND(0.0,2)</f>
        <v/>
      </c>
      <c r="CV34" s="3">
        <f>ROUND(0.0,2)</f>
        <v/>
      </c>
      <c r="CW34" s="4">
        <f>IFERROR((CQ34/CP34),0)</f>
        <v/>
      </c>
      <c r="CX34" s="4">
        <f>IFERROR(((0+CO11+CO12+CO13+CO14+CO15+CO16+CO17+CO19+CO20+CO21+CO22+CO23+CO24+CO25+CO27+CO28+CO29+CO30+CO31+CO32+CO33)/T2),0)</f>
        <v/>
      </c>
      <c r="CY34" s="5">
        <f>IFERROR(ROUND(CO34/CQ34,2),0)</f>
        <v/>
      </c>
      <c r="CZ34" s="5">
        <f>IFERROR(ROUND(CO34/CR34,2),0)</f>
        <v/>
      </c>
      <c r="DA34" s="2" t="inlineStr">
        <is>
          <t>3 Weekly Total</t>
        </is>
      </c>
      <c r="DB34" s="5">
        <f>ROUND(11.04,2)</f>
        <v/>
      </c>
      <c r="DC34" s="3">
        <f>ROUND(23436.0,2)</f>
        <v/>
      </c>
      <c r="DD34" s="3">
        <f>ROUND(1104.0,2)</f>
        <v/>
      </c>
      <c r="DE34" s="3">
        <f>ROUND(0.0,2)</f>
        <v/>
      </c>
      <c r="DF34" s="3">
        <f>ROUND(0.0,2)</f>
        <v/>
      </c>
      <c r="DG34" s="3">
        <f>ROUND(0.0,2)</f>
        <v/>
      </c>
      <c r="DH34" s="3">
        <f>ROUND(0.0,2)</f>
        <v/>
      </c>
      <c r="DI34" s="3">
        <f>ROUND(0.0,2)</f>
        <v/>
      </c>
      <c r="DJ34" s="4">
        <f>IFERROR((DD34/DC34),0)</f>
        <v/>
      </c>
      <c r="DK34" s="4">
        <f>IFERROR(((0+DB11+DB12+DB13+DB14+DB15+DB16+DB17+DB19+DB20+DB21+DB22+DB23+DB24+DB25+DB27+DB28+DB29+DB30+DB31+DB32+DB33)/T2),0)</f>
        <v/>
      </c>
      <c r="DL34" s="5">
        <f>IFERROR(ROUND(DB34/DD34,2),0)</f>
        <v/>
      </c>
      <c r="DM34" s="5">
        <f>IFERROR(ROUND(DB34/DE34,2),0)</f>
        <v/>
      </c>
      <c r="DN34" s="2" t="inlineStr">
        <is>
          <t>3 Weekly Total</t>
        </is>
      </c>
      <c r="DO34" s="5">
        <f>ROUND(0.65,2)</f>
        <v/>
      </c>
      <c r="DP34" s="3">
        <f>ROUND(2407.0,2)</f>
        <v/>
      </c>
      <c r="DQ34" s="3">
        <f>ROUND(65.0,2)</f>
        <v/>
      </c>
      <c r="DR34" s="3">
        <f>ROUND(0.0,2)</f>
        <v/>
      </c>
      <c r="DS34" s="3">
        <f>ROUND(0.0,2)</f>
        <v/>
      </c>
      <c r="DT34" s="3">
        <f>ROUND(0.0,2)</f>
        <v/>
      </c>
      <c r="DU34" s="3">
        <f>ROUND(0.0,2)</f>
        <v/>
      </c>
      <c r="DV34" s="3">
        <f>ROUND(0.0,2)</f>
        <v/>
      </c>
      <c r="DW34" s="4">
        <f>IFERROR((DQ34/DP34),0)</f>
        <v/>
      </c>
      <c r="DX34" s="4">
        <f>IFERROR(((0+DO11+DO12+DO13+DO14+DO15+DO16+DO17+DO19+DO20+DO21+DO22+DO23+DO24+DO25+DO27+DO28+DO29+DO30+DO31+DO32+DO33)/T2),0)</f>
        <v/>
      </c>
      <c r="DY34" s="5">
        <f>IFERROR(ROUND(DO34/DQ34,2),0)</f>
        <v/>
      </c>
      <c r="DZ34" s="5">
        <f>IFERROR(ROUND(DO34/DR34,2),0)</f>
        <v/>
      </c>
      <c r="EA34" s="2" t="inlineStr">
        <is>
          <t>3 Weekly Total</t>
        </is>
      </c>
      <c r="EB34" s="5">
        <f>ROUND(17.98,2)</f>
        <v/>
      </c>
      <c r="EC34" s="3">
        <f>ROUND(100188.0,2)</f>
        <v/>
      </c>
      <c r="ED34" s="3">
        <f>ROUND(1798.0,2)</f>
        <v/>
      </c>
      <c r="EE34" s="3">
        <f>ROUND(0.0,2)</f>
        <v/>
      </c>
      <c r="EF34" s="3">
        <f>ROUND(0.0,2)</f>
        <v/>
      </c>
      <c r="EG34" s="3">
        <f>ROUND(0.0,2)</f>
        <v/>
      </c>
      <c r="EH34" s="3">
        <f>ROUND(0.0,2)</f>
        <v/>
      </c>
      <c r="EI34" s="3">
        <f>ROUND(0.0,2)</f>
        <v/>
      </c>
      <c r="EJ34" s="4">
        <f>IFERROR((ED34/EC34),0)</f>
        <v/>
      </c>
      <c r="EK34" s="4">
        <f>IFERROR(((0+EB11+EB12+EB13+EB14+EB15+EB16+EB17+EB19+EB20+EB21+EB22+EB23+EB24+EB25+EB27+EB28+EB29+EB30+EB31+EB32+EB33)/T2),0)</f>
        <v/>
      </c>
      <c r="EL34" s="5">
        <f>IFERROR(ROUND(EB34/ED34,2),0)</f>
        <v/>
      </c>
      <c r="EM34" s="5">
        <f>IFERROR(ROUND(EB34/EE34,2),0)</f>
        <v/>
      </c>
      <c r="EN34" s="2" t="inlineStr">
        <is>
          <t>3 Weekly Total</t>
        </is>
      </c>
      <c r="EO34" s="5">
        <f>ROUND(14.93,2)</f>
        <v/>
      </c>
      <c r="EP34" s="3">
        <f>ROUND(22433.0,2)</f>
        <v/>
      </c>
      <c r="EQ34" s="3">
        <f>ROUND(1493.0,2)</f>
        <v/>
      </c>
      <c r="ER34" s="3">
        <f>ROUND(0.0,2)</f>
        <v/>
      </c>
      <c r="ES34" s="3">
        <f>ROUND(0.0,2)</f>
        <v/>
      </c>
      <c r="ET34" s="3">
        <f>ROUND(0.0,2)</f>
        <v/>
      </c>
      <c r="EU34" s="3">
        <f>ROUND(0.0,2)</f>
        <v/>
      </c>
      <c r="EV34" s="3">
        <f>ROUND(0.0,2)</f>
        <v/>
      </c>
      <c r="EW34" s="4">
        <f>IFERROR((EQ34/EP34),0)</f>
        <v/>
      </c>
      <c r="EX34" s="4">
        <f>IFERROR(((0+EO11+EO12+EO13+EO14+EO15+EO16+EO17+EO19+EO20+EO21+EO22+EO23+EO24+EO25+EO27+EO28+EO29+EO30+EO31+EO32+EO33)/T2),0)</f>
        <v/>
      </c>
      <c r="EY34" s="5">
        <f>IFERROR(ROUND(EO34/EQ34,2),0)</f>
        <v/>
      </c>
      <c r="EZ34" s="5">
        <f>IFERROR(ROUND(EO34/ER34,2),0)</f>
        <v/>
      </c>
      <c r="FA34" s="2" t="inlineStr">
        <is>
          <t>3 Weekly Total</t>
        </is>
      </c>
      <c r="FB34" s="5">
        <f>ROUND(6.23,2)</f>
        <v/>
      </c>
      <c r="FC34" s="3">
        <f>ROUND(33894.0,2)</f>
        <v/>
      </c>
      <c r="FD34" s="3">
        <f>ROUND(623.0,2)</f>
        <v/>
      </c>
      <c r="FE34" s="3">
        <f>ROUND(0.0,2)</f>
        <v/>
      </c>
      <c r="FF34" s="3">
        <f>ROUND(0.0,2)</f>
        <v/>
      </c>
      <c r="FG34" s="3">
        <f>ROUND(0.0,2)</f>
        <v/>
      </c>
      <c r="FH34" s="3">
        <f>ROUND(0.0,2)</f>
        <v/>
      </c>
      <c r="FI34" s="3">
        <f>ROUND(0.0,2)</f>
        <v/>
      </c>
      <c r="FJ34" s="4">
        <f>IFERROR((FD34/FC34),0)</f>
        <v/>
      </c>
      <c r="FK34" s="4">
        <f>IFERROR(((0+FB11+FB12+FB13+FB14+FB15+FB16+FB17+FB19+FB20+FB21+FB22+FB23+FB24+FB25+FB27+FB28+FB29+FB30+FB31+FB32+FB33)/T2),0)</f>
        <v/>
      </c>
      <c r="FL34" s="5">
        <f>IFERROR(ROUND(FB34/FD34,2),0)</f>
        <v/>
      </c>
      <c r="FM34" s="5">
        <f>IFERROR(ROUND(FB34/FE34,2),0)</f>
        <v/>
      </c>
      <c r="FN34" s="2" t="inlineStr">
        <is>
          <t>3 Weekly Total</t>
        </is>
      </c>
      <c r="FO34" s="5">
        <f>ROUND(16.14,2)</f>
        <v/>
      </c>
      <c r="FP34" s="3">
        <f>ROUND(41737.0,2)</f>
        <v/>
      </c>
      <c r="FQ34" s="3">
        <f>ROUND(1614.0,2)</f>
        <v/>
      </c>
      <c r="FR34" s="3">
        <f>ROUND(0.0,2)</f>
        <v/>
      </c>
      <c r="FS34" s="3">
        <f>ROUND(0.0,2)</f>
        <v/>
      </c>
      <c r="FT34" s="3">
        <f>ROUND(0.0,2)</f>
        <v/>
      </c>
      <c r="FU34" s="3">
        <f>ROUND(0.0,2)</f>
        <v/>
      </c>
      <c r="FV34" s="3">
        <f>ROUND(0.0,2)</f>
        <v/>
      </c>
      <c r="FW34" s="4">
        <f>IFERROR((FQ34/FP34),0)</f>
        <v/>
      </c>
      <c r="FX34" s="4">
        <f>IFERROR(((0+FO11+FO12+FO13+FO14+FO15+FO16+FO17+FO19+FO20+FO21+FO22+FO23+FO24+FO25+FO27+FO28+FO29+FO30+FO31+FO32+FO33)/T2),0)</f>
        <v/>
      </c>
      <c r="FY34" s="5">
        <f>IFERROR(ROUND(FO34/FQ34,2),0)</f>
        <v/>
      </c>
      <c r="FZ34" s="5">
        <f>IFERROR(ROUND(FO34/FR34,2),0)</f>
        <v/>
      </c>
      <c r="GA34" s="2" t="inlineStr">
        <is>
          <t>3 Weekly Total</t>
        </is>
      </c>
      <c r="GB34" s="5">
        <f>ROUND(5.47,2)</f>
        <v/>
      </c>
      <c r="GC34" s="3">
        <f>ROUND(11126.0,2)</f>
        <v/>
      </c>
      <c r="GD34" s="3">
        <f>ROUND(547.0,2)</f>
        <v/>
      </c>
      <c r="GE34" s="3">
        <f>ROUND(0.0,2)</f>
        <v/>
      </c>
      <c r="GF34" s="3">
        <f>ROUND(0.0,2)</f>
        <v/>
      </c>
      <c r="GG34" s="3">
        <f>ROUND(0.0,2)</f>
        <v/>
      </c>
      <c r="GH34" s="3">
        <f>ROUND(0.0,2)</f>
        <v/>
      </c>
      <c r="GI34" s="3">
        <f>ROUND(0.0,2)</f>
        <v/>
      </c>
      <c r="GJ34" s="4">
        <f>IFERROR((GD34/GC34),0)</f>
        <v/>
      </c>
      <c r="GK34" s="4">
        <f>IFERROR(((0+GB11+GB12+GB13+GB14+GB15+GB16+GB17+GB19+GB20+GB21+GB22+GB23+GB24+GB25+GB27+GB28+GB29+GB30+GB31+GB32+GB33)/T2),0)</f>
        <v/>
      </c>
      <c r="GL34" s="5">
        <f>IFERROR(ROUND(GB34/GD34,2),0)</f>
        <v/>
      </c>
      <c r="GM34" s="5">
        <f>IFERROR(ROUND(GB34/GE34,2),0)</f>
        <v/>
      </c>
      <c r="GN34" s="2" t="inlineStr">
        <is>
          <t>3 Weekly Total</t>
        </is>
      </c>
      <c r="GO34" s="5">
        <f>ROUND(8.07,2)</f>
        <v/>
      </c>
      <c r="GP34" s="3">
        <f>ROUND(29261.0,2)</f>
        <v/>
      </c>
      <c r="GQ34" s="3">
        <f>ROUND(807.0,2)</f>
        <v/>
      </c>
      <c r="GR34" s="3">
        <f>ROUND(0.0,2)</f>
        <v/>
      </c>
      <c r="GS34" s="3">
        <f>ROUND(0.0,2)</f>
        <v/>
      </c>
      <c r="GT34" s="3">
        <f>ROUND(0.0,2)</f>
        <v/>
      </c>
      <c r="GU34" s="3">
        <f>ROUND(0.0,2)</f>
        <v/>
      </c>
      <c r="GV34" s="3">
        <f>ROUND(0.0,2)</f>
        <v/>
      </c>
      <c r="GW34" s="4">
        <f>IFERROR((GQ34/GP34),0)</f>
        <v/>
      </c>
      <c r="GX34" s="4">
        <f>IFERROR(((0+GO11+GO12+GO13+GO14+GO15+GO16+GO17+GO19+GO20+GO21+GO22+GO23+GO24+GO25+GO27+GO28+GO29+GO30+GO31+GO32+GO33)/T2),0)</f>
        <v/>
      </c>
      <c r="GY34" s="5">
        <f>IFERROR(ROUND(GO34/GQ34,2),0)</f>
        <v/>
      </c>
      <c r="GZ34" s="5">
        <f>IFERROR(ROUND(GO34/GR34,2),0)</f>
        <v/>
      </c>
      <c r="HA34" s="2" t="inlineStr">
        <is>
          <t>3 Weekly Total</t>
        </is>
      </c>
      <c r="HB34" s="5">
        <f>ROUND(33.51,2)</f>
        <v/>
      </c>
      <c r="HC34" s="3">
        <f>ROUND(47465.0,2)</f>
        <v/>
      </c>
      <c r="HD34" s="3">
        <f>ROUND(3351.0,2)</f>
        <v/>
      </c>
      <c r="HE34" s="3">
        <f>ROUND(0.0,2)</f>
        <v/>
      </c>
      <c r="HF34" s="3">
        <f>ROUND(0.0,2)</f>
        <v/>
      </c>
      <c r="HG34" s="3">
        <f>ROUND(0.0,2)</f>
        <v/>
      </c>
      <c r="HH34" s="3">
        <f>ROUND(0.0,2)</f>
        <v/>
      </c>
      <c r="HI34" s="3">
        <f>ROUND(0.0,2)</f>
        <v/>
      </c>
      <c r="HJ34" s="4">
        <f>IFERROR((HD34/HC34),0)</f>
        <v/>
      </c>
      <c r="HK34" s="4">
        <f>IFERROR(((0+HB11+HB12+HB13+HB14+HB15+HB16+HB17+HB19+HB20+HB21+HB22+HB23+HB24+HB25+HB27+HB28+HB29+HB30+HB31+HB32+HB33)/T2),0)</f>
        <v/>
      </c>
      <c r="HL34" s="5">
        <f>IFERROR(ROUND(HB34/HD34,2),0)</f>
        <v/>
      </c>
      <c r="HM34" s="5">
        <f>IFERROR(ROUND(HB34/HE34,2),0)</f>
        <v/>
      </c>
      <c r="HN34" s="2" t="inlineStr">
        <is>
          <t>3 Weekly Total</t>
        </is>
      </c>
      <c r="HO34" s="5">
        <f>ROUND(1.26,2)</f>
        <v/>
      </c>
      <c r="HP34" s="3">
        <f>ROUND(3634.0,2)</f>
        <v/>
      </c>
      <c r="HQ34" s="3">
        <f>ROUND(126.0,2)</f>
        <v/>
      </c>
      <c r="HR34" s="3">
        <f>ROUND(0.0,2)</f>
        <v/>
      </c>
      <c r="HS34" s="3">
        <f>ROUND(0.0,2)</f>
        <v/>
      </c>
      <c r="HT34" s="3">
        <f>ROUND(0.0,2)</f>
        <v/>
      </c>
      <c r="HU34" s="3">
        <f>ROUND(0.0,2)</f>
        <v/>
      </c>
      <c r="HV34" s="3">
        <f>ROUND(0.0,2)</f>
        <v/>
      </c>
      <c r="HW34" s="4">
        <f>IFERROR((HQ34/HP34),0)</f>
        <v/>
      </c>
      <c r="HX34" s="4">
        <f>IFERROR(((0+HO11+HO12+HO13+HO14+HO15+HO16+HO17+HO19+HO20+HO21+HO22+HO23+HO24+HO25+HO27+HO28+HO29+HO30+HO31+HO32+HO33)/T2),0)</f>
        <v/>
      </c>
      <c r="HY34" s="5">
        <f>IFERROR(ROUND(HO34/HQ34,2),0)</f>
        <v/>
      </c>
      <c r="HZ34" s="5">
        <f>IFERROR(ROUND(HO34/HR34,2),0)</f>
        <v/>
      </c>
      <c r="IA34" s="2" t="inlineStr">
        <is>
          <t>3 Weekly Total</t>
        </is>
      </c>
      <c r="IB34" s="5">
        <f>ROUND(2.37,2)</f>
        <v/>
      </c>
      <c r="IC34" s="3">
        <f>ROUND(4372.0,2)</f>
        <v/>
      </c>
      <c r="ID34" s="3">
        <f>ROUND(237.0,2)</f>
        <v/>
      </c>
      <c r="IE34" s="3">
        <f>ROUND(0.0,2)</f>
        <v/>
      </c>
      <c r="IF34" s="3">
        <f>ROUND(0.0,2)</f>
        <v/>
      </c>
      <c r="IG34" s="3">
        <f>ROUND(0.0,2)</f>
        <v/>
      </c>
      <c r="IH34" s="3">
        <f>ROUND(0.0,2)</f>
        <v/>
      </c>
      <c r="II34" s="3">
        <f>ROUND(0.0,2)</f>
        <v/>
      </c>
      <c r="IJ34" s="4">
        <f>IFERROR((ID34/IC34),0)</f>
        <v/>
      </c>
      <c r="IK34" s="4">
        <f>IFERROR(((0+IB11+IB12+IB13+IB14+IB15+IB16+IB17+IB19+IB20+IB21+IB22+IB23+IB24+IB25+IB27+IB28+IB29+IB30+IB31+IB32+IB33)/T2),0)</f>
        <v/>
      </c>
      <c r="IL34" s="5">
        <f>IFERROR(ROUND(IB34/ID34,2),0)</f>
        <v/>
      </c>
      <c r="IM34" s="5">
        <f>IFERROR(ROUND(IB34/IE34,2),0)</f>
        <v/>
      </c>
      <c r="IN34" s="2" t="inlineStr">
        <is>
          <t>3 Weekly Total</t>
        </is>
      </c>
      <c r="IO34" s="5">
        <f>ROUND(4.79,2)</f>
        <v/>
      </c>
      <c r="IP34" s="3">
        <f>ROUND(18785.0,2)</f>
        <v/>
      </c>
      <c r="IQ34" s="3">
        <f>ROUND(479.0,2)</f>
        <v/>
      </c>
      <c r="IR34" s="3">
        <f>ROUND(0.0,2)</f>
        <v/>
      </c>
      <c r="IS34" s="3">
        <f>ROUND(0.0,2)</f>
        <v/>
      </c>
      <c r="IT34" s="3">
        <f>ROUND(0.0,2)</f>
        <v/>
      </c>
      <c r="IU34" s="3">
        <f>ROUND(0.0,2)</f>
        <v/>
      </c>
      <c r="IV34" s="3">
        <f>ROUND(0.0,2)</f>
        <v/>
      </c>
      <c r="IW34" s="4">
        <f>IFERROR((IQ34/IP34),0)</f>
        <v/>
      </c>
      <c r="IX34" s="4">
        <f>IFERROR(((0+IO11+IO12+IO13+IO14+IO15+IO16+IO17+IO19+IO20+IO21+IO22+IO23+IO24+IO25+IO27+IO28+IO29+IO30+IO31+IO32+IO33)/T2),0)</f>
        <v/>
      </c>
      <c r="IY34" s="5">
        <f>IFERROR(ROUND(IO34/IQ34,2),0)</f>
        <v/>
      </c>
      <c r="IZ34" s="5">
        <f>IFERROR(ROUND(IO34/IR34,2),0)</f>
        <v/>
      </c>
      <c r="JA34" s="2" t="inlineStr">
        <is>
          <t>3 Weekly Total</t>
        </is>
      </c>
      <c r="JB34" s="5">
        <f>ROUND(4.44,2)</f>
        <v/>
      </c>
      <c r="JC34" s="3">
        <f>ROUND(12467.0,2)</f>
        <v/>
      </c>
      <c r="JD34" s="3">
        <f>ROUND(444.0,2)</f>
        <v/>
      </c>
      <c r="JE34" s="3">
        <f>ROUND(0.0,2)</f>
        <v/>
      </c>
      <c r="JF34" s="3">
        <f>ROUND(0.0,2)</f>
        <v/>
      </c>
      <c r="JG34" s="3">
        <f>ROUND(0.0,2)</f>
        <v/>
      </c>
      <c r="JH34" s="3">
        <f>ROUND(0.0,2)</f>
        <v/>
      </c>
      <c r="JI34" s="3">
        <f>ROUND(0.0,2)</f>
        <v/>
      </c>
      <c r="JJ34" s="4">
        <f>IFERROR((JD34/JC34),0)</f>
        <v/>
      </c>
      <c r="JK34" s="4">
        <f>IFERROR(((0+JB11+JB12+JB13+JB14+JB15+JB16+JB17+JB19+JB20+JB21+JB22+JB23+JB24+JB25+JB27+JB28+JB29+JB30+JB31+JB32+JB33)/T2),0)</f>
        <v/>
      </c>
      <c r="JL34" s="5">
        <f>IFERROR(ROUND(JB34/JD34,2),0)</f>
        <v/>
      </c>
      <c r="JM34" s="5">
        <f>IFERROR(ROUND(JB34/JE34,2),0)</f>
        <v/>
      </c>
      <c r="JN34" s="2" t="inlineStr">
        <is>
          <t>3 Weekly Total</t>
        </is>
      </c>
      <c r="JO34" s="5">
        <f>ROUND(2.19,2)</f>
        <v/>
      </c>
      <c r="JP34" s="3">
        <f>ROUND(5680.0,2)</f>
        <v/>
      </c>
      <c r="JQ34" s="3">
        <f>ROUND(219.0,2)</f>
        <v/>
      </c>
      <c r="JR34" s="3">
        <f>ROUND(0.0,2)</f>
        <v/>
      </c>
      <c r="JS34" s="3">
        <f>ROUND(0.0,2)</f>
        <v/>
      </c>
      <c r="JT34" s="3">
        <f>ROUND(0.0,2)</f>
        <v/>
      </c>
      <c r="JU34" s="3">
        <f>ROUND(0.0,2)</f>
        <v/>
      </c>
      <c r="JV34" s="3">
        <f>ROUND(0.0,2)</f>
        <v/>
      </c>
      <c r="JW34" s="4">
        <f>IFERROR((JQ34/JP34),0)</f>
        <v/>
      </c>
      <c r="JX34" s="4">
        <f>IFERROR(((0+JO11+JO12+JO13+JO14+JO15+JO16+JO17+JO19+JO20+JO21+JO22+JO23+JO24+JO25+JO27+JO28+JO29+JO30+JO31+JO32+JO33)/T2),0)</f>
        <v/>
      </c>
      <c r="JY34" s="5">
        <f>IFERROR(ROUND(JO34/JQ34,2),0)</f>
        <v/>
      </c>
      <c r="JZ34" s="5">
        <f>IFERROR(ROUND(JO34/JR34,2),0)</f>
        <v/>
      </c>
      <c r="KA34" s="2" t="inlineStr">
        <is>
          <t>3 Weekly Total</t>
        </is>
      </c>
      <c r="KB34" s="5">
        <f>ROUND(11.48,2)</f>
        <v/>
      </c>
      <c r="KC34" s="3">
        <f>ROUND(18508.0,2)</f>
        <v/>
      </c>
      <c r="KD34" s="3">
        <f>ROUND(1148.0,2)</f>
        <v/>
      </c>
      <c r="KE34" s="3">
        <f>ROUND(0.0,2)</f>
        <v/>
      </c>
      <c r="KF34" s="3">
        <f>ROUND(0.0,2)</f>
        <v/>
      </c>
      <c r="KG34" s="3">
        <f>ROUND(0.0,2)</f>
        <v/>
      </c>
      <c r="KH34" s="3">
        <f>ROUND(0.0,2)</f>
        <v/>
      </c>
      <c r="KI34" s="3">
        <f>ROUND(0.0,2)</f>
        <v/>
      </c>
      <c r="KJ34" s="4">
        <f>IFERROR((KD34/KC34),0)</f>
        <v/>
      </c>
      <c r="KK34" s="4">
        <f>IFERROR(((0+KB11+KB12+KB13+KB14+KB15+KB16+KB17+KB19+KB20+KB21+KB22+KB23+KB24+KB25+KB27+KB28+KB29+KB30+KB31+KB32+KB33)/T2),0)</f>
        <v/>
      </c>
      <c r="KL34" s="5">
        <f>IFERROR(ROUND(KB34/KD34,2),0)</f>
        <v/>
      </c>
      <c r="KM34" s="5">
        <f>IFERROR(ROUND(KB34/KE34,2),0)</f>
        <v/>
      </c>
      <c r="KN34" s="2" t="inlineStr">
        <is>
          <t>3 Weekly Total</t>
        </is>
      </c>
      <c r="KO34" s="5">
        <f>ROUND(6.01,2)</f>
        <v/>
      </c>
      <c r="KP34" s="3">
        <f>ROUND(33751.0,2)</f>
        <v/>
      </c>
      <c r="KQ34" s="3">
        <f>ROUND(601.0,2)</f>
        <v/>
      </c>
      <c r="KR34" s="3">
        <f>ROUND(0.0,2)</f>
        <v/>
      </c>
      <c r="KS34" s="3">
        <f>ROUND(0.0,2)</f>
        <v/>
      </c>
      <c r="KT34" s="3">
        <f>ROUND(0.0,2)</f>
        <v/>
      </c>
      <c r="KU34" s="3">
        <f>ROUND(0.0,2)</f>
        <v/>
      </c>
      <c r="KV34" s="3">
        <f>ROUND(0.0,2)</f>
        <v/>
      </c>
      <c r="KW34" s="4">
        <f>IFERROR((KQ34/KP34),0)</f>
        <v/>
      </c>
      <c r="KX34" s="4">
        <f>IFERROR(((0+KO11+KO12+KO13+KO14+KO15+KO16+KO17+KO19+KO20+KO21+KO22+KO23+KO24+KO25+KO27+KO28+KO29+KO30+KO31+KO32+KO33)/T2),0)</f>
        <v/>
      </c>
      <c r="KY34" s="5">
        <f>IFERROR(ROUND(KO34/KQ34,2),0)</f>
        <v/>
      </c>
      <c r="KZ34" s="5">
        <f>IFERROR(ROUND(KO34/KR34,2),0)</f>
        <v/>
      </c>
      <c r="LA34" s="2" t="inlineStr">
        <is>
          <t>3 Weekly Total</t>
        </is>
      </c>
      <c r="LB34" s="5">
        <f>ROUND(3.97,2)</f>
        <v/>
      </c>
      <c r="LC34" s="3">
        <f>ROUND(18834.0,2)</f>
        <v/>
      </c>
      <c r="LD34" s="3">
        <f>ROUND(397.0,2)</f>
        <v/>
      </c>
      <c r="LE34" s="3">
        <f>ROUND(0.0,2)</f>
        <v/>
      </c>
      <c r="LF34" s="3">
        <f>ROUND(0.0,2)</f>
        <v/>
      </c>
      <c r="LG34" s="3">
        <f>ROUND(0.0,2)</f>
        <v/>
      </c>
      <c r="LH34" s="3">
        <f>ROUND(0.0,2)</f>
        <v/>
      </c>
      <c r="LI34" s="3">
        <f>ROUND(0.0,2)</f>
        <v/>
      </c>
      <c r="LJ34" s="4">
        <f>IFERROR((LD34/LC34),0)</f>
        <v/>
      </c>
      <c r="LK34" s="4">
        <f>IFERROR(((0+LB11+LB12+LB13+LB14+LB15+LB16+LB17+LB19+LB20+LB21+LB22+LB23+LB24+LB25+LB27+LB28+LB29+LB30+LB31+LB32+LB33)/T2),0)</f>
        <v/>
      </c>
      <c r="LL34" s="5">
        <f>IFERROR(ROUND(LB34/LD34,2),0)</f>
        <v/>
      </c>
      <c r="LM34" s="5">
        <f>IFERROR(ROUND(LB34/LE34,2),0)</f>
        <v/>
      </c>
      <c r="LN34" s="2" t="inlineStr">
        <is>
          <t>3 Weekly Total</t>
        </is>
      </c>
      <c r="LO34" s="5">
        <f>ROUND(2.76,2)</f>
        <v/>
      </c>
      <c r="LP34" s="3">
        <f>ROUND(16121.0,2)</f>
        <v/>
      </c>
      <c r="LQ34" s="3">
        <f>ROUND(276.0,2)</f>
        <v/>
      </c>
      <c r="LR34" s="3">
        <f>ROUND(0.0,2)</f>
        <v/>
      </c>
      <c r="LS34" s="3">
        <f>ROUND(0.0,2)</f>
        <v/>
      </c>
      <c r="LT34" s="3">
        <f>ROUND(0.0,2)</f>
        <v/>
      </c>
      <c r="LU34" s="3">
        <f>ROUND(0.0,2)</f>
        <v/>
      </c>
      <c r="LV34" s="3">
        <f>ROUND(0.0,2)</f>
        <v/>
      </c>
      <c r="LW34" s="4">
        <f>IFERROR((LQ34/LP34),0)</f>
        <v/>
      </c>
      <c r="LX34" s="4">
        <f>IFERROR(((0+LO11+LO12+LO13+LO14+LO15+LO16+LO17+LO19+LO20+LO21+LO22+LO23+LO24+LO25+LO27+LO28+LO29+LO30+LO31+LO32+LO33)/T2),0)</f>
        <v/>
      </c>
      <c r="LY34" s="5">
        <f>IFERROR(ROUND(LO34/LQ34,2),0)</f>
        <v/>
      </c>
      <c r="LZ34" s="5">
        <f>IFERROR(ROUND(LO34/LR34,2),0)</f>
        <v/>
      </c>
      <c r="MA34" s="2" t="inlineStr">
        <is>
          <t>3 Weekly Total</t>
        </is>
      </c>
      <c r="MB34" s="5">
        <f>ROUND(9.72,2)</f>
        <v/>
      </c>
      <c r="MC34" s="3">
        <f>ROUND(36551.0,2)</f>
        <v/>
      </c>
      <c r="MD34" s="3">
        <f>ROUND(972.0,2)</f>
        <v/>
      </c>
      <c r="ME34" s="3">
        <f>ROUND(0.0,2)</f>
        <v/>
      </c>
      <c r="MF34" s="3">
        <f>ROUND(0.0,2)</f>
        <v/>
      </c>
      <c r="MG34" s="3">
        <f>ROUND(0.0,2)</f>
        <v/>
      </c>
      <c r="MH34" s="3">
        <f>ROUND(0.0,2)</f>
        <v/>
      </c>
      <c r="MI34" s="3">
        <f>ROUND(0.0,2)</f>
        <v/>
      </c>
      <c r="MJ34" s="4">
        <f>IFERROR((MD34/MC34),0)</f>
        <v/>
      </c>
      <c r="MK34" s="4">
        <f>IFERROR(((0+MB11+MB12+MB13+MB14+MB15+MB16+MB17+MB19+MB20+MB21+MB22+MB23+MB24+MB25+MB27+MB28+MB29+MB30+MB31+MB32+MB33)/T2),0)</f>
        <v/>
      </c>
      <c r="ML34" s="5">
        <f>IFERROR(ROUND(MB34/MD34,2),0)</f>
        <v/>
      </c>
      <c r="MM34" s="5">
        <f>IFERROR(ROUND(MB34/ME34,2),0)</f>
        <v/>
      </c>
      <c r="MN34" s="2" t="inlineStr">
        <is>
          <t>3 Weekly Total</t>
        </is>
      </c>
      <c r="MO34" s="5">
        <f>ROUND(19.05,2)</f>
        <v/>
      </c>
      <c r="MP34" s="3">
        <f>ROUND(35293.0,2)</f>
        <v/>
      </c>
      <c r="MQ34" s="3">
        <f>ROUND(1905.0,2)</f>
        <v/>
      </c>
      <c r="MR34" s="3">
        <f>ROUND(0.0,2)</f>
        <v/>
      </c>
      <c r="MS34" s="3">
        <f>ROUND(0.0,2)</f>
        <v/>
      </c>
      <c r="MT34" s="3">
        <f>ROUND(0.0,2)</f>
        <v/>
      </c>
      <c r="MU34" s="3">
        <f>ROUND(0.0,2)</f>
        <v/>
      </c>
      <c r="MV34" s="3">
        <f>ROUND(0.0,2)</f>
        <v/>
      </c>
      <c r="MW34" s="4">
        <f>IFERROR((MQ34/MP34),0)</f>
        <v/>
      </c>
      <c r="MX34" s="4">
        <f>IFERROR(((0+MO11+MO12+MO13+MO14+MO15+MO16+MO17+MO19+MO20+MO21+MO22+MO23+MO24+MO25+MO27+MO28+MO29+MO30+MO31+MO32+MO33)/T2),0)</f>
        <v/>
      </c>
      <c r="MY34" s="5">
        <f>IFERROR(ROUND(MO34/MQ34,2),0)</f>
        <v/>
      </c>
      <c r="MZ34" s="5">
        <f>IFERROR(ROUND(MO34/MR34,2),0)</f>
        <v/>
      </c>
      <c r="NA34" s="2" t="inlineStr">
        <is>
          <t>3 Weekly Total</t>
        </is>
      </c>
      <c r="NB34" s="5">
        <f>ROUND(8.19,2)</f>
        <v/>
      </c>
      <c r="NC34" s="3">
        <f>ROUND(35483.0,2)</f>
        <v/>
      </c>
      <c r="ND34" s="3">
        <f>ROUND(819.0,2)</f>
        <v/>
      </c>
      <c r="NE34" s="3">
        <f>ROUND(0.0,2)</f>
        <v/>
      </c>
      <c r="NF34" s="3">
        <f>ROUND(0.0,2)</f>
        <v/>
      </c>
      <c r="NG34" s="3">
        <f>ROUND(0.0,2)</f>
        <v/>
      </c>
      <c r="NH34" s="3">
        <f>ROUND(0.0,2)</f>
        <v/>
      </c>
      <c r="NI34" s="3">
        <f>ROUND(0.0,2)</f>
        <v/>
      </c>
      <c r="NJ34" s="4">
        <f>IFERROR((ND34/NC34),0)</f>
        <v/>
      </c>
      <c r="NK34" s="4">
        <f>IFERROR(((0+NB11+NB12+NB13+NB14+NB15+NB16+NB17+NB19+NB20+NB21+NB22+NB23+NB24+NB25+NB27+NB28+NB29+NB30+NB31+NB32+NB33)/T2),0)</f>
        <v/>
      </c>
      <c r="NL34" s="5">
        <f>IFERROR(ROUND(NB34/ND34,2),0)</f>
        <v/>
      </c>
      <c r="NM34" s="5">
        <f>IFERROR(ROUND(NB34/NE34,2),0)</f>
        <v/>
      </c>
      <c r="NN34" s="2" t="inlineStr">
        <is>
          <t>3 Weekly Total</t>
        </is>
      </c>
      <c r="NO34" s="5">
        <f>ROUND(0.9,2)</f>
        <v/>
      </c>
      <c r="NP34" s="3">
        <f>ROUND(3083.0,2)</f>
        <v/>
      </c>
      <c r="NQ34" s="3">
        <f>ROUND(90.0,2)</f>
        <v/>
      </c>
      <c r="NR34" s="3">
        <f>ROUND(0.0,2)</f>
        <v/>
      </c>
      <c r="NS34" s="3">
        <f>ROUND(0.0,2)</f>
        <v/>
      </c>
      <c r="NT34" s="3">
        <f>ROUND(0.0,2)</f>
        <v/>
      </c>
      <c r="NU34" s="3">
        <f>ROUND(0.0,2)</f>
        <v/>
      </c>
      <c r="NV34" s="3">
        <f>ROUND(0.0,2)</f>
        <v/>
      </c>
      <c r="NW34" s="4">
        <f>IFERROR((NQ34/NP34),0)</f>
        <v/>
      </c>
      <c r="NX34" s="4">
        <f>IFERROR(((0+NO11+NO12+NO13+NO14+NO15+NO16+NO17+NO19+NO20+NO21+NO22+NO23+NO24+NO25+NO27+NO28+NO29+NO30+NO31+NO32+NO33)/T2),0)</f>
        <v/>
      </c>
      <c r="NY34" s="5">
        <f>IFERROR(ROUND(NO34/NQ34,2),0)</f>
        <v/>
      </c>
      <c r="NZ34" s="5">
        <f>IFERROR(ROUND(NO34/NR34,2),0)</f>
        <v/>
      </c>
      <c r="OA34" s="2" t="inlineStr">
        <is>
          <t>3 Weekly Total</t>
        </is>
      </c>
      <c r="OB34" s="5">
        <f>ROUND(4.5,2)</f>
        <v/>
      </c>
      <c r="OC34" s="3">
        <f>ROUND(9528.0,2)</f>
        <v/>
      </c>
      <c r="OD34" s="3">
        <f>ROUND(450.0,2)</f>
        <v/>
      </c>
      <c r="OE34" s="3">
        <f>ROUND(0.0,2)</f>
        <v/>
      </c>
      <c r="OF34" s="3">
        <f>ROUND(0.0,2)</f>
        <v/>
      </c>
      <c r="OG34" s="3">
        <f>ROUND(0.0,2)</f>
        <v/>
      </c>
      <c r="OH34" s="3">
        <f>ROUND(0.0,2)</f>
        <v/>
      </c>
      <c r="OI34" s="3">
        <f>ROUND(0.0,2)</f>
        <v/>
      </c>
      <c r="OJ34" s="4">
        <f>IFERROR((OD34/OC34),0)</f>
        <v/>
      </c>
      <c r="OK34" s="4">
        <f>IFERROR(((0+OB11+OB12+OB13+OB14+OB15+OB16+OB17+OB19+OB20+OB21+OB22+OB23+OB24+OB25+OB27+OB28+OB29+OB30+OB31+OB32+OB33)/T2),0)</f>
        <v/>
      </c>
      <c r="OL34" s="5">
        <f>IFERROR(ROUND(OB34/OD34,2),0)</f>
        <v/>
      </c>
      <c r="OM34" s="5">
        <f>IFERROR(ROUND(OB34/OE34,2),0)</f>
        <v/>
      </c>
      <c r="ON34" s="2" t="inlineStr">
        <is>
          <t>3 Weekly Total</t>
        </is>
      </c>
      <c r="OO34" s="5">
        <f>ROUND(2.51,2)</f>
        <v/>
      </c>
      <c r="OP34" s="3">
        <f>ROUND(6955.0,2)</f>
        <v/>
      </c>
      <c r="OQ34" s="3">
        <f>ROUND(251.0,2)</f>
        <v/>
      </c>
      <c r="OR34" s="3">
        <f>ROUND(0.0,2)</f>
        <v/>
      </c>
      <c r="OS34" s="3">
        <f>ROUND(0.0,2)</f>
        <v/>
      </c>
      <c r="OT34" s="3">
        <f>ROUND(0.0,2)</f>
        <v/>
      </c>
      <c r="OU34" s="3">
        <f>ROUND(0.0,2)</f>
        <v/>
      </c>
      <c r="OV34" s="3">
        <f>ROUND(0.0,2)</f>
        <v/>
      </c>
      <c r="OW34" s="4">
        <f>IFERROR((OQ34/OP34),0)</f>
        <v/>
      </c>
      <c r="OX34" s="4">
        <f>IFERROR(((0+OO11+OO12+OO13+OO14+OO15+OO16+OO17+OO19+OO20+OO21+OO22+OO23+OO24+OO25+OO27+OO28+OO29+OO30+OO31+OO32+OO33)/T2),0)</f>
        <v/>
      </c>
      <c r="OY34" s="5">
        <f>IFERROR(ROUND(OO34/OQ34,2),0)</f>
        <v/>
      </c>
      <c r="OZ34" s="5">
        <f>IFERROR(ROUND(OO34/OR34,2),0)</f>
        <v/>
      </c>
      <c r="PA34" s="2" t="inlineStr">
        <is>
          <t>3 Weekly Total</t>
        </is>
      </c>
      <c r="PB34" s="5">
        <f>ROUND(7.9,2)</f>
        <v/>
      </c>
      <c r="PC34" s="3">
        <f>ROUND(13840.0,2)</f>
        <v/>
      </c>
      <c r="PD34" s="3">
        <f>ROUND(790.0,2)</f>
        <v/>
      </c>
      <c r="PE34" s="3">
        <f>ROUND(0.0,2)</f>
        <v/>
      </c>
      <c r="PF34" s="3">
        <f>ROUND(0.0,2)</f>
        <v/>
      </c>
      <c r="PG34" s="3">
        <f>ROUND(0.0,2)</f>
        <v/>
      </c>
      <c r="PH34" s="3">
        <f>ROUND(0.0,2)</f>
        <v/>
      </c>
      <c r="PI34" s="3">
        <f>ROUND(0.0,2)</f>
        <v/>
      </c>
      <c r="PJ34" s="4">
        <f>IFERROR((PD34/PC34),0)</f>
        <v/>
      </c>
      <c r="PK34" s="4">
        <f>IFERROR(((0+PB11+PB12+PB13+PB14+PB15+PB16+PB17+PB19+PB20+PB21+PB22+PB23+PB24+PB25+PB27+PB28+PB29+PB30+PB31+PB32+PB33)/T2),0)</f>
        <v/>
      </c>
      <c r="PL34" s="5">
        <f>IFERROR(ROUND(PB34/PD34,2),0)</f>
        <v/>
      </c>
      <c r="PM34" s="5">
        <f>IFERROR(ROUND(PB34/PE34,2),0)</f>
        <v/>
      </c>
      <c r="PN34" s="2" t="inlineStr">
        <is>
          <t>3 Weekly Total</t>
        </is>
      </c>
      <c r="PO34" s="5">
        <f>ROUND(1.46,2)</f>
        <v/>
      </c>
      <c r="PP34" s="3">
        <f>ROUND(3673.0,2)</f>
        <v/>
      </c>
      <c r="PQ34" s="3">
        <f>ROUND(146.0,2)</f>
        <v/>
      </c>
      <c r="PR34" s="3">
        <f>ROUND(0.0,2)</f>
        <v/>
      </c>
      <c r="PS34" s="3">
        <f>ROUND(0.0,2)</f>
        <v/>
      </c>
      <c r="PT34" s="3">
        <f>ROUND(0.0,2)</f>
        <v/>
      </c>
      <c r="PU34" s="3">
        <f>ROUND(0.0,2)</f>
        <v/>
      </c>
      <c r="PV34" s="3">
        <f>ROUND(0.0,2)</f>
        <v/>
      </c>
      <c r="PW34" s="4">
        <f>IFERROR((PQ34/PP34),0)</f>
        <v/>
      </c>
      <c r="PX34" s="4">
        <f>IFERROR(((0+PO11+PO12+PO13+PO14+PO15+PO16+PO17+PO19+PO20+PO21+PO22+PO23+PO24+PO25+PO27+PO28+PO29+PO30+PO31+PO32+PO33)/T2),0)</f>
        <v/>
      </c>
      <c r="PY34" s="5">
        <f>IFERROR(ROUND(PO34/PQ34,2),0)</f>
        <v/>
      </c>
      <c r="PZ34" s="5">
        <f>IFERROR(ROUND(PO34/PR34,2),0)</f>
        <v/>
      </c>
      <c r="QA34" s="2" t="inlineStr">
        <is>
          <t>3 Weekly Total</t>
        </is>
      </c>
      <c r="QB34" s="5">
        <f>ROUND(3.56,2)</f>
        <v/>
      </c>
      <c r="QC34" s="3">
        <f>ROUND(10219.0,2)</f>
        <v/>
      </c>
      <c r="QD34" s="3">
        <f>ROUND(356.0,2)</f>
        <v/>
      </c>
      <c r="QE34" s="3">
        <f>ROUND(0.0,2)</f>
        <v/>
      </c>
      <c r="QF34" s="3">
        <f>ROUND(0.0,2)</f>
        <v/>
      </c>
      <c r="QG34" s="3">
        <f>ROUND(0.0,2)</f>
        <v/>
      </c>
      <c r="QH34" s="3">
        <f>ROUND(0.0,2)</f>
        <v/>
      </c>
      <c r="QI34" s="3">
        <f>ROUND(0.0,2)</f>
        <v/>
      </c>
      <c r="QJ34" s="4">
        <f>IFERROR((QD34/QC34),0)</f>
        <v/>
      </c>
      <c r="QK34" s="4">
        <f>IFERROR(((0+QB11+QB12+QB13+QB14+QB15+QB16+QB17+QB19+QB20+QB21+QB22+QB23+QB24+QB25+QB27+QB28+QB29+QB30+QB31+QB32+QB33)/T2),0)</f>
        <v/>
      </c>
      <c r="QL34" s="5">
        <f>IFERROR(ROUND(QB34/QD34,2),0)</f>
        <v/>
      </c>
      <c r="QM34" s="5">
        <f>IFERROR(ROUND(QB34/QE34,2),0)</f>
        <v/>
      </c>
      <c r="QN34" s="2" t="inlineStr">
        <is>
          <t>3 Weekly Total</t>
        </is>
      </c>
      <c r="QO34" s="5">
        <f>ROUND(4.18,2)</f>
        <v/>
      </c>
      <c r="QP34" s="3">
        <f>ROUND(22511.0,2)</f>
        <v/>
      </c>
      <c r="QQ34" s="3">
        <f>ROUND(418.0,2)</f>
        <v/>
      </c>
      <c r="QR34" s="3">
        <f>ROUND(0.0,2)</f>
        <v/>
      </c>
      <c r="QS34" s="3">
        <f>ROUND(0.0,2)</f>
        <v/>
      </c>
      <c r="QT34" s="3">
        <f>ROUND(0.0,2)</f>
        <v/>
      </c>
      <c r="QU34" s="3">
        <f>ROUND(0.0,2)</f>
        <v/>
      </c>
      <c r="QV34" s="3">
        <f>ROUND(0.0,2)</f>
        <v/>
      </c>
      <c r="QW34" s="4">
        <f>IFERROR((QQ34/QP34),0)</f>
        <v/>
      </c>
      <c r="QX34" s="4">
        <f>IFERROR(((0+QO11+QO12+QO13+QO14+QO15+QO16+QO17+QO19+QO20+QO21+QO22+QO23+QO24+QO25+QO27+QO28+QO29+QO30+QO31+QO32+QO33)/T2),0)</f>
        <v/>
      </c>
      <c r="QY34" s="5">
        <f>IFERROR(ROUND(QO34/QQ34,2),0)</f>
        <v/>
      </c>
      <c r="QZ34" s="5">
        <f>IFERROR(ROUND(QO34/QR34,2),0)</f>
        <v/>
      </c>
      <c r="RA34" s="2" t="inlineStr">
        <is>
          <t>3 Weekly Total</t>
        </is>
      </c>
      <c r="RB34" s="5">
        <f>ROUND(5.43,2)</f>
        <v/>
      </c>
      <c r="RC34" s="3">
        <f>ROUND(8564.0,2)</f>
        <v/>
      </c>
      <c r="RD34" s="3">
        <f>ROUND(543.0,2)</f>
        <v/>
      </c>
      <c r="RE34" s="3">
        <f>ROUND(0.0,2)</f>
        <v/>
      </c>
      <c r="RF34" s="3">
        <f>ROUND(0.0,2)</f>
        <v/>
      </c>
      <c r="RG34" s="3">
        <f>ROUND(0.0,2)</f>
        <v/>
      </c>
      <c r="RH34" s="3">
        <f>ROUND(0.0,2)</f>
        <v/>
      </c>
      <c r="RI34" s="3">
        <f>ROUND(0.0,2)</f>
        <v/>
      </c>
      <c r="RJ34" s="4">
        <f>IFERROR((RD34/RC34),0)</f>
        <v/>
      </c>
      <c r="RK34" s="4">
        <f>IFERROR(((0+RB11+RB12+RB13+RB14+RB15+RB16+RB17+RB19+RB20+RB21+RB22+RB23+RB24+RB25+RB27+RB28+RB29+RB30+RB31+RB32+RB33)/T2),0)</f>
        <v/>
      </c>
      <c r="RL34" s="5">
        <f>IFERROR(ROUND(RB34/RD34,2),0)</f>
        <v/>
      </c>
      <c r="RM34" s="5">
        <f>IFERROR(ROUND(RB34/RE34,2),0)</f>
        <v/>
      </c>
      <c r="RN34" s="2" t="inlineStr">
        <is>
          <t>3 Weekly Total</t>
        </is>
      </c>
      <c r="RO34" s="5">
        <f>ROUND(1.74,2)</f>
        <v/>
      </c>
      <c r="RP34" s="3">
        <f>ROUND(3712.0,2)</f>
        <v/>
      </c>
      <c r="RQ34" s="3">
        <f>ROUND(174.0,2)</f>
        <v/>
      </c>
      <c r="RR34" s="3">
        <f>ROUND(0.0,2)</f>
        <v/>
      </c>
      <c r="RS34" s="3">
        <f>ROUND(0.0,2)</f>
        <v/>
      </c>
      <c r="RT34" s="3">
        <f>ROUND(0.0,2)</f>
        <v/>
      </c>
      <c r="RU34" s="3">
        <f>ROUND(0.0,2)</f>
        <v/>
      </c>
      <c r="RV34" s="3">
        <f>ROUND(0.0,2)</f>
        <v/>
      </c>
      <c r="RW34" s="4">
        <f>IFERROR((RQ34/RP34),0)</f>
        <v/>
      </c>
      <c r="RX34" s="4">
        <f>IFERROR(((0+RO11+RO12+RO13+RO14+RO15+RO16+RO17+RO19+RO20+RO21+RO22+RO23+RO24+RO25+RO27+RO28+RO29+RO30+RO31+RO32+RO33)/T2),0)</f>
        <v/>
      </c>
      <c r="RY34" s="5">
        <f>IFERROR(ROUND(RO34/RQ34,2),0)</f>
        <v/>
      </c>
      <c r="RZ34" s="5">
        <f>IFERROR(ROUND(RO34/RR34,2),0)</f>
        <v/>
      </c>
      <c r="SA34" s="2" t="inlineStr">
        <is>
          <t>3 Weekly Total</t>
        </is>
      </c>
      <c r="SB34" s="5">
        <f>ROUND(10.23,2)</f>
        <v/>
      </c>
      <c r="SC34" s="3">
        <f>ROUND(24726.0,2)</f>
        <v/>
      </c>
      <c r="SD34" s="3">
        <f>ROUND(1022.0,2)</f>
        <v/>
      </c>
      <c r="SE34" s="3">
        <f>ROUND(0.0,2)</f>
        <v/>
      </c>
      <c r="SF34" s="3">
        <f>ROUND(0.0,2)</f>
        <v/>
      </c>
      <c r="SG34" s="3">
        <f>ROUND(0.0,2)</f>
        <v/>
      </c>
      <c r="SH34" s="3">
        <f>ROUND(0.0,2)</f>
        <v/>
      </c>
      <c r="SI34" s="3">
        <f>ROUND(0.0,2)</f>
        <v/>
      </c>
      <c r="SJ34" s="4">
        <f>IFERROR((SD34/SC34),0)</f>
        <v/>
      </c>
      <c r="SK34" s="4">
        <f>IFERROR(((0+SB11+SB12+SB13+SB14+SB15+SB16+SB17+SB19+SB20+SB21+SB22+SB23+SB24+SB25+SB27+SB28+SB29+SB30+SB31+SB32+SB33)/T2),0)</f>
        <v/>
      </c>
      <c r="SL34" s="5">
        <f>IFERROR(ROUND(SB34/SD34,2),0)</f>
        <v/>
      </c>
      <c r="SM34" s="5">
        <f>IFERROR(ROUND(SB34/SE34,2),0)</f>
        <v/>
      </c>
      <c r="SN34" s="2" t="inlineStr">
        <is>
          <t>3 Weekly Total</t>
        </is>
      </c>
      <c r="SO34" s="5">
        <f>ROUND(2.66,2)</f>
        <v/>
      </c>
      <c r="SP34" s="3">
        <f>ROUND(10410.0,2)</f>
        <v/>
      </c>
      <c r="SQ34" s="3">
        <f>ROUND(266.0,2)</f>
        <v/>
      </c>
      <c r="SR34" s="3">
        <f>ROUND(0.0,2)</f>
        <v/>
      </c>
      <c r="SS34" s="3">
        <f>ROUND(0.0,2)</f>
        <v/>
      </c>
      <c r="ST34" s="3">
        <f>ROUND(0.0,2)</f>
        <v/>
      </c>
      <c r="SU34" s="3">
        <f>ROUND(0.0,2)</f>
        <v/>
      </c>
      <c r="SV34" s="3">
        <f>ROUND(0.0,2)</f>
        <v/>
      </c>
      <c r="SW34" s="4">
        <f>IFERROR((SQ34/SP34),0)</f>
        <v/>
      </c>
      <c r="SX34" s="4">
        <f>IFERROR(((0+SO11+SO12+SO13+SO14+SO15+SO16+SO17+SO19+SO20+SO21+SO22+SO23+SO24+SO25+SO27+SO28+SO29+SO30+SO31+SO32+SO33)/T2),0)</f>
        <v/>
      </c>
      <c r="SY34" s="5">
        <f>IFERROR(ROUND(SO34/SQ34,2),0)</f>
        <v/>
      </c>
      <c r="SZ34" s="5">
        <f>IFERROR(ROUND(SO34/SR34,2),0)</f>
        <v/>
      </c>
    </row>
    <row r="35">
      <c r="A35" s="2" t="inlineStr">
        <is>
          <t>2023-10-11</t>
        </is>
      </c>
      <c r="B35" s="5">
        <f>ROUND(41.08,2)</f>
        <v/>
      </c>
      <c r="C35" s="3">
        <f>ROUND(98296.0,2)</f>
        <v/>
      </c>
      <c r="D35" s="3">
        <f>ROUND(4108.0,2)</f>
        <v/>
      </c>
      <c r="E35" s="3">
        <f>ROUND(0.0,2)</f>
        <v/>
      </c>
      <c r="F35" s="3">
        <f>ROUND(0.0,2)</f>
        <v/>
      </c>
      <c r="G35" s="3">
        <f>ROUND(0.0,2)</f>
        <v/>
      </c>
      <c r="H35" s="3">
        <f>ROUND(0.0,2)</f>
        <v/>
      </c>
      <c r="I35" s="3">
        <f>ROUND(0.0,2)</f>
        <v/>
      </c>
      <c r="J35" s="4">
        <f>IFERROR((D35/C35),0)</f>
        <v/>
      </c>
      <c r="K35" s="4">
        <f>IFERROR(((0+B11+B12+B13+B14+B15+B16+B17+B19+B20+B21+B22+B23+B24+B25+B27+B28+B29+B30+B31+B32+B33+B35)/T2),0)</f>
        <v/>
      </c>
      <c r="L35" s="5">
        <f>IFERROR(ROUND(B35/D35,2),0)</f>
        <v/>
      </c>
      <c r="M35" s="5">
        <f>IFERROR(ROUND(B35/E35,2),0)</f>
        <v/>
      </c>
      <c r="N35" s="2" t="inlineStr">
        <is>
          <t>2023-10-11</t>
        </is>
      </c>
      <c r="O35" s="5">
        <f>ROUND(4.53,2)</f>
        <v/>
      </c>
      <c r="P35" s="3">
        <f>ROUND(6612.0,2)</f>
        <v/>
      </c>
      <c r="Q35" s="3">
        <f>ROUND(453.0,2)</f>
        <v/>
      </c>
      <c r="R35" s="3">
        <f>ROUND(0.0,2)</f>
        <v/>
      </c>
      <c r="S35" s="3">
        <f>ROUND(0.0,2)</f>
        <v/>
      </c>
      <c r="T35" s="3">
        <f>ROUND(0.0,2)</f>
        <v/>
      </c>
      <c r="U35" s="3">
        <f>ROUND(0.0,2)</f>
        <v/>
      </c>
      <c r="V35" s="3">
        <f>ROUND(0.0,2)</f>
        <v/>
      </c>
      <c r="W35" s="4">
        <f>IFERROR((Q35/P35),0)</f>
        <v/>
      </c>
      <c r="X35" s="4">
        <f>IFERROR(((0+O11+O12+O13+O14+O15+O16+O17+O19+O20+O21+O22+O23+O24+O25+O27+O28+O29+O30+O31+O32+O33+O35)/T2),0)</f>
        <v/>
      </c>
      <c r="Y35" s="5">
        <f>IFERROR(ROUND(O35/Q35,2),0)</f>
        <v/>
      </c>
      <c r="Z35" s="5">
        <f>IFERROR(ROUND(O35/R35,2),0)</f>
        <v/>
      </c>
      <c r="AA35" s="2" t="inlineStr">
        <is>
          <t>2023-10-11</t>
        </is>
      </c>
      <c r="AB35" s="5">
        <f>ROUND(0.16,2)</f>
        <v/>
      </c>
      <c r="AC35" s="3">
        <f>ROUND(363.0,2)</f>
        <v/>
      </c>
      <c r="AD35" s="3">
        <f>ROUND(16.0,2)</f>
        <v/>
      </c>
      <c r="AE35" s="3">
        <f>ROUND(0.0,2)</f>
        <v/>
      </c>
      <c r="AF35" s="3">
        <f>ROUND(0.0,2)</f>
        <v/>
      </c>
      <c r="AG35" s="3">
        <f>ROUND(0.0,2)</f>
        <v/>
      </c>
      <c r="AH35" s="3">
        <f>ROUND(0.0,2)</f>
        <v/>
      </c>
      <c r="AI35" s="3">
        <f>ROUND(0.0,2)</f>
        <v/>
      </c>
      <c r="AJ35" s="4">
        <f>IFERROR((AD35/AC35),0)</f>
        <v/>
      </c>
      <c r="AK35" s="4">
        <f>IFERROR(((0+AB11+AB12+AB13+AB14+AB15+AB16+AB17+AB19+AB20+AB21+AB22+AB23+AB24+AB25+AB27+AB28+AB29+AB30+AB31+AB32+AB33+AB35)/T2),0)</f>
        <v/>
      </c>
      <c r="AL35" s="5">
        <f>IFERROR(ROUND(AB35/AD35,2),0)</f>
        <v/>
      </c>
      <c r="AM35" s="5">
        <f>IFERROR(ROUND(AB35/AE35,2),0)</f>
        <v/>
      </c>
      <c r="AN35" s="2" t="inlineStr">
        <is>
          <t>2023-10-11</t>
        </is>
      </c>
      <c r="AO35" s="5">
        <f>ROUND(2.44,2)</f>
        <v/>
      </c>
      <c r="AP35" s="3">
        <f>ROUND(7528.0,2)</f>
        <v/>
      </c>
      <c r="AQ35" s="3">
        <f>ROUND(244.0,2)</f>
        <v/>
      </c>
      <c r="AR35" s="3">
        <f>ROUND(0.0,2)</f>
        <v/>
      </c>
      <c r="AS35" s="3">
        <f>ROUND(0.0,2)</f>
        <v/>
      </c>
      <c r="AT35" s="3">
        <f>ROUND(0.0,2)</f>
        <v/>
      </c>
      <c r="AU35" s="3">
        <f>ROUND(0.0,2)</f>
        <v/>
      </c>
      <c r="AV35" s="3">
        <f>ROUND(0.0,2)</f>
        <v/>
      </c>
      <c r="AW35" s="4">
        <f>IFERROR((AQ35/AP35),0)</f>
        <v/>
      </c>
      <c r="AX35" s="4">
        <f>IFERROR(((0+AO11+AO12+AO13+AO14+AO15+AO16+AO17+AO19+AO20+AO21+AO22+AO23+AO24+AO25+AO27+AO28+AO29+AO30+AO31+AO32+AO33+AO35)/T2),0)</f>
        <v/>
      </c>
      <c r="AY35" s="5">
        <f>IFERROR(ROUND(AO35/AQ35,2),0)</f>
        <v/>
      </c>
      <c r="AZ35" s="5">
        <f>IFERROR(ROUND(AO35/AR35,2),0)</f>
        <v/>
      </c>
      <c r="BA35" s="2" t="inlineStr">
        <is>
          <t>2023-10-11</t>
        </is>
      </c>
      <c r="BB35" s="5">
        <f>ROUND(0.08,2)</f>
        <v/>
      </c>
      <c r="BC35" s="3">
        <f>ROUND(289.0,2)</f>
        <v/>
      </c>
      <c r="BD35" s="3">
        <f>ROUND(8.0,2)</f>
        <v/>
      </c>
      <c r="BE35" s="3">
        <f>ROUND(0.0,2)</f>
        <v/>
      </c>
      <c r="BF35" s="3">
        <f>ROUND(0.0,2)</f>
        <v/>
      </c>
      <c r="BG35" s="3">
        <f>ROUND(0.0,2)</f>
        <v/>
      </c>
      <c r="BH35" s="3">
        <f>ROUND(0.0,2)</f>
        <v/>
      </c>
      <c r="BI35" s="3">
        <f>ROUND(0.0,2)</f>
        <v/>
      </c>
      <c r="BJ35" s="4">
        <f>IFERROR((BD35/BC35),0)</f>
        <v/>
      </c>
      <c r="BK35" s="4">
        <f>IFERROR(((0+BB11+BB12+BB13+BB14+BB15+BB16+BB17+BB19+BB20+BB21+BB22+BB23+BB24+BB25+BB27+BB28+BB29+BB30+BB31+BB32+BB33+BB35)/T2),0)</f>
        <v/>
      </c>
      <c r="BL35" s="5">
        <f>IFERROR(ROUND(BB35/BD35,2),0)</f>
        <v/>
      </c>
      <c r="BM35" s="5">
        <f>IFERROR(ROUND(BB35/BE35,2),0)</f>
        <v/>
      </c>
      <c r="BN35" s="2" t="inlineStr">
        <is>
          <t>2023-10-11</t>
        </is>
      </c>
      <c r="BO35" s="5">
        <f>ROUND(0.36,2)</f>
        <v/>
      </c>
      <c r="BP35" s="3">
        <f>ROUND(531.0,2)</f>
        <v/>
      </c>
      <c r="BQ35" s="3">
        <f>ROUND(36.0,2)</f>
        <v/>
      </c>
      <c r="BR35" s="3">
        <f>ROUND(0.0,2)</f>
        <v/>
      </c>
      <c r="BS35" s="3">
        <f>ROUND(0.0,2)</f>
        <v/>
      </c>
      <c r="BT35" s="3">
        <f>ROUND(0.0,2)</f>
        <v/>
      </c>
      <c r="BU35" s="3">
        <f>ROUND(0.0,2)</f>
        <v/>
      </c>
      <c r="BV35" s="3">
        <f>ROUND(0.0,2)</f>
        <v/>
      </c>
      <c r="BW35" s="4">
        <f>IFERROR((BQ35/BP35),0)</f>
        <v/>
      </c>
      <c r="BX35" s="4">
        <f>IFERROR(((0+BO11+BO12+BO13+BO14+BO15+BO16+BO17+BO19+BO20+BO21+BO22+BO23+BO24+BO25+BO27+BO28+BO29+BO30+BO31+BO32+BO33+BO35)/T2),0)</f>
        <v/>
      </c>
      <c r="BY35" s="5">
        <f>IFERROR(ROUND(BO35/BQ35,2),0)</f>
        <v/>
      </c>
      <c r="BZ35" s="5">
        <f>IFERROR(ROUND(BO35/BR35,2),0)</f>
        <v/>
      </c>
      <c r="CA35" s="2" t="inlineStr">
        <is>
          <t>2023-10-11</t>
        </is>
      </c>
      <c r="CB35" s="5">
        <f>ROUND(0.42000000000000004,2)</f>
        <v/>
      </c>
      <c r="CC35" s="3">
        <f>ROUND(836.0,2)</f>
        <v/>
      </c>
      <c r="CD35" s="3">
        <f>ROUND(42.0,2)</f>
        <v/>
      </c>
      <c r="CE35" s="3">
        <f>ROUND(0.0,2)</f>
        <v/>
      </c>
      <c r="CF35" s="3">
        <f>ROUND(0.0,2)</f>
        <v/>
      </c>
      <c r="CG35" s="3">
        <f>ROUND(0.0,2)</f>
        <v/>
      </c>
      <c r="CH35" s="3">
        <f>ROUND(0.0,2)</f>
        <v/>
      </c>
      <c r="CI35" s="3">
        <f>ROUND(0.0,2)</f>
        <v/>
      </c>
      <c r="CJ35" s="4">
        <f>IFERROR((CD35/CC35),0)</f>
        <v/>
      </c>
      <c r="CK35" s="4">
        <f>IFERROR(((0+CB11+CB12+CB13+CB14+CB15+CB16+CB17+CB19+CB20+CB21+CB22+CB23+CB24+CB25+CB27+CB28+CB29+CB30+CB31+CB32+CB33+CB35)/T2),0)</f>
        <v/>
      </c>
      <c r="CL35" s="5">
        <f>IFERROR(ROUND(CB35/CD35,2),0)</f>
        <v/>
      </c>
      <c r="CM35" s="5">
        <f>IFERROR(ROUND(CB35/CE35,2),0)</f>
        <v/>
      </c>
      <c r="CN35" s="2" t="inlineStr">
        <is>
          <t>2023-10-11</t>
        </is>
      </c>
      <c r="CO35" s="5">
        <f>ROUND(1.54,2)</f>
        <v/>
      </c>
      <c r="CP35" s="3">
        <f>ROUND(6362.0,2)</f>
        <v/>
      </c>
      <c r="CQ35" s="3">
        <f>ROUND(154.0,2)</f>
        <v/>
      </c>
      <c r="CR35" s="3">
        <f>ROUND(0.0,2)</f>
        <v/>
      </c>
      <c r="CS35" s="3">
        <f>ROUND(0.0,2)</f>
        <v/>
      </c>
      <c r="CT35" s="3">
        <f>ROUND(0.0,2)</f>
        <v/>
      </c>
      <c r="CU35" s="3">
        <f>ROUND(0.0,2)</f>
        <v/>
      </c>
      <c r="CV35" s="3">
        <f>ROUND(0.0,2)</f>
        <v/>
      </c>
      <c r="CW35" s="4">
        <f>IFERROR((CQ35/CP35),0)</f>
        <v/>
      </c>
      <c r="CX35" s="4">
        <f>IFERROR(((0+CO11+CO12+CO13+CO14+CO15+CO16+CO17+CO19+CO20+CO21+CO22+CO23+CO24+CO25+CO27+CO28+CO29+CO30+CO31+CO32+CO33+CO35)/T2),0)</f>
        <v/>
      </c>
      <c r="CY35" s="5">
        <f>IFERROR(ROUND(CO35/CQ35,2),0)</f>
        <v/>
      </c>
      <c r="CZ35" s="5">
        <f>IFERROR(ROUND(CO35/CR35,2),0)</f>
        <v/>
      </c>
      <c r="DA35" s="2" t="inlineStr">
        <is>
          <t>2023-10-11</t>
        </is>
      </c>
      <c r="DB35" s="5">
        <f>ROUND(1.4000000000000001,2)</f>
        <v/>
      </c>
      <c r="DC35" s="3">
        <f>ROUND(2842.0,2)</f>
        <v/>
      </c>
      <c r="DD35" s="3">
        <f>ROUND(140.0,2)</f>
        <v/>
      </c>
      <c r="DE35" s="3">
        <f>ROUND(0.0,2)</f>
        <v/>
      </c>
      <c r="DF35" s="3">
        <f>ROUND(0.0,2)</f>
        <v/>
      </c>
      <c r="DG35" s="3">
        <f>ROUND(0.0,2)</f>
        <v/>
      </c>
      <c r="DH35" s="3">
        <f>ROUND(0.0,2)</f>
        <v/>
      </c>
      <c r="DI35" s="3">
        <f>ROUND(0.0,2)</f>
        <v/>
      </c>
      <c r="DJ35" s="4">
        <f>IFERROR((DD35/DC35),0)</f>
        <v/>
      </c>
      <c r="DK35" s="4">
        <f>IFERROR(((0+DB11+DB12+DB13+DB14+DB15+DB16+DB17+DB19+DB20+DB21+DB22+DB23+DB24+DB25+DB27+DB28+DB29+DB30+DB31+DB32+DB33+DB35)/T2),0)</f>
        <v/>
      </c>
      <c r="DL35" s="5">
        <f>IFERROR(ROUND(DB35/DD35,2),0)</f>
        <v/>
      </c>
      <c r="DM35" s="5">
        <f>IFERROR(ROUND(DB35/DE35,2),0)</f>
        <v/>
      </c>
      <c r="DN35" s="2" t="inlineStr">
        <is>
          <t>2023-10-11</t>
        </is>
      </c>
      <c r="DO35" s="5">
        <f>ROUND(0.09,2)</f>
        <v/>
      </c>
      <c r="DP35" s="3">
        <f>ROUND(304.0,2)</f>
        <v/>
      </c>
      <c r="DQ35" s="3">
        <f>ROUND(9.0,2)</f>
        <v/>
      </c>
      <c r="DR35" s="3">
        <f>ROUND(0.0,2)</f>
        <v/>
      </c>
      <c r="DS35" s="3">
        <f>ROUND(0.0,2)</f>
        <v/>
      </c>
      <c r="DT35" s="3">
        <f>ROUND(0.0,2)</f>
        <v/>
      </c>
      <c r="DU35" s="3">
        <f>ROUND(0.0,2)</f>
        <v/>
      </c>
      <c r="DV35" s="3">
        <f>ROUND(0.0,2)</f>
        <v/>
      </c>
      <c r="DW35" s="4">
        <f>IFERROR((DQ35/DP35),0)</f>
        <v/>
      </c>
      <c r="DX35" s="4">
        <f>IFERROR(((0+DO11+DO12+DO13+DO14+DO15+DO16+DO17+DO19+DO20+DO21+DO22+DO23+DO24+DO25+DO27+DO28+DO29+DO30+DO31+DO32+DO33+DO35)/T2),0)</f>
        <v/>
      </c>
      <c r="DY35" s="5">
        <f>IFERROR(ROUND(DO35/DQ35,2),0)</f>
        <v/>
      </c>
      <c r="DZ35" s="5">
        <f>IFERROR(ROUND(DO35/DR35,2),0)</f>
        <v/>
      </c>
      <c r="EA35" s="2" t="inlineStr">
        <is>
          <t>2023-10-11</t>
        </is>
      </c>
      <c r="EB35" s="5">
        <f>ROUND(1.34,2)</f>
        <v/>
      </c>
      <c r="EC35" s="3">
        <f>ROUND(6120.0,2)</f>
        <v/>
      </c>
      <c r="ED35" s="3">
        <f>ROUND(134.0,2)</f>
        <v/>
      </c>
      <c r="EE35" s="3">
        <f>ROUND(0.0,2)</f>
        <v/>
      </c>
      <c r="EF35" s="3">
        <f>ROUND(0.0,2)</f>
        <v/>
      </c>
      <c r="EG35" s="3">
        <f>ROUND(0.0,2)</f>
        <v/>
      </c>
      <c r="EH35" s="3">
        <f>ROUND(0.0,2)</f>
        <v/>
      </c>
      <c r="EI35" s="3">
        <f>ROUND(0.0,2)</f>
        <v/>
      </c>
      <c r="EJ35" s="4">
        <f>IFERROR((ED35/EC35),0)</f>
        <v/>
      </c>
      <c r="EK35" s="4">
        <f>IFERROR(((0+EB11+EB12+EB13+EB14+EB15+EB16+EB17+EB19+EB20+EB21+EB22+EB23+EB24+EB25+EB27+EB28+EB29+EB30+EB31+EB32+EB33+EB35)/T2),0)</f>
        <v/>
      </c>
      <c r="EL35" s="5">
        <f>IFERROR(ROUND(EB35/ED35,2),0)</f>
        <v/>
      </c>
      <c r="EM35" s="5">
        <f>IFERROR(ROUND(EB35/EE35,2),0)</f>
        <v/>
      </c>
      <c r="EN35" s="2" t="inlineStr">
        <is>
          <t>2023-10-11</t>
        </is>
      </c>
      <c r="EO35" s="5">
        <f>ROUND(0.12000000000000001,2)</f>
        <v/>
      </c>
      <c r="EP35" s="3">
        <f>ROUND(452.0,2)</f>
        <v/>
      </c>
      <c r="EQ35" s="3">
        <f>ROUND(12.0,2)</f>
        <v/>
      </c>
      <c r="ER35" s="3">
        <f>ROUND(0.0,2)</f>
        <v/>
      </c>
      <c r="ES35" s="3">
        <f>ROUND(0.0,2)</f>
        <v/>
      </c>
      <c r="ET35" s="3">
        <f>ROUND(0.0,2)</f>
        <v/>
      </c>
      <c r="EU35" s="3">
        <f>ROUND(0.0,2)</f>
        <v/>
      </c>
      <c r="EV35" s="3">
        <f>ROUND(0.0,2)</f>
        <v/>
      </c>
      <c r="EW35" s="4">
        <f>IFERROR((EQ35/EP35),0)</f>
        <v/>
      </c>
      <c r="EX35" s="4">
        <f>IFERROR(((0+EO11+EO12+EO13+EO14+EO15+EO16+EO17+EO19+EO20+EO21+EO22+EO23+EO24+EO25+EO27+EO28+EO29+EO30+EO31+EO32+EO33+EO35)/T2),0)</f>
        <v/>
      </c>
      <c r="EY35" s="5">
        <f>IFERROR(ROUND(EO35/EQ35,2),0)</f>
        <v/>
      </c>
      <c r="EZ35" s="5">
        <f>IFERROR(ROUND(EO35/ER35,2),0)</f>
        <v/>
      </c>
      <c r="FA35" s="2" t="inlineStr">
        <is>
          <t>2023-10-11</t>
        </is>
      </c>
      <c r="FB35" s="5">
        <f>ROUND(1.46,2)</f>
        <v/>
      </c>
      <c r="FC35" s="3">
        <f>ROUND(5736.0,2)</f>
        <v/>
      </c>
      <c r="FD35" s="3">
        <f>ROUND(146.0,2)</f>
        <v/>
      </c>
      <c r="FE35" s="3">
        <f>ROUND(0.0,2)</f>
        <v/>
      </c>
      <c r="FF35" s="3">
        <f>ROUND(0.0,2)</f>
        <v/>
      </c>
      <c r="FG35" s="3">
        <f>ROUND(0.0,2)</f>
        <v/>
      </c>
      <c r="FH35" s="3">
        <f>ROUND(0.0,2)</f>
        <v/>
      </c>
      <c r="FI35" s="3">
        <f>ROUND(0.0,2)</f>
        <v/>
      </c>
      <c r="FJ35" s="4">
        <f>IFERROR((FD35/FC35),0)</f>
        <v/>
      </c>
      <c r="FK35" s="4">
        <f>IFERROR(((0+FB11+FB12+FB13+FB14+FB15+FB16+FB17+FB19+FB20+FB21+FB22+FB23+FB24+FB25+FB27+FB28+FB29+FB30+FB31+FB32+FB33+FB35)/T2),0)</f>
        <v/>
      </c>
      <c r="FL35" s="5">
        <f>IFERROR(ROUND(FB35/FD35,2),0)</f>
        <v/>
      </c>
      <c r="FM35" s="5">
        <f>IFERROR(ROUND(FB35/FE35,2),0)</f>
        <v/>
      </c>
      <c r="FN35" s="2" t="inlineStr">
        <is>
          <t>2023-10-11</t>
        </is>
      </c>
      <c r="FO35" s="5">
        <f>ROUND(2.9200000000000004,2)</f>
        <v/>
      </c>
      <c r="FP35" s="3">
        <f>ROUND(6666.0,2)</f>
        <v/>
      </c>
      <c r="FQ35" s="3">
        <f>ROUND(292.0,2)</f>
        <v/>
      </c>
      <c r="FR35" s="3">
        <f>ROUND(0.0,2)</f>
        <v/>
      </c>
      <c r="FS35" s="3">
        <f>ROUND(0.0,2)</f>
        <v/>
      </c>
      <c r="FT35" s="3">
        <f>ROUND(0.0,2)</f>
        <v/>
      </c>
      <c r="FU35" s="3">
        <f>ROUND(0.0,2)</f>
        <v/>
      </c>
      <c r="FV35" s="3">
        <f>ROUND(0.0,2)</f>
        <v/>
      </c>
      <c r="FW35" s="4">
        <f>IFERROR((FQ35/FP35),0)</f>
        <v/>
      </c>
      <c r="FX35" s="4">
        <f>IFERROR(((0+FO11+FO12+FO13+FO14+FO15+FO16+FO17+FO19+FO20+FO21+FO22+FO23+FO24+FO25+FO27+FO28+FO29+FO30+FO31+FO32+FO33+FO35)/T2),0)</f>
        <v/>
      </c>
      <c r="FY35" s="5">
        <f>IFERROR(ROUND(FO35/FQ35,2),0)</f>
        <v/>
      </c>
      <c r="FZ35" s="5">
        <f>IFERROR(ROUND(FO35/FR35,2),0)</f>
        <v/>
      </c>
      <c r="GA35" s="2" t="inlineStr">
        <is>
          <t>2023-10-11</t>
        </is>
      </c>
      <c r="GB35" s="5">
        <f>ROUND(0.38,2)</f>
        <v/>
      </c>
      <c r="GC35" s="3">
        <f>ROUND(546.0,2)</f>
        <v/>
      </c>
      <c r="GD35" s="3">
        <f>ROUND(38.0,2)</f>
        <v/>
      </c>
      <c r="GE35" s="3">
        <f>ROUND(0.0,2)</f>
        <v/>
      </c>
      <c r="GF35" s="3">
        <f>ROUND(0.0,2)</f>
        <v/>
      </c>
      <c r="GG35" s="3">
        <f>ROUND(0.0,2)</f>
        <v/>
      </c>
      <c r="GH35" s="3">
        <f>ROUND(0.0,2)</f>
        <v/>
      </c>
      <c r="GI35" s="3">
        <f>ROUND(0.0,2)</f>
        <v/>
      </c>
      <c r="GJ35" s="4">
        <f>IFERROR((GD35/GC35),0)</f>
        <v/>
      </c>
      <c r="GK35" s="4">
        <f>IFERROR(((0+GB11+GB12+GB13+GB14+GB15+GB16+GB17+GB19+GB20+GB21+GB22+GB23+GB24+GB25+GB27+GB28+GB29+GB30+GB31+GB32+GB33+GB35)/T2),0)</f>
        <v/>
      </c>
      <c r="GL35" s="5">
        <f>IFERROR(ROUND(GB35/GD35,2),0)</f>
        <v/>
      </c>
      <c r="GM35" s="5">
        <f>IFERROR(ROUND(GB35/GE35,2),0)</f>
        <v/>
      </c>
      <c r="GN35" s="2" t="inlineStr">
        <is>
          <t>2023-10-11</t>
        </is>
      </c>
      <c r="GO35" s="5">
        <f>ROUND(1.26,2)</f>
        <v/>
      </c>
      <c r="GP35" s="3">
        <f>ROUND(5095.0,2)</f>
        <v/>
      </c>
      <c r="GQ35" s="3">
        <f>ROUND(126.0,2)</f>
        <v/>
      </c>
      <c r="GR35" s="3">
        <f>ROUND(0.0,2)</f>
        <v/>
      </c>
      <c r="GS35" s="3">
        <f>ROUND(0.0,2)</f>
        <v/>
      </c>
      <c r="GT35" s="3">
        <f>ROUND(0.0,2)</f>
        <v/>
      </c>
      <c r="GU35" s="3">
        <f>ROUND(0.0,2)</f>
        <v/>
      </c>
      <c r="GV35" s="3">
        <f>ROUND(0.0,2)</f>
        <v/>
      </c>
      <c r="GW35" s="4">
        <f>IFERROR((GQ35/GP35),0)</f>
        <v/>
      </c>
      <c r="GX35" s="4">
        <f>IFERROR(((0+GO11+GO12+GO13+GO14+GO15+GO16+GO17+GO19+GO20+GO21+GO22+GO23+GO24+GO25+GO27+GO28+GO29+GO30+GO31+GO32+GO33+GO35)/T2),0)</f>
        <v/>
      </c>
      <c r="GY35" s="5">
        <f>IFERROR(ROUND(GO35/GQ35,2),0)</f>
        <v/>
      </c>
      <c r="GZ35" s="5">
        <f>IFERROR(ROUND(GO35/GR35,2),0)</f>
        <v/>
      </c>
      <c r="HA35" s="2" t="inlineStr">
        <is>
          <t>2023-10-11</t>
        </is>
      </c>
      <c r="HB35" s="5">
        <f>ROUND(5.819999999999999,2)</f>
        <v/>
      </c>
      <c r="HC35" s="3">
        <f>ROUND(7682.0,2)</f>
        <v/>
      </c>
      <c r="HD35" s="3">
        <f>ROUND(582.0,2)</f>
        <v/>
      </c>
      <c r="HE35" s="3">
        <f>ROUND(0.0,2)</f>
        <v/>
      </c>
      <c r="HF35" s="3">
        <f>ROUND(0.0,2)</f>
        <v/>
      </c>
      <c r="HG35" s="3">
        <f>ROUND(0.0,2)</f>
        <v/>
      </c>
      <c r="HH35" s="3">
        <f>ROUND(0.0,2)</f>
        <v/>
      </c>
      <c r="HI35" s="3">
        <f>ROUND(0.0,2)</f>
        <v/>
      </c>
      <c r="HJ35" s="4">
        <f>IFERROR((HD35/HC35),0)</f>
        <v/>
      </c>
      <c r="HK35" s="4">
        <f>IFERROR(((0+HB11+HB12+HB13+HB14+HB15+HB16+HB17+HB19+HB20+HB21+HB22+HB23+HB24+HB25+HB27+HB28+HB29+HB30+HB31+HB32+HB33+HB35)/T2),0)</f>
        <v/>
      </c>
      <c r="HL35" s="5">
        <f>IFERROR(ROUND(HB35/HD35,2),0)</f>
        <v/>
      </c>
      <c r="HM35" s="5">
        <f>IFERROR(ROUND(HB35/HE35,2),0)</f>
        <v/>
      </c>
      <c r="HN35" s="2" t="inlineStr">
        <is>
          <t>2023-10-11</t>
        </is>
      </c>
      <c r="HO35" s="5">
        <f>ROUND(0.16999999999999998,2)</f>
        <v/>
      </c>
      <c r="HP35" s="3">
        <f>ROUND(406.0,2)</f>
        <v/>
      </c>
      <c r="HQ35" s="3">
        <f>ROUND(17.0,2)</f>
        <v/>
      </c>
      <c r="HR35" s="3">
        <f>ROUND(0.0,2)</f>
        <v/>
      </c>
      <c r="HS35" s="3">
        <f>ROUND(0.0,2)</f>
        <v/>
      </c>
      <c r="HT35" s="3">
        <f>ROUND(0.0,2)</f>
        <v/>
      </c>
      <c r="HU35" s="3">
        <f>ROUND(0.0,2)</f>
        <v/>
      </c>
      <c r="HV35" s="3">
        <f>ROUND(0.0,2)</f>
        <v/>
      </c>
      <c r="HW35" s="4">
        <f>IFERROR((HQ35/HP35),0)</f>
        <v/>
      </c>
      <c r="HX35" s="4">
        <f>IFERROR(((0+HO11+HO12+HO13+HO14+HO15+HO16+HO17+HO19+HO20+HO21+HO22+HO23+HO24+HO25+HO27+HO28+HO29+HO30+HO31+HO32+HO33+HO35)/T2),0)</f>
        <v/>
      </c>
      <c r="HY35" s="5">
        <f>IFERROR(ROUND(HO35/HQ35,2),0)</f>
        <v/>
      </c>
      <c r="HZ35" s="5">
        <f>IFERROR(ROUND(HO35/HR35,2),0)</f>
        <v/>
      </c>
      <c r="IA35" s="2" t="inlineStr">
        <is>
          <t>2023-10-11</t>
        </is>
      </c>
      <c r="IB35" s="5">
        <f>ROUND(0.31,2)</f>
        <v/>
      </c>
      <c r="IC35" s="3">
        <f>ROUND(389.0,2)</f>
        <v/>
      </c>
      <c r="ID35" s="3">
        <f>ROUND(31.0,2)</f>
        <v/>
      </c>
      <c r="IE35" s="3">
        <f>ROUND(0.0,2)</f>
        <v/>
      </c>
      <c r="IF35" s="3">
        <f>ROUND(0.0,2)</f>
        <v/>
      </c>
      <c r="IG35" s="3">
        <f>ROUND(0.0,2)</f>
        <v/>
      </c>
      <c r="IH35" s="3">
        <f>ROUND(0.0,2)</f>
        <v/>
      </c>
      <c r="II35" s="3">
        <f>ROUND(0.0,2)</f>
        <v/>
      </c>
      <c r="IJ35" s="4">
        <f>IFERROR((ID35/IC35),0)</f>
        <v/>
      </c>
      <c r="IK35" s="4">
        <f>IFERROR(((0+IB11+IB12+IB13+IB14+IB15+IB16+IB17+IB19+IB20+IB21+IB22+IB23+IB24+IB25+IB27+IB28+IB29+IB30+IB31+IB32+IB33+IB35)/T2),0)</f>
        <v/>
      </c>
      <c r="IL35" s="5">
        <f>IFERROR(ROUND(IB35/ID35,2),0)</f>
        <v/>
      </c>
      <c r="IM35" s="5">
        <f>IFERROR(ROUND(IB35/IE35,2),0)</f>
        <v/>
      </c>
      <c r="IN35" s="2" t="inlineStr">
        <is>
          <t>2023-10-11</t>
        </is>
      </c>
      <c r="IO35" s="5">
        <f>ROUND(0.76,2)</f>
        <v/>
      </c>
      <c r="IP35" s="3">
        <f>ROUND(2574.0,2)</f>
        <v/>
      </c>
      <c r="IQ35" s="3">
        <f>ROUND(76.0,2)</f>
        <v/>
      </c>
      <c r="IR35" s="3">
        <f>ROUND(0.0,2)</f>
        <v/>
      </c>
      <c r="IS35" s="3">
        <f>ROUND(0.0,2)</f>
        <v/>
      </c>
      <c r="IT35" s="3">
        <f>ROUND(0.0,2)</f>
        <v/>
      </c>
      <c r="IU35" s="3">
        <f>ROUND(0.0,2)</f>
        <v/>
      </c>
      <c r="IV35" s="3">
        <f>ROUND(0.0,2)</f>
        <v/>
      </c>
      <c r="IW35" s="4">
        <f>IFERROR((IQ35/IP35),0)</f>
        <v/>
      </c>
      <c r="IX35" s="4">
        <f>IFERROR(((0+IO11+IO12+IO13+IO14+IO15+IO16+IO17+IO19+IO20+IO21+IO22+IO23+IO24+IO25+IO27+IO28+IO29+IO30+IO31+IO32+IO33+IO35)/T2),0)</f>
        <v/>
      </c>
      <c r="IY35" s="5">
        <f>IFERROR(ROUND(IO35/IQ35,2),0)</f>
        <v/>
      </c>
      <c r="IZ35" s="5">
        <f>IFERROR(ROUND(IO35/IR35,2),0)</f>
        <v/>
      </c>
      <c r="JA35" s="2" t="inlineStr">
        <is>
          <t>2023-10-11</t>
        </is>
      </c>
      <c r="JB35" s="5">
        <f>ROUND(0.19,2)</f>
        <v/>
      </c>
      <c r="JC35" s="3">
        <f>ROUND(653.0,2)</f>
        <v/>
      </c>
      <c r="JD35" s="3">
        <f>ROUND(19.0,2)</f>
        <v/>
      </c>
      <c r="JE35" s="3">
        <f>ROUND(0.0,2)</f>
        <v/>
      </c>
      <c r="JF35" s="3">
        <f>ROUND(0.0,2)</f>
        <v/>
      </c>
      <c r="JG35" s="3">
        <f>ROUND(0.0,2)</f>
        <v/>
      </c>
      <c r="JH35" s="3">
        <f>ROUND(0.0,2)</f>
        <v/>
      </c>
      <c r="JI35" s="3">
        <f>ROUND(0.0,2)</f>
        <v/>
      </c>
      <c r="JJ35" s="4">
        <f>IFERROR((JD35/JC35),0)</f>
        <v/>
      </c>
      <c r="JK35" s="4">
        <f>IFERROR(((0+JB11+JB12+JB13+JB14+JB15+JB16+JB17+JB19+JB20+JB21+JB22+JB23+JB24+JB25+JB27+JB28+JB29+JB30+JB31+JB32+JB33+JB35)/T2),0)</f>
        <v/>
      </c>
      <c r="JL35" s="5">
        <f>IFERROR(ROUND(JB35/JD35,2),0)</f>
        <v/>
      </c>
      <c r="JM35" s="5">
        <f>IFERROR(ROUND(JB35/JE35,2),0)</f>
        <v/>
      </c>
      <c r="JN35" s="2" t="inlineStr">
        <is>
          <t>2023-10-11</t>
        </is>
      </c>
      <c r="JO35" s="5">
        <f>ROUND(0.36,2)</f>
        <v/>
      </c>
      <c r="JP35" s="3">
        <f>ROUND(782.0,2)</f>
        <v/>
      </c>
      <c r="JQ35" s="3">
        <f>ROUND(36.0,2)</f>
        <v/>
      </c>
      <c r="JR35" s="3">
        <f>ROUND(0.0,2)</f>
        <v/>
      </c>
      <c r="JS35" s="3">
        <f>ROUND(0.0,2)</f>
        <v/>
      </c>
      <c r="JT35" s="3">
        <f>ROUND(0.0,2)</f>
        <v/>
      </c>
      <c r="JU35" s="3">
        <f>ROUND(0.0,2)</f>
        <v/>
      </c>
      <c r="JV35" s="3">
        <f>ROUND(0.0,2)</f>
        <v/>
      </c>
      <c r="JW35" s="4">
        <f>IFERROR((JQ35/JP35),0)</f>
        <v/>
      </c>
      <c r="JX35" s="4">
        <f>IFERROR(((0+JO11+JO12+JO13+JO14+JO15+JO16+JO17+JO19+JO20+JO21+JO22+JO23+JO24+JO25+JO27+JO28+JO29+JO30+JO31+JO32+JO33+JO35)/T2),0)</f>
        <v/>
      </c>
      <c r="JY35" s="5">
        <f>IFERROR(ROUND(JO35/JQ35,2),0)</f>
        <v/>
      </c>
      <c r="JZ35" s="5">
        <f>IFERROR(ROUND(JO35/JR35,2),0)</f>
        <v/>
      </c>
      <c r="KA35" s="2" t="inlineStr">
        <is>
          <t>2023-10-11</t>
        </is>
      </c>
      <c r="KB35" s="5">
        <f>ROUND(0.8600000000000001,2)</f>
        <v/>
      </c>
      <c r="KC35" s="3">
        <f>ROUND(1705.0,2)</f>
        <v/>
      </c>
      <c r="KD35" s="3">
        <f>ROUND(86.0,2)</f>
        <v/>
      </c>
      <c r="KE35" s="3">
        <f>ROUND(0.0,2)</f>
        <v/>
      </c>
      <c r="KF35" s="3">
        <f>ROUND(0.0,2)</f>
        <v/>
      </c>
      <c r="KG35" s="3">
        <f>ROUND(0.0,2)</f>
        <v/>
      </c>
      <c r="KH35" s="3">
        <f>ROUND(0.0,2)</f>
        <v/>
      </c>
      <c r="KI35" s="3">
        <f>ROUND(0.0,2)</f>
        <v/>
      </c>
      <c r="KJ35" s="4">
        <f>IFERROR((KD35/KC35),0)</f>
        <v/>
      </c>
      <c r="KK35" s="4">
        <f>IFERROR(((0+KB11+KB12+KB13+KB14+KB15+KB16+KB17+KB19+KB20+KB21+KB22+KB23+KB24+KB25+KB27+KB28+KB29+KB30+KB31+KB32+KB33+KB35)/T2),0)</f>
        <v/>
      </c>
      <c r="KL35" s="5">
        <f>IFERROR(ROUND(KB35/KD35,2),0)</f>
        <v/>
      </c>
      <c r="KM35" s="5">
        <f>IFERROR(ROUND(KB35/KE35,2),0)</f>
        <v/>
      </c>
      <c r="KN35" s="2" t="inlineStr">
        <is>
          <t>2023-10-11</t>
        </is>
      </c>
      <c r="KO35" s="5">
        <f>ROUND(0.9400000000000001,2)</f>
        <v/>
      </c>
      <c r="KP35" s="3">
        <f>ROUND(3449.0,2)</f>
        <v/>
      </c>
      <c r="KQ35" s="3">
        <f>ROUND(94.0,2)</f>
        <v/>
      </c>
      <c r="KR35" s="3">
        <f>ROUND(0.0,2)</f>
        <v/>
      </c>
      <c r="KS35" s="3">
        <f>ROUND(0.0,2)</f>
        <v/>
      </c>
      <c r="KT35" s="3">
        <f>ROUND(0.0,2)</f>
        <v/>
      </c>
      <c r="KU35" s="3">
        <f>ROUND(0.0,2)</f>
        <v/>
      </c>
      <c r="KV35" s="3">
        <f>ROUND(0.0,2)</f>
        <v/>
      </c>
      <c r="KW35" s="4">
        <f>IFERROR((KQ35/KP35),0)</f>
        <v/>
      </c>
      <c r="KX35" s="4">
        <f>IFERROR(((0+KO11+KO12+KO13+KO14+KO15+KO16+KO17+KO19+KO20+KO21+KO22+KO23+KO24+KO25+KO27+KO28+KO29+KO30+KO31+KO32+KO33+KO35)/T2),0)</f>
        <v/>
      </c>
      <c r="KY35" s="5">
        <f>IFERROR(ROUND(KO35/KQ35,2),0)</f>
        <v/>
      </c>
      <c r="KZ35" s="5">
        <f>IFERROR(ROUND(KO35/KR35,2),0)</f>
        <v/>
      </c>
      <c r="LA35" s="2" t="inlineStr">
        <is>
          <t>2023-10-11</t>
        </is>
      </c>
      <c r="LB35" s="5">
        <f>ROUND(0.9500000000000001,2)</f>
        <v/>
      </c>
      <c r="LC35" s="3">
        <f>ROUND(3462.0,2)</f>
        <v/>
      </c>
      <c r="LD35" s="3">
        <f>ROUND(95.0,2)</f>
        <v/>
      </c>
      <c r="LE35" s="3">
        <f>ROUND(0.0,2)</f>
        <v/>
      </c>
      <c r="LF35" s="3">
        <f>ROUND(0.0,2)</f>
        <v/>
      </c>
      <c r="LG35" s="3">
        <f>ROUND(0.0,2)</f>
        <v/>
      </c>
      <c r="LH35" s="3">
        <f>ROUND(0.0,2)</f>
        <v/>
      </c>
      <c r="LI35" s="3">
        <f>ROUND(0.0,2)</f>
        <v/>
      </c>
      <c r="LJ35" s="4">
        <f>IFERROR((LD35/LC35),0)</f>
        <v/>
      </c>
      <c r="LK35" s="4">
        <f>IFERROR(((0+LB11+LB12+LB13+LB14+LB15+LB16+LB17+LB19+LB20+LB21+LB22+LB23+LB24+LB25+LB27+LB28+LB29+LB30+LB31+LB32+LB33+LB35)/T2),0)</f>
        <v/>
      </c>
      <c r="LL35" s="5">
        <f>IFERROR(ROUND(LB35/LD35,2),0)</f>
        <v/>
      </c>
      <c r="LM35" s="5">
        <f>IFERROR(ROUND(LB35/LE35,2),0)</f>
        <v/>
      </c>
      <c r="LN35" s="2" t="inlineStr">
        <is>
          <t>2023-10-11</t>
        </is>
      </c>
      <c r="LO35" s="5">
        <f>ROUND(0.32,2)</f>
        <v/>
      </c>
      <c r="LP35" s="3">
        <f>ROUND(2428.0,2)</f>
        <v/>
      </c>
      <c r="LQ35" s="3">
        <f>ROUND(32.0,2)</f>
        <v/>
      </c>
      <c r="LR35" s="3">
        <f>ROUND(0.0,2)</f>
        <v/>
      </c>
      <c r="LS35" s="3">
        <f>ROUND(0.0,2)</f>
        <v/>
      </c>
      <c r="LT35" s="3">
        <f>ROUND(0.0,2)</f>
        <v/>
      </c>
      <c r="LU35" s="3">
        <f>ROUND(0.0,2)</f>
        <v/>
      </c>
      <c r="LV35" s="3">
        <f>ROUND(0.0,2)</f>
        <v/>
      </c>
      <c r="LW35" s="4">
        <f>IFERROR((LQ35/LP35),0)</f>
        <v/>
      </c>
      <c r="LX35" s="4">
        <f>IFERROR(((0+LO11+LO12+LO13+LO14+LO15+LO16+LO17+LO19+LO20+LO21+LO22+LO23+LO24+LO25+LO27+LO28+LO29+LO30+LO31+LO32+LO33+LO35)/T2),0)</f>
        <v/>
      </c>
      <c r="LY35" s="5">
        <f>IFERROR(ROUND(LO35/LQ35,2),0)</f>
        <v/>
      </c>
      <c r="LZ35" s="5">
        <f>IFERROR(ROUND(LO35/LR35,2),0)</f>
        <v/>
      </c>
      <c r="MA35" s="2" t="inlineStr">
        <is>
          <t>2023-10-11</t>
        </is>
      </c>
      <c r="MB35" s="5">
        <f>ROUND(0.8400000000000001,2)</f>
        <v/>
      </c>
      <c r="MC35" s="3">
        <f>ROUND(2703.0,2)</f>
        <v/>
      </c>
      <c r="MD35" s="3">
        <f>ROUND(84.0,2)</f>
        <v/>
      </c>
      <c r="ME35" s="3">
        <f>ROUND(0.0,2)</f>
        <v/>
      </c>
      <c r="MF35" s="3">
        <f>ROUND(0.0,2)</f>
        <v/>
      </c>
      <c r="MG35" s="3">
        <f>ROUND(0.0,2)</f>
        <v/>
      </c>
      <c r="MH35" s="3">
        <f>ROUND(0.0,2)</f>
        <v/>
      </c>
      <c r="MI35" s="3">
        <f>ROUND(0.0,2)</f>
        <v/>
      </c>
      <c r="MJ35" s="4">
        <f>IFERROR((MD35/MC35),0)</f>
        <v/>
      </c>
      <c r="MK35" s="4">
        <f>IFERROR(((0+MB11+MB12+MB13+MB14+MB15+MB16+MB17+MB19+MB20+MB21+MB22+MB23+MB24+MB25+MB27+MB28+MB29+MB30+MB31+MB32+MB33+MB35)/T2),0)</f>
        <v/>
      </c>
      <c r="ML35" s="5">
        <f>IFERROR(ROUND(MB35/MD35,2),0)</f>
        <v/>
      </c>
      <c r="MM35" s="5">
        <f>IFERROR(ROUND(MB35/ME35,2),0)</f>
        <v/>
      </c>
      <c r="MN35" s="2" t="inlineStr">
        <is>
          <t>2023-10-11</t>
        </is>
      </c>
      <c r="MO35" s="5">
        <f>ROUND(3.34,2)</f>
        <v/>
      </c>
      <c r="MP35" s="3">
        <f>ROUND(5604.0,2)</f>
        <v/>
      </c>
      <c r="MQ35" s="3">
        <f>ROUND(334.0,2)</f>
        <v/>
      </c>
      <c r="MR35" s="3">
        <f>ROUND(0.0,2)</f>
        <v/>
      </c>
      <c r="MS35" s="3">
        <f>ROUND(0.0,2)</f>
        <v/>
      </c>
      <c r="MT35" s="3">
        <f>ROUND(0.0,2)</f>
        <v/>
      </c>
      <c r="MU35" s="3">
        <f>ROUND(0.0,2)</f>
        <v/>
      </c>
      <c r="MV35" s="3">
        <f>ROUND(0.0,2)</f>
        <v/>
      </c>
      <c r="MW35" s="4">
        <f>IFERROR((MQ35/MP35),0)</f>
        <v/>
      </c>
      <c r="MX35" s="4">
        <f>IFERROR(((0+MO11+MO12+MO13+MO14+MO15+MO16+MO17+MO19+MO20+MO21+MO22+MO23+MO24+MO25+MO27+MO28+MO29+MO30+MO31+MO32+MO33+MO35)/T2),0)</f>
        <v/>
      </c>
      <c r="MY35" s="5">
        <f>IFERROR(ROUND(MO35/MQ35,2),0)</f>
        <v/>
      </c>
      <c r="MZ35" s="5">
        <f>IFERROR(ROUND(MO35/MR35,2),0)</f>
        <v/>
      </c>
      <c r="NA35" s="2" t="inlineStr">
        <is>
          <t>2023-10-11</t>
        </is>
      </c>
      <c r="NB35" s="5">
        <f>ROUND(1.12,2)</f>
        <v/>
      </c>
      <c r="NC35" s="3">
        <f>ROUND(4130.0,2)</f>
        <v/>
      </c>
      <c r="ND35" s="3">
        <f>ROUND(112.0,2)</f>
        <v/>
      </c>
      <c r="NE35" s="3">
        <f>ROUND(0.0,2)</f>
        <v/>
      </c>
      <c r="NF35" s="3">
        <f>ROUND(0.0,2)</f>
        <v/>
      </c>
      <c r="NG35" s="3">
        <f>ROUND(0.0,2)</f>
        <v/>
      </c>
      <c r="NH35" s="3">
        <f>ROUND(0.0,2)</f>
        <v/>
      </c>
      <c r="NI35" s="3">
        <f>ROUND(0.0,2)</f>
        <v/>
      </c>
      <c r="NJ35" s="4">
        <f>IFERROR((ND35/NC35),0)</f>
        <v/>
      </c>
      <c r="NK35" s="4">
        <f>IFERROR(((0+NB11+NB12+NB13+NB14+NB15+NB16+NB17+NB19+NB20+NB21+NB22+NB23+NB24+NB25+NB27+NB28+NB29+NB30+NB31+NB32+NB33+NB35)/T2),0)</f>
        <v/>
      </c>
      <c r="NL35" s="5">
        <f>IFERROR(ROUND(NB35/ND35,2),0)</f>
        <v/>
      </c>
      <c r="NM35" s="5">
        <f>IFERROR(ROUND(NB35/NE35,2),0)</f>
        <v/>
      </c>
      <c r="NN35" s="2" t="inlineStr">
        <is>
          <t>2023-10-11</t>
        </is>
      </c>
      <c r="NO35" s="5">
        <f>ROUND(0.16,2)</f>
        <v/>
      </c>
      <c r="NP35" s="3">
        <f>ROUND(623.0,2)</f>
        <v/>
      </c>
      <c r="NQ35" s="3">
        <f>ROUND(16.0,2)</f>
        <v/>
      </c>
      <c r="NR35" s="3">
        <f>ROUND(0.0,2)</f>
        <v/>
      </c>
      <c r="NS35" s="3">
        <f>ROUND(0.0,2)</f>
        <v/>
      </c>
      <c r="NT35" s="3">
        <f>ROUND(0.0,2)</f>
        <v/>
      </c>
      <c r="NU35" s="3">
        <f>ROUND(0.0,2)</f>
        <v/>
      </c>
      <c r="NV35" s="3">
        <f>ROUND(0.0,2)</f>
        <v/>
      </c>
      <c r="NW35" s="4">
        <f>IFERROR((NQ35/NP35),0)</f>
        <v/>
      </c>
      <c r="NX35" s="4">
        <f>IFERROR(((0+NO11+NO12+NO13+NO14+NO15+NO16+NO17+NO19+NO20+NO21+NO22+NO23+NO24+NO25+NO27+NO28+NO29+NO30+NO31+NO32+NO33+NO35)/T2),0)</f>
        <v/>
      </c>
      <c r="NY35" s="5">
        <f>IFERROR(ROUND(NO35/NQ35,2),0)</f>
        <v/>
      </c>
      <c r="NZ35" s="5">
        <f>IFERROR(ROUND(NO35/NR35,2),0)</f>
        <v/>
      </c>
      <c r="OA35" s="2" t="inlineStr">
        <is>
          <t>2023-10-11</t>
        </is>
      </c>
      <c r="OB35" s="5">
        <f>ROUND(0.23,2)</f>
        <v/>
      </c>
      <c r="OC35" s="3">
        <f>ROUND(567.0,2)</f>
        <v/>
      </c>
      <c r="OD35" s="3">
        <f>ROUND(23.0,2)</f>
        <v/>
      </c>
      <c r="OE35" s="3">
        <f>ROUND(0.0,2)</f>
        <v/>
      </c>
      <c r="OF35" s="3">
        <f>ROUND(0.0,2)</f>
        <v/>
      </c>
      <c r="OG35" s="3">
        <f>ROUND(0.0,2)</f>
        <v/>
      </c>
      <c r="OH35" s="3">
        <f>ROUND(0.0,2)</f>
        <v/>
      </c>
      <c r="OI35" s="3">
        <f>ROUND(0.0,2)</f>
        <v/>
      </c>
      <c r="OJ35" s="4">
        <f>IFERROR((OD35/OC35),0)</f>
        <v/>
      </c>
      <c r="OK35" s="4">
        <f>IFERROR(((0+OB11+OB12+OB13+OB14+OB15+OB16+OB17+OB19+OB20+OB21+OB22+OB23+OB24+OB25+OB27+OB28+OB29+OB30+OB31+OB32+OB33+OB35)/T2),0)</f>
        <v/>
      </c>
      <c r="OL35" s="5">
        <f>IFERROR(ROUND(OB35/OD35,2),0)</f>
        <v/>
      </c>
      <c r="OM35" s="5">
        <f>IFERROR(ROUND(OB35/OE35,2),0)</f>
        <v/>
      </c>
      <c r="ON35" s="2" t="inlineStr">
        <is>
          <t>2023-10-11</t>
        </is>
      </c>
      <c r="OO35" s="5">
        <f>ROUND(0.73,2)</f>
        <v/>
      </c>
      <c r="OP35" s="3">
        <f>ROUND(943.0,2)</f>
        <v/>
      </c>
      <c r="OQ35" s="3">
        <f>ROUND(73.0,2)</f>
        <v/>
      </c>
      <c r="OR35" s="3">
        <f>ROUND(0.0,2)</f>
        <v/>
      </c>
      <c r="OS35" s="3">
        <f>ROUND(0.0,2)</f>
        <v/>
      </c>
      <c r="OT35" s="3">
        <f>ROUND(0.0,2)</f>
        <v/>
      </c>
      <c r="OU35" s="3">
        <f>ROUND(0.0,2)</f>
        <v/>
      </c>
      <c r="OV35" s="3">
        <f>ROUND(0.0,2)</f>
        <v/>
      </c>
      <c r="OW35" s="4">
        <f>IFERROR((OQ35/OP35),0)</f>
        <v/>
      </c>
      <c r="OX35" s="4">
        <f>IFERROR(((0+OO11+OO12+OO13+OO14+OO15+OO16+OO17+OO19+OO20+OO21+OO22+OO23+OO24+OO25+OO27+OO28+OO29+OO30+OO31+OO32+OO33+OO35)/T2),0)</f>
        <v/>
      </c>
      <c r="OY35" s="5">
        <f>IFERROR(ROUND(OO35/OQ35,2),0)</f>
        <v/>
      </c>
      <c r="OZ35" s="5">
        <f>IFERROR(ROUND(OO35/OR35,2),0)</f>
        <v/>
      </c>
      <c r="PA35" s="2" t="inlineStr">
        <is>
          <t>2023-10-11</t>
        </is>
      </c>
      <c r="PB35" s="5">
        <f>ROUND(0.48,2)</f>
        <v/>
      </c>
      <c r="PC35" s="3">
        <f>ROUND(942.0,2)</f>
        <v/>
      </c>
      <c r="PD35" s="3">
        <f>ROUND(48.0,2)</f>
        <v/>
      </c>
      <c r="PE35" s="3">
        <f>ROUND(0.0,2)</f>
        <v/>
      </c>
      <c r="PF35" s="3">
        <f>ROUND(0.0,2)</f>
        <v/>
      </c>
      <c r="PG35" s="3">
        <f>ROUND(0.0,2)</f>
        <v/>
      </c>
      <c r="PH35" s="3">
        <f>ROUND(0.0,2)</f>
        <v/>
      </c>
      <c r="PI35" s="3">
        <f>ROUND(0.0,2)</f>
        <v/>
      </c>
      <c r="PJ35" s="4">
        <f>IFERROR((PD35/PC35),0)</f>
        <v/>
      </c>
      <c r="PK35" s="4">
        <f>IFERROR(((0+PB11+PB12+PB13+PB14+PB15+PB16+PB17+PB19+PB20+PB21+PB22+PB23+PB24+PB25+PB27+PB28+PB29+PB30+PB31+PB32+PB33+PB35)/T2),0)</f>
        <v/>
      </c>
      <c r="PL35" s="5">
        <f>IFERROR(ROUND(PB35/PD35,2),0)</f>
        <v/>
      </c>
      <c r="PM35" s="5">
        <f>IFERROR(ROUND(PB35/PE35,2),0)</f>
        <v/>
      </c>
      <c r="PN35" s="2" t="inlineStr">
        <is>
          <t>2023-10-11</t>
        </is>
      </c>
      <c r="PO35" s="5">
        <f>ROUND(0.96,2)</f>
        <v/>
      </c>
      <c r="PP35" s="3">
        <f>ROUND(1254.0,2)</f>
        <v/>
      </c>
      <c r="PQ35" s="3">
        <f>ROUND(96.0,2)</f>
        <v/>
      </c>
      <c r="PR35" s="3">
        <f>ROUND(0.0,2)</f>
        <v/>
      </c>
      <c r="PS35" s="3">
        <f>ROUND(0.0,2)</f>
        <v/>
      </c>
      <c r="PT35" s="3">
        <f>ROUND(0.0,2)</f>
        <v/>
      </c>
      <c r="PU35" s="3">
        <f>ROUND(0.0,2)</f>
        <v/>
      </c>
      <c r="PV35" s="3">
        <f>ROUND(0.0,2)</f>
        <v/>
      </c>
      <c r="PW35" s="4">
        <f>IFERROR((PQ35/PP35),0)</f>
        <v/>
      </c>
      <c r="PX35" s="4">
        <f>IFERROR(((0+PO11+PO12+PO13+PO14+PO15+PO16+PO17+PO19+PO20+PO21+PO22+PO23+PO24+PO25+PO27+PO28+PO29+PO30+PO31+PO32+PO33+PO35)/T2),0)</f>
        <v/>
      </c>
      <c r="PY35" s="5">
        <f>IFERROR(ROUND(PO35/PQ35,2),0)</f>
        <v/>
      </c>
      <c r="PZ35" s="5">
        <f>IFERROR(ROUND(PO35/PR35,2),0)</f>
        <v/>
      </c>
      <c r="QA35" s="2" t="inlineStr">
        <is>
          <t>2023-10-11</t>
        </is>
      </c>
      <c r="QB35" s="5">
        <f>ROUND(0.33,2)</f>
        <v/>
      </c>
      <c r="QC35" s="3">
        <f>ROUND(670.0,2)</f>
        <v/>
      </c>
      <c r="QD35" s="3">
        <f>ROUND(33.0,2)</f>
        <v/>
      </c>
      <c r="QE35" s="3">
        <f>ROUND(0.0,2)</f>
        <v/>
      </c>
      <c r="QF35" s="3">
        <f>ROUND(0.0,2)</f>
        <v/>
      </c>
      <c r="QG35" s="3">
        <f>ROUND(0.0,2)</f>
        <v/>
      </c>
      <c r="QH35" s="3">
        <f>ROUND(0.0,2)</f>
        <v/>
      </c>
      <c r="QI35" s="3">
        <f>ROUND(0.0,2)</f>
        <v/>
      </c>
      <c r="QJ35" s="4">
        <f>IFERROR((QD35/QC35),0)</f>
        <v/>
      </c>
      <c r="QK35" s="4">
        <f>IFERROR(((0+QB11+QB12+QB13+QB14+QB15+QB16+QB17+QB19+QB20+QB21+QB22+QB23+QB24+QB25+QB27+QB28+QB29+QB30+QB31+QB32+QB33+QB35)/T2),0)</f>
        <v/>
      </c>
      <c r="QL35" s="5">
        <f>IFERROR(ROUND(QB35/QD35,2),0)</f>
        <v/>
      </c>
      <c r="QM35" s="5">
        <f>IFERROR(ROUND(QB35/QE35,2),0)</f>
        <v/>
      </c>
      <c r="QN35" s="2" t="inlineStr">
        <is>
          <t>2023-10-11</t>
        </is>
      </c>
      <c r="QO35" s="5">
        <f>ROUND(0.47,2)</f>
        <v/>
      </c>
      <c r="QP35" s="3">
        <f>ROUND(2288.0,2)</f>
        <v/>
      </c>
      <c r="QQ35" s="3">
        <f>ROUND(47.0,2)</f>
        <v/>
      </c>
      <c r="QR35" s="3">
        <f>ROUND(0.0,2)</f>
        <v/>
      </c>
      <c r="QS35" s="3">
        <f>ROUND(0.0,2)</f>
        <v/>
      </c>
      <c r="QT35" s="3">
        <f>ROUND(0.0,2)</f>
        <v/>
      </c>
      <c r="QU35" s="3">
        <f>ROUND(0.0,2)</f>
        <v/>
      </c>
      <c r="QV35" s="3">
        <f>ROUND(0.0,2)</f>
        <v/>
      </c>
      <c r="QW35" s="4">
        <f>IFERROR((QQ35/QP35),0)</f>
        <v/>
      </c>
      <c r="QX35" s="4">
        <f>IFERROR(((0+QO11+QO12+QO13+QO14+QO15+QO16+QO17+QO19+QO20+QO21+QO22+QO23+QO24+QO25+QO27+QO28+QO29+QO30+QO31+QO32+QO33+QO35)/T2),0)</f>
        <v/>
      </c>
      <c r="QY35" s="5">
        <f>IFERROR(ROUND(QO35/QQ35,2),0)</f>
        <v/>
      </c>
      <c r="QZ35" s="5">
        <f>IFERROR(ROUND(QO35/QR35,2),0)</f>
        <v/>
      </c>
      <c r="RA35" s="2" t="inlineStr">
        <is>
          <t>2023-10-11</t>
        </is>
      </c>
      <c r="RB35" s="5">
        <f>ROUND(0.8400000000000001,2)</f>
        <v/>
      </c>
      <c r="RC35" s="3">
        <f>ROUND(1070.0,2)</f>
        <v/>
      </c>
      <c r="RD35" s="3">
        <f>ROUND(84.0,2)</f>
        <v/>
      </c>
      <c r="RE35" s="3">
        <f>ROUND(0.0,2)</f>
        <v/>
      </c>
      <c r="RF35" s="3">
        <f>ROUND(0.0,2)</f>
        <v/>
      </c>
      <c r="RG35" s="3">
        <f>ROUND(0.0,2)</f>
        <v/>
      </c>
      <c r="RH35" s="3">
        <f>ROUND(0.0,2)</f>
        <v/>
      </c>
      <c r="RI35" s="3">
        <f>ROUND(0.0,2)</f>
        <v/>
      </c>
      <c r="RJ35" s="4">
        <f>IFERROR((RD35/RC35),0)</f>
        <v/>
      </c>
      <c r="RK35" s="4">
        <f>IFERROR(((0+RB11+RB12+RB13+RB14+RB15+RB16+RB17+RB19+RB20+RB21+RB22+RB23+RB24+RB25+RB27+RB28+RB29+RB30+RB31+RB32+RB33+RB35)/T2),0)</f>
        <v/>
      </c>
      <c r="RL35" s="5">
        <f>IFERROR(ROUND(RB35/RD35,2),0)</f>
        <v/>
      </c>
      <c r="RM35" s="5">
        <f>IFERROR(ROUND(RB35/RE35,2),0)</f>
        <v/>
      </c>
      <c r="RN35" s="2" t="inlineStr">
        <is>
          <t>2023-10-11</t>
        </is>
      </c>
      <c r="RO35" s="5">
        <f>ROUND(0.31,2)</f>
        <v/>
      </c>
      <c r="RP35" s="3">
        <f>ROUND(526.0,2)</f>
        <v/>
      </c>
      <c r="RQ35" s="3">
        <f>ROUND(31.0,2)</f>
        <v/>
      </c>
      <c r="RR35" s="3">
        <f>ROUND(0.0,2)</f>
        <v/>
      </c>
      <c r="RS35" s="3">
        <f>ROUND(0.0,2)</f>
        <v/>
      </c>
      <c r="RT35" s="3">
        <f>ROUND(0.0,2)</f>
        <v/>
      </c>
      <c r="RU35" s="3">
        <f>ROUND(0.0,2)</f>
        <v/>
      </c>
      <c r="RV35" s="3">
        <f>ROUND(0.0,2)</f>
        <v/>
      </c>
      <c r="RW35" s="4">
        <f>IFERROR((RQ35/RP35),0)</f>
        <v/>
      </c>
      <c r="RX35" s="4">
        <f>IFERROR(((0+RO11+RO12+RO13+RO14+RO15+RO16+RO17+RO19+RO20+RO21+RO22+RO23+RO24+RO25+RO27+RO28+RO29+RO30+RO31+RO32+RO33+RO35)/T2),0)</f>
        <v/>
      </c>
      <c r="RY35" s="5">
        <f>IFERROR(ROUND(RO35/RQ35,2),0)</f>
        <v/>
      </c>
      <c r="RZ35" s="5">
        <f>IFERROR(ROUND(RO35/RR35,2),0)</f>
        <v/>
      </c>
      <c r="SA35" s="2" t="inlineStr">
        <is>
          <t>2023-10-11</t>
        </is>
      </c>
      <c r="SB35" s="5">
        <f>ROUND(1.5,2)</f>
        <v/>
      </c>
      <c r="SC35" s="3">
        <f>ROUND(2191.0,2)</f>
        <v/>
      </c>
      <c r="SD35" s="3">
        <f>ROUND(150.0,2)</f>
        <v/>
      </c>
      <c r="SE35" s="3">
        <f>ROUND(0.0,2)</f>
        <v/>
      </c>
      <c r="SF35" s="3">
        <f>ROUND(0.0,2)</f>
        <v/>
      </c>
      <c r="SG35" s="3">
        <f>ROUND(0.0,2)</f>
        <v/>
      </c>
      <c r="SH35" s="3">
        <f>ROUND(0.0,2)</f>
        <v/>
      </c>
      <c r="SI35" s="3">
        <f>ROUND(0.0,2)</f>
        <v/>
      </c>
      <c r="SJ35" s="4">
        <f>IFERROR((SD35/SC35),0)</f>
        <v/>
      </c>
      <c r="SK35" s="4">
        <f>IFERROR(((0+SB11+SB12+SB13+SB14+SB15+SB16+SB17+SB19+SB20+SB21+SB22+SB23+SB24+SB25+SB27+SB28+SB29+SB30+SB31+SB32+SB33+SB35)/T2),0)</f>
        <v/>
      </c>
      <c r="SL35" s="5">
        <f>IFERROR(ROUND(SB35/SD35,2),0)</f>
        <v/>
      </c>
      <c r="SM35" s="5">
        <f>IFERROR(ROUND(SB35/SE35,2),0)</f>
        <v/>
      </c>
      <c r="SN35" s="2" t="inlineStr">
        <is>
          <t>2023-10-11</t>
        </is>
      </c>
      <c r="SO35" s="5">
        <f>ROUND(0.59,2)</f>
        <v/>
      </c>
      <c r="SP35" s="3">
        <f>ROUND(973.0,2)</f>
        <v/>
      </c>
      <c r="SQ35" s="3">
        <f>ROUND(59.0,2)</f>
        <v/>
      </c>
      <c r="SR35" s="3">
        <f>ROUND(0.0,2)</f>
        <v/>
      </c>
      <c r="SS35" s="3">
        <f>ROUND(0.0,2)</f>
        <v/>
      </c>
      <c r="ST35" s="3">
        <f>ROUND(0.0,2)</f>
        <v/>
      </c>
      <c r="SU35" s="3">
        <f>ROUND(0.0,2)</f>
        <v/>
      </c>
      <c r="SV35" s="3">
        <f>ROUND(0.0,2)</f>
        <v/>
      </c>
      <c r="SW35" s="4">
        <f>IFERROR((SQ35/SP35),0)</f>
        <v/>
      </c>
      <c r="SX35" s="4">
        <f>IFERROR(((0+SO11+SO12+SO13+SO14+SO15+SO16+SO17+SO19+SO20+SO21+SO22+SO23+SO24+SO25+SO27+SO28+SO29+SO30+SO31+SO32+SO33+SO35)/T2),0)</f>
        <v/>
      </c>
      <c r="SY35" s="5">
        <f>IFERROR(ROUND(SO35/SQ35,2),0)</f>
        <v/>
      </c>
      <c r="SZ35" s="5">
        <f>IFERROR(ROUND(SO35/SR35,2),0)</f>
        <v/>
      </c>
    </row>
    <row r="36">
      <c r="A36" s="2" t="inlineStr">
        <is>
          <t>2023-10-12</t>
        </is>
      </c>
      <c r="B36" s="5">
        <f>ROUND(41.589999999999996,2)</f>
        <v/>
      </c>
      <c r="C36" s="3">
        <f>ROUND(92262.0,2)</f>
        <v/>
      </c>
      <c r="D36" s="3">
        <f>ROUND(4159.0,2)</f>
        <v/>
      </c>
      <c r="E36" s="3">
        <f>ROUND(0.0,2)</f>
        <v/>
      </c>
      <c r="F36" s="3">
        <f>ROUND(0.0,2)</f>
        <v/>
      </c>
      <c r="G36" s="3">
        <f>ROUND(0.0,2)</f>
        <v/>
      </c>
      <c r="H36" s="3">
        <f>ROUND(0.0,2)</f>
        <v/>
      </c>
      <c r="I36" s="3">
        <f>ROUND(0.0,2)</f>
        <v/>
      </c>
      <c r="J36" s="4">
        <f>IFERROR((D36/C36),0)</f>
        <v/>
      </c>
      <c r="K36" s="4">
        <f>IFERROR(((0+B11+B12+B13+B14+B15+B16+B17+B19+B20+B21+B22+B23+B24+B25+B27+B28+B29+B30+B31+B32+B33+B35+B36)/T2),0)</f>
        <v/>
      </c>
      <c r="L36" s="5">
        <f>IFERROR(ROUND(B36/D36,2),0)</f>
        <v/>
      </c>
      <c r="M36" s="5">
        <f>IFERROR(ROUND(B36/E36,2),0)</f>
        <v/>
      </c>
      <c r="N36" s="2" t="inlineStr">
        <is>
          <t>2023-10-12</t>
        </is>
      </c>
      <c r="O36" s="5">
        <f>ROUND(0.41,2)</f>
        <v/>
      </c>
      <c r="P36" s="3">
        <f>ROUND(1092.0,2)</f>
        <v/>
      </c>
      <c r="Q36" s="3">
        <f>ROUND(41.0,2)</f>
        <v/>
      </c>
      <c r="R36" s="3">
        <f>ROUND(0.0,2)</f>
        <v/>
      </c>
      <c r="S36" s="3">
        <f>ROUND(0.0,2)</f>
        <v/>
      </c>
      <c r="T36" s="3">
        <f>ROUND(0.0,2)</f>
        <v/>
      </c>
      <c r="U36" s="3">
        <f>ROUND(0.0,2)</f>
        <v/>
      </c>
      <c r="V36" s="3">
        <f>ROUND(0.0,2)</f>
        <v/>
      </c>
      <c r="W36" s="4">
        <f>IFERROR((Q36/P36),0)</f>
        <v/>
      </c>
      <c r="X36" s="4">
        <f>IFERROR(((0+O11+O12+O13+O14+O15+O16+O17+O19+O20+O21+O22+O23+O24+O25+O27+O28+O29+O30+O31+O32+O33+O35+O36)/T2),0)</f>
        <v/>
      </c>
      <c r="Y36" s="5">
        <f>IFERROR(ROUND(O36/Q36,2),0)</f>
        <v/>
      </c>
      <c r="Z36" s="5">
        <f>IFERROR(ROUND(O36/R36,2),0)</f>
        <v/>
      </c>
      <c r="AA36" s="2" t="inlineStr">
        <is>
          <t>2023-10-12</t>
        </is>
      </c>
      <c r="AB36" s="5">
        <f>ROUND(0.04,2)</f>
        <v/>
      </c>
      <c r="AC36" s="3">
        <f>ROUND(62.0,2)</f>
        <v/>
      </c>
      <c r="AD36" s="3">
        <f>ROUND(4.0,2)</f>
        <v/>
      </c>
      <c r="AE36" s="3">
        <f>ROUND(0.0,2)</f>
        <v/>
      </c>
      <c r="AF36" s="3">
        <f>ROUND(0.0,2)</f>
        <v/>
      </c>
      <c r="AG36" s="3">
        <f>ROUND(0.0,2)</f>
        <v/>
      </c>
      <c r="AH36" s="3">
        <f>ROUND(0.0,2)</f>
        <v/>
      </c>
      <c r="AI36" s="3">
        <f>ROUND(0.0,2)</f>
        <v/>
      </c>
      <c r="AJ36" s="4">
        <f>IFERROR((AD36/AC36),0)</f>
        <v/>
      </c>
      <c r="AK36" s="4">
        <f>IFERROR(((0+AB11+AB12+AB13+AB14+AB15+AB16+AB17+AB19+AB20+AB21+AB22+AB23+AB24+AB25+AB27+AB28+AB29+AB30+AB31+AB32+AB33+AB35+AB36)/T2),0)</f>
        <v/>
      </c>
      <c r="AL36" s="5">
        <f>IFERROR(ROUND(AB36/AD36,2),0)</f>
        <v/>
      </c>
      <c r="AM36" s="5">
        <f>IFERROR(ROUND(AB36/AE36,2),0)</f>
        <v/>
      </c>
      <c r="AN36" s="2" t="inlineStr">
        <is>
          <t>2023-10-12</t>
        </is>
      </c>
      <c r="AO36" s="5">
        <f>ROUND(0.45999999999999996,2)</f>
        <v/>
      </c>
      <c r="AP36" s="3">
        <f>ROUND(1635.0,2)</f>
        <v/>
      </c>
      <c r="AQ36" s="3">
        <f>ROUND(46.0,2)</f>
        <v/>
      </c>
      <c r="AR36" s="3">
        <f>ROUND(0.0,2)</f>
        <v/>
      </c>
      <c r="AS36" s="3">
        <f>ROUND(0.0,2)</f>
        <v/>
      </c>
      <c r="AT36" s="3">
        <f>ROUND(0.0,2)</f>
        <v/>
      </c>
      <c r="AU36" s="3">
        <f>ROUND(0.0,2)</f>
        <v/>
      </c>
      <c r="AV36" s="3">
        <f>ROUND(0.0,2)</f>
        <v/>
      </c>
      <c r="AW36" s="4">
        <f>IFERROR((AQ36/AP36),0)</f>
        <v/>
      </c>
      <c r="AX36" s="4">
        <f>IFERROR(((0+AO11+AO12+AO13+AO14+AO15+AO16+AO17+AO19+AO20+AO21+AO22+AO23+AO24+AO25+AO27+AO28+AO29+AO30+AO31+AO32+AO33+AO35+AO36)/T2),0)</f>
        <v/>
      </c>
      <c r="AY36" s="5">
        <f>IFERROR(ROUND(AO36/AQ36,2),0)</f>
        <v/>
      </c>
      <c r="AZ36" s="5">
        <f>IFERROR(ROUND(AO36/AR36,2),0)</f>
        <v/>
      </c>
      <c r="BA36" s="2" t="inlineStr">
        <is>
          <t>2023-10-12</t>
        </is>
      </c>
      <c r="BB36" s="5">
        <f>ROUND(1.35,2)</f>
        <v/>
      </c>
      <c r="BC36" s="3">
        <f>ROUND(2132.0,2)</f>
        <v/>
      </c>
      <c r="BD36" s="3">
        <f>ROUND(135.0,2)</f>
        <v/>
      </c>
      <c r="BE36" s="3">
        <f>ROUND(0.0,2)</f>
        <v/>
      </c>
      <c r="BF36" s="3">
        <f>ROUND(0.0,2)</f>
        <v/>
      </c>
      <c r="BG36" s="3">
        <f>ROUND(0.0,2)</f>
        <v/>
      </c>
      <c r="BH36" s="3">
        <f>ROUND(0.0,2)</f>
        <v/>
      </c>
      <c r="BI36" s="3">
        <f>ROUND(0.0,2)</f>
        <v/>
      </c>
      <c r="BJ36" s="4">
        <f>IFERROR((BD36/BC36),0)</f>
        <v/>
      </c>
      <c r="BK36" s="4">
        <f>IFERROR(((0+BB11+BB12+BB13+BB14+BB15+BB16+BB17+BB19+BB20+BB21+BB22+BB23+BB24+BB25+BB27+BB28+BB29+BB30+BB31+BB32+BB33+BB35+BB36)/T2),0)</f>
        <v/>
      </c>
      <c r="BL36" s="5">
        <f>IFERROR(ROUND(BB36/BD36,2),0)</f>
        <v/>
      </c>
      <c r="BM36" s="5">
        <f>IFERROR(ROUND(BB36/BE36,2),0)</f>
        <v/>
      </c>
      <c r="BN36" s="2" t="inlineStr">
        <is>
          <t>2023-10-12</t>
        </is>
      </c>
      <c r="BO36" s="5">
        <f>ROUND(0.7,2)</f>
        <v/>
      </c>
      <c r="BP36" s="3">
        <f>ROUND(756.0,2)</f>
        <v/>
      </c>
      <c r="BQ36" s="3">
        <f>ROUND(70.0,2)</f>
        <v/>
      </c>
      <c r="BR36" s="3">
        <f>ROUND(0.0,2)</f>
        <v/>
      </c>
      <c r="BS36" s="3">
        <f>ROUND(0.0,2)</f>
        <v/>
      </c>
      <c r="BT36" s="3">
        <f>ROUND(0.0,2)</f>
        <v/>
      </c>
      <c r="BU36" s="3">
        <f>ROUND(0.0,2)</f>
        <v/>
      </c>
      <c r="BV36" s="3">
        <f>ROUND(0.0,2)</f>
        <v/>
      </c>
      <c r="BW36" s="4">
        <f>IFERROR((BQ36/BP36),0)</f>
        <v/>
      </c>
      <c r="BX36" s="4">
        <f>IFERROR(((0+BO11+BO12+BO13+BO14+BO15+BO16+BO17+BO19+BO20+BO21+BO22+BO23+BO24+BO25+BO27+BO28+BO29+BO30+BO31+BO32+BO33+BO35+BO36)/T2),0)</f>
        <v/>
      </c>
      <c r="BY36" s="5">
        <f>IFERROR(ROUND(BO36/BQ36,2),0)</f>
        <v/>
      </c>
      <c r="BZ36" s="5">
        <f>IFERROR(ROUND(BO36/BR36,2),0)</f>
        <v/>
      </c>
      <c r="CA36" s="2" t="inlineStr">
        <is>
          <t>2023-10-12</t>
        </is>
      </c>
      <c r="CB36" s="5">
        <f>ROUND(0.01,2)</f>
        <v/>
      </c>
      <c r="CC36" s="3">
        <f>ROUND(35.0,2)</f>
        <v/>
      </c>
      <c r="CD36" s="3">
        <f>ROUND(1.0,2)</f>
        <v/>
      </c>
      <c r="CE36" s="3">
        <f>ROUND(0.0,2)</f>
        <v/>
      </c>
      <c r="CF36" s="3">
        <f>ROUND(0.0,2)</f>
        <v/>
      </c>
      <c r="CG36" s="3">
        <f>ROUND(0.0,2)</f>
        <v/>
      </c>
      <c r="CH36" s="3">
        <f>ROUND(0.0,2)</f>
        <v/>
      </c>
      <c r="CI36" s="3">
        <f>ROUND(0.0,2)</f>
        <v/>
      </c>
      <c r="CJ36" s="4">
        <f>IFERROR((CD36/CC36),0)</f>
        <v/>
      </c>
      <c r="CK36" s="4">
        <f>IFERROR(((0+CB11+CB12+CB13+CB14+CB15+CB16+CB17+CB19+CB20+CB21+CB22+CB23+CB24+CB25+CB27+CB28+CB29+CB30+CB31+CB32+CB33+CB35+CB36)/T2),0)</f>
        <v/>
      </c>
      <c r="CL36" s="5">
        <f>IFERROR(ROUND(CB36/CD36,2),0)</f>
        <v/>
      </c>
      <c r="CM36" s="5">
        <f>IFERROR(ROUND(CB36/CE36,2),0)</f>
        <v/>
      </c>
      <c r="CN36" s="2" t="inlineStr">
        <is>
          <t>2023-10-12</t>
        </is>
      </c>
      <c r="CO36" s="5">
        <f>ROUND(0.95,2)</f>
        <v/>
      </c>
      <c r="CP36" s="3">
        <f>ROUND(2171.0,2)</f>
        <v/>
      </c>
      <c r="CQ36" s="3">
        <f>ROUND(95.0,2)</f>
        <v/>
      </c>
      <c r="CR36" s="3">
        <f>ROUND(0.0,2)</f>
        <v/>
      </c>
      <c r="CS36" s="3">
        <f>ROUND(0.0,2)</f>
        <v/>
      </c>
      <c r="CT36" s="3">
        <f>ROUND(0.0,2)</f>
        <v/>
      </c>
      <c r="CU36" s="3">
        <f>ROUND(0.0,2)</f>
        <v/>
      </c>
      <c r="CV36" s="3">
        <f>ROUND(0.0,2)</f>
        <v/>
      </c>
      <c r="CW36" s="4">
        <f>IFERROR((CQ36/CP36),0)</f>
        <v/>
      </c>
      <c r="CX36" s="4">
        <f>IFERROR(((0+CO11+CO12+CO13+CO14+CO15+CO16+CO17+CO19+CO20+CO21+CO22+CO23+CO24+CO25+CO27+CO28+CO29+CO30+CO31+CO32+CO33+CO35+CO36)/T2),0)</f>
        <v/>
      </c>
      <c r="CY36" s="5">
        <f>IFERROR(ROUND(CO36/CQ36,2),0)</f>
        <v/>
      </c>
      <c r="CZ36" s="5">
        <f>IFERROR(ROUND(CO36/CR36,2),0)</f>
        <v/>
      </c>
      <c r="DA36" s="2" t="inlineStr">
        <is>
          <t>2023-10-12</t>
        </is>
      </c>
      <c r="DB36" s="5">
        <f>ROUND(2.37,2)</f>
        <v/>
      </c>
      <c r="DC36" s="3">
        <f>ROUND(4937.0,2)</f>
        <v/>
      </c>
      <c r="DD36" s="3">
        <f>ROUND(237.0,2)</f>
        <v/>
      </c>
      <c r="DE36" s="3">
        <f>ROUND(0.0,2)</f>
        <v/>
      </c>
      <c r="DF36" s="3">
        <f>ROUND(0.0,2)</f>
        <v/>
      </c>
      <c r="DG36" s="3">
        <f>ROUND(0.0,2)</f>
        <v/>
      </c>
      <c r="DH36" s="3">
        <f>ROUND(0.0,2)</f>
        <v/>
      </c>
      <c r="DI36" s="3">
        <f>ROUND(0.0,2)</f>
        <v/>
      </c>
      <c r="DJ36" s="4">
        <f>IFERROR((DD36/DC36),0)</f>
        <v/>
      </c>
      <c r="DK36" s="4">
        <f>IFERROR(((0+DB11+DB12+DB13+DB14+DB15+DB16+DB17+DB19+DB20+DB21+DB22+DB23+DB24+DB25+DB27+DB28+DB29+DB30+DB31+DB32+DB33+DB35+DB36)/T2),0)</f>
        <v/>
      </c>
      <c r="DL36" s="5">
        <f>IFERROR(ROUND(DB36/DD36,2),0)</f>
        <v/>
      </c>
      <c r="DM36" s="5">
        <f>IFERROR(ROUND(DB36/DE36,2),0)</f>
        <v/>
      </c>
      <c r="DN36" s="2" t="inlineStr">
        <is>
          <t>2023-10-12</t>
        </is>
      </c>
      <c r="DO36" s="5">
        <f>ROUND(0.02,2)</f>
        <v/>
      </c>
      <c r="DP36" s="3">
        <f>ROUND(18.0,2)</f>
        <v/>
      </c>
      <c r="DQ36" s="3">
        <f>ROUND(2.0,2)</f>
        <v/>
      </c>
      <c r="DR36" s="3">
        <f>ROUND(0.0,2)</f>
        <v/>
      </c>
      <c r="DS36" s="3">
        <f>ROUND(0.0,2)</f>
        <v/>
      </c>
      <c r="DT36" s="3">
        <f>ROUND(0.0,2)</f>
        <v/>
      </c>
      <c r="DU36" s="3">
        <f>ROUND(0.0,2)</f>
        <v/>
      </c>
      <c r="DV36" s="3">
        <f>ROUND(0.0,2)</f>
        <v/>
      </c>
      <c r="DW36" s="4">
        <f>IFERROR((DQ36/DP36),0)</f>
        <v/>
      </c>
      <c r="DX36" s="4">
        <f>IFERROR(((0+DO11+DO12+DO13+DO14+DO15+DO16+DO17+DO19+DO20+DO21+DO22+DO23+DO24+DO25+DO27+DO28+DO29+DO30+DO31+DO32+DO33+DO35+DO36)/T2),0)</f>
        <v/>
      </c>
      <c r="DY36" s="5">
        <f>IFERROR(ROUND(DO36/DQ36,2),0)</f>
        <v/>
      </c>
      <c r="DZ36" s="5">
        <f>IFERROR(ROUND(DO36/DR36,2),0)</f>
        <v/>
      </c>
      <c r="EA36" s="2" t="inlineStr">
        <is>
          <t>2023-10-12</t>
        </is>
      </c>
      <c r="EB36" s="5">
        <f>ROUND(4.72,2)</f>
        <v/>
      </c>
      <c r="EC36" s="3">
        <f>ROUND(17789.0,2)</f>
        <v/>
      </c>
      <c r="ED36" s="3">
        <f>ROUND(472.0,2)</f>
        <v/>
      </c>
      <c r="EE36" s="3">
        <f>ROUND(0.0,2)</f>
        <v/>
      </c>
      <c r="EF36" s="3">
        <f>ROUND(0.0,2)</f>
        <v/>
      </c>
      <c r="EG36" s="3">
        <f>ROUND(0.0,2)</f>
        <v/>
      </c>
      <c r="EH36" s="3">
        <f>ROUND(0.0,2)</f>
        <v/>
      </c>
      <c r="EI36" s="3">
        <f>ROUND(0.0,2)</f>
        <v/>
      </c>
      <c r="EJ36" s="4">
        <f>IFERROR((ED36/EC36),0)</f>
        <v/>
      </c>
      <c r="EK36" s="4">
        <f>IFERROR(((0+EB11+EB12+EB13+EB14+EB15+EB16+EB17+EB19+EB20+EB21+EB22+EB23+EB24+EB25+EB27+EB28+EB29+EB30+EB31+EB32+EB33+EB35+EB36)/T2),0)</f>
        <v/>
      </c>
      <c r="EL36" s="5">
        <f>IFERROR(ROUND(EB36/ED36,2),0)</f>
        <v/>
      </c>
      <c r="EM36" s="5">
        <f>IFERROR(ROUND(EB36/EE36,2),0)</f>
        <v/>
      </c>
      <c r="EN36" s="2" t="inlineStr">
        <is>
          <t>2023-10-12</t>
        </is>
      </c>
      <c r="EO36" s="5">
        <f>ROUND(0.01,2)</f>
        <v/>
      </c>
      <c r="EP36" s="3">
        <f>ROUND(17.0,2)</f>
        <v/>
      </c>
      <c r="EQ36" s="3">
        <f>ROUND(1.0,2)</f>
        <v/>
      </c>
      <c r="ER36" s="3">
        <f>ROUND(0.0,2)</f>
        <v/>
      </c>
      <c r="ES36" s="3">
        <f>ROUND(0.0,2)</f>
        <v/>
      </c>
      <c r="ET36" s="3">
        <f>ROUND(0.0,2)</f>
        <v/>
      </c>
      <c r="EU36" s="3">
        <f>ROUND(0.0,2)</f>
        <v/>
      </c>
      <c r="EV36" s="3">
        <f>ROUND(0.0,2)</f>
        <v/>
      </c>
      <c r="EW36" s="4">
        <f>IFERROR((EQ36/EP36),0)</f>
        <v/>
      </c>
      <c r="EX36" s="4">
        <f>IFERROR(((0+EO11+EO12+EO13+EO14+EO15+EO16+EO17+EO19+EO20+EO21+EO22+EO23+EO24+EO25+EO27+EO28+EO29+EO30+EO31+EO32+EO33+EO35+EO36)/T2),0)</f>
        <v/>
      </c>
      <c r="EY36" s="5">
        <f>IFERROR(ROUND(EO36/EQ36,2),0)</f>
        <v/>
      </c>
      <c r="EZ36" s="5">
        <f>IFERROR(ROUND(EO36/ER36,2),0)</f>
        <v/>
      </c>
      <c r="FA36" s="2" t="inlineStr">
        <is>
          <t>2023-10-12</t>
        </is>
      </c>
      <c r="FB36" s="5">
        <f>ROUND(0.21,2)</f>
        <v/>
      </c>
      <c r="FC36" s="3">
        <f>ROUND(1076.0,2)</f>
        <v/>
      </c>
      <c r="FD36" s="3">
        <f>ROUND(21.0,2)</f>
        <v/>
      </c>
      <c r="FE36" s="3">
        <f>ROUND(0.0,2)</f>
        <v/>
      </c>
      <c r="FF36" s="3">
        <f>ROUND(0.0,2)</f>
        <v/>
      </c>
      <c r="FG36" s="3">
        <f>ROUND(0.0,2)</f>
        <v/>
      </c>
      <c r="FH36" s="3">
        <f>ROUND(0.0,2)</f>
        <v/>
      </c>
      <c r="FI36" s="3">
        <f>ROUND(0.0,2)</f>
        <v/>
      </c>
      <c r="FJ36" s="4">
        <f>IFERROR((FD36/FC36),0)</f>
        <v/>
      </c>
      <c r="FK36" s="4">
        <f>IFERROR(((0+FB11+FB12+FB13+FB14+FB15+FB16+FB17+FB19+FB20+FB21+FB22+FB23+FB24+FB25+FB27+FB28+FB29+FB30+FB31+FB32+FB33+FB35+FB36)/T2),0)</f>
        <v/>
      </c>
      <c r="FL36" s="5">
        <f>IFERROR(ROUND(FB36/FD36,2),0)</f>
        <v/>
      </c>
      <c r="FM36" s="5">
        <f>IFERROR(ROUND(FB36/FE36,2),0)</f>
        <v/>
      </c>
      <c r="FN36" s="2" t="inlineStr">
        <is>
          <t>2023-10-12</t>
        </is>
      </c>
      <c r="FO36" s="5">
        <f>ROUND(2.1599999999999997,2)</f>
        <v/>
      </c>
      <c r="FP36" s="3">
        <f>ROUND(8072.0,2)</f>
        <v/>
      </c>
      <c r="FQ36" s="3">
        <f>ROUND(216.0,2)</f>
        <v/>
      </c>
      <c r="FR36" s="3">
        <f>ROUND(0.0,2)</f>
        <v/>
      </c>
      <c r="FS36" s="3">
        <f>ROUND(0.0,2)</f>
        <v/>
      </c>
      <c r="FT36" s="3">
        <f>ROUND(0.0,2)</f>
        <v/>
      </c>
      <c r="FU36" s="3">
        <f>ROUND(0.0,2)</f>
        <v/>
      </c>
      <c r="FV36" s="3">
        <f>ROUND(0.0,2)</f>
        <v/>
      </c>
      <c r="FW36" s="4">
        <f>IFERROR((FQ36/FP36),0)</f>
        <v/>
      </c>
      <c r="FX36" s="4">
        <f>IFERROR(((0+FO11+FO12+FO13+FO14+FO15+FO16+FO17+FO19+FO20+FO21+FO22+FO23+FO24+FO25+FO27+FO28+FO29+FO30+FO31+FO32+FO33+FO35+FO36)/T2),0)</f>
        <v/>
      </c>
      <c r="FY36" s="5">
        <f>IFERROR(ROUND(FO36/FQ36,2),0)</f>
        <v/>
      </c>
      <c r="FZ36" s="5">
        <f>IFERROR(ROUND(FO36/FR36,2),0)</f>
        <v/>
      </c>
      <c r="GA36" s="2" t="inlineStr">
        <is>
          <t>2023-10-12</t>
        </is>
      </c>
      <c r="GB36" s="5">
        <f>ROUND(0.04,2)</f>
        <v/>
      </c>
      <c r="GC36" s="3">
        <f>ROUND(50.0,2)</f>
        <v/>
      </c>
      <c r="GD36" s="3">
        <f>ROUND(4.0,2)</f>
        <v/>
      </c>
      <c r="GE36" s="3">
        <f>ROUND(0.0,2)</f>
        <v/>
      </c>
      <c r="GF36" s="3">
        <f>ROUND(0.0,2)</f>
        <v/>
      </c>
      <c r="GG36" s="3">
        <f>ROUND(0.0,2)</f>
        <v/>
      </c>
      <c r="GH36" s="3">
        <f>ROUND(0.0,2)</f>
        <v/>
      </c>
      <c r="GI36" s="3">
        <f>ROUND(0.0,2)</f>
        <v/>
      </c>
      <c r="GJ36" s="4">
        <f>IFERROR((GD36/GC36),0)</f>
        <v/>
      </c>
      <c r="GK36" s="4">
        <f>IFERROR(((0+GB11+GB12+GB13+GB14+GB15+GB16+GB17+GB19+GB20+GB21+GB22+GB23+GB24+GB25+GB27+GB28+GB29+GB30+GB31+GB32+GB33+GB35+GB36)/T2),0)</f>
        <v/>
      </c>
      <c r="GL36" s="5">
        <f>IFERROR(ROUND(GB36/GD36,2),0)</f>
        <v/>
      </c>
      <c r="GM36" s="5">
        <f>IFERROR(ROUND(GB36/GE36,2),0)</f>
        <v/>
      </c>
      <c r="GN36" s="2" t="inlineStr">
        <is>
          <t>2023-10-12</t>
        </is>
      </c>
      <c r="GO36" s="5">
        <f>ROUND(0.45999999999999996,2)</f>
        <v/>
      </c>
      <c r="GP36" s="3">
        <f>ROUND(1181.0,2)</f>
        <v/>
      </c>
      <c r="GQ36" s="3">
        <f>ROUND(46.0,2)</f>
        <v/>
      </c>
      <c r="GR36" s="3">
        <f>ROUND(0.0,2)</f>
        <v/>
      </c>
      <c r="GS36" s="3">
        <f>ROUND(0.0,2)</f>
        <v/>
      </c>
      <c r="GT36" s="3">
        <f>ROUND(0.0,2)</f>
        <v/>
      </c>
      <c r="GU36" s="3">
        <f>ROUND(0.0,2)</f>
        <v/>
      </c>
      <c r="GV36" s="3">
        <f>ROUND(0.0,2)</f>
        <v/>
      </c>
      <c r="GW36" s="4">
        <f>IFERROR((GQ36/GP36),0)</f>
        <v/>
      </c>
      <c r="GX36" s="4">
        <f>IFERROR(((0+GO11+GO12+GO13+GO14+GO15+GO16+GO17+GO19+GO20+GO21+GO22+GO23+GO24+GO25+GO27+GO28+GO29+GO30+GO31+GO32+GO33+GO35+GO36)/T2),0)</f>
        <v/>
      </c>
      <c r="GY36" s="5">
        <f>IFERROR(ROUND(GO36/GQ36,2),0)</f>
        <v/>
      </c>
      <c r="GZ36" s="5">
        <f>IFERROR(ROUND(GO36/GR36,2),0)</f>
        <v/>
      </c>
      <c r="HA36" s="2" t="inlineStr">
        <is>
          <t>2023-10-12</t>
        </is>
      </c>
      <c r="HB36" s="5">
        <f>ROUND(11.04,2)</f>
        <v/>
      </c>
      <c r="HC36" s="3">
        <f>ROUND(14292.0,2)</f>
        <v/>
      </c>
      <c r="HD36" s="3">
        <f>ROUND(1104.0,2)</f>
        <v/>
      </c>
      <c r="HE36" s="3">
        <f>ROUND(0.0,2)</f>
        <v/>
      </c>
      <c r="HF36" s="3">
        <f>ROUND(0.0,2)</f>
        <v/>
      </c>
      <c r="HG36" s="3">
        <f>ROUND(0.0,2)</f>
        <v/>
      </c>
      <c r="HH36" s="3">
        <f>ROUND(0.0,2)</f>
        <v/>
      </c>
      <c r="HI36" s="3">
        <f>ROUND(0.0,2)</f>
        <v/>
      </c>
      <c r="HJ36" s="4">
        <f>IFERROR((HD36/HC36),0)</f>
        <v/>
      </c>
      <c r="HK36" s="4">
        <f>IFERROR(((0+HB11+HB12+HB13+HB14+HB15+HB16+HB17+HB19+HB20+HB21+HB22+HB23+HB24+HB25+HB27+HB28+HB29+HB30+HB31+HB32+HB33+HB35+HB36)/T2),0)</f>
        <v/>
      </c>
      <c r="HL36" s="5">
        <f>IFERROR(ROUND(HB36/HD36,2),0)</f>
        <v/>
      </c>
      <c r="HM36" s="5">
        <f>IFERROR(ROUND(HB36/HE36,2),0)</f>
        <v/>
      </c>
      <c r="HN36" s="2" t="inlineStr">
        <is>
          <t>2023-10-12</t>
        </is>
      </c>
      <c r="HO36" s="5">
        <f>ROUND(0.01,2)</f>
        <v/>
      </c>
      <c r="HP36" s="3">
        <f>ROUND(59.0,2)</f>
        <v/>
      </c>
      <c r="HQ36" s="3">
        <f>ROUND(1.0,2)</f>
        <v/>
      </c>
      <c r="HR36" s="3">
        <f>ROUND(0.0,2)</f>
        <v/>
      </c>
      <c r="HS36" s="3">
        <f>ROUND(0.0,2)</f>
        <v/>
      </c>
      <c r="HT36" s="3">
        <f>ROUND(0.0,2)</f>
        <v/>
      </c>
      <c r="HU36" s="3">
        <f>ROUND(0.0,2)</f>
        <v/>
      </c>
      <c r="HV36" s="3">
        <f>ROUND(0.0,2)</f>
        <v/>
      </c>
      <c r="HW36" s="4">
        <f>IFERROR((HQ36/HP36),0)</f>
        <v/>
      </c>
      <c r="HX36" s="4">
        <f>IFERROR(((0+HO11+HO12+HO13+HO14+HO15+HO16+HO17+HO19+HO20+HO21+HO22+HO23+HO24+HO25+HO27+HO28+HO29+HO30+HO31+HO32+HO33+HO35+HO36)/T2),0)</f>
        <v/>
      </c>
      <c r="HY36" s="5">
        <f>IFERROR(ROUND(HO36/HQ36,2),0)</f>
        <v/>
      </c>
      <c r="HZ36" s="5">
        <f>IFERROR(ROUND(HO36/HR36,2),0)</f>
        <v/>
      </c>
      <c r="IA36" s="2" t="inlineStr">
        <is>
          <t>2023-10-12</t>
        </is>
      </c>
      <c r="IB36" s="5">
        <f>ROUND(0.15,2)</f>
        <v/>
      </c>
      <c r="IC36" s="3">
        <f>ROUND(83.0,2)</f>
        <v/>
      </c>
      <c r="ID36" s="3">
        <f>ROUND(15.0,2)</f>
        <v/>
      </c>
      <c r="IE36" s="3">
        <f>ROUND(0.0,2)</f>
        <v/>
      </c>
      <c r="IF36" s="3">
        <f>ROUND(0.0,2)</f>
        <v/>
      </c>
      <c r="IG36" s="3">
        <f>ROUND(0.0,2)</f>
        <v/>
      </c>
      <c r="IH36" s="3">
        <f>ROUND(0.0,2)</f>
        <v/>
      </c>
      <c r="II36" s="3">
        <f>ROUND(0.0,2)</f>
        <v/>
      </c>
      <c r="IJ36" s="4">
        <f>IFERROR((ID36/IC36),0)</f>
        <v/>
      </c>
      <c r="IK36" s="4">
        <f>IFERROR(((0+IB11+IB12+IB13+IB14+IB15+IB16+IB17+IB19+IB20+IB21+IB22+IB23+IB24+IB25+IB27+IB28+IB29+IB30+IB31+IB32+IB33+IB35+IB36)/T2),0)</f>
        <v/>
      </c>
      <c r="IL36" s="5">
        <f>IFERROR(ROUND(IB36/ID36,2),0)</f>
        <v/>
      </c>
      <c r="IM36" s="5">
        <f>IFERROR(ROUND(IB36/IE36,2),0)</f>
        <v/>
      </c>
      <c r="IN36" s="2" t="inlineStr">
        <is>
          <t>2023-10-12</t>
        </is>
      </c>
      <c r="IO36" s="5">
        <f>ROUND(0.21,2)</f>
        <v/>
      </c>
      <c r="IP36" s="3">
        <f>ROUND(678.0,2)</f>
        <v/>
      </c>
      <c r="IQ36" s="3">
        <f>ROUND(21.0,2)</f>
        <v/>
      </c>
      <c r="IR36" s="3">
        <f>ROUND(0.0,2)</f>
        <v/>
      </c>
      <c r="IS36" s="3">
        <f>ROUND(0.0,2)</f>
        <v/>
      </c>
      <c r="IT36" s="3">
        <f>ROUND(0.0,2)</f>
        <v/>
      </c>
      <c r="IU36" s="3">
        <f>ROUND(0.0,2)</f>
        <v/>
      </c>
      <c r="IV36" s="3">
        <f>ROUND(0.0,2)</f>
        <v/>
      </c>
      <c r="IW36" s="4">
        <f>IFERROR((IQ36/IP36),0)</f>
        <v/>
      </c>
      <c r="IX36" s="4">
        <f>IFERROR(((0+IO11+IO12+IO13+IO14+IO15+IO16+IO17+IO19+IO20+IO21+IO22+IO23+IO24+IO25+IO27+IO28+IO29+IO30+IO31+IO32+IO33+IO35+IO36)/T2),0)</f>
        <v/>
      </c>
      <c r="IY36" s="5">
        <f>IFERROR(ROUND(IO36/IQ36,2),0)</f>
        <v/>
      </c>
      <c r="IZ36" s="5">
        <f>IFERROR(ROUND(IO36/IR36,2),0)</f>
        <v/>
      </c>
      <c r="JA36" s="2" t="inlineStr">
        <is>
          <t>2023-10-12</t>
        </is>
      </c>
      <c r="JB36" s="5">
        <f>ROUND(0.52,2)</f>
        <v/>
      </c>
      <c r="JC36" s="3">
        <f>ROUND(1542.0,2)</f>
        <v/>
      </c>
      <c r="JD36" s="3">
        <f>ROUND(52.0,2)</f>
        <v/>
      </c>
      <c r="JE36" s="3">
        <f>ROUND(0.0,2)</f>
        <v/>
      </c>
      <c r="JF36" s="3">
        <f>ROUND(0.0,2)</f>
        <v/>
      </c>
      <c r="JG36" s="3">
        <f>ROUND(0.0,2)</f>
        <v/>
      </c>
      <c r="JH36" s="3">
        <f>ROUND(0.0,2)</f>
        <v/>
      </c>
      <c r="JI36" s="3">
        <f>ROUND(0.0,2)</f>
        <v/>
      </c>
      <c r="JJ36" s="4">
        <f>IFERROR((JD36/JC36),0)</f>
        <v/>
      </c>
      <c r="JK36" s="4">
        <f>IFERROR(((0+JB11+JB12+JB13+JB14+JB15+JB16+JB17+JB19+JB20+JB21+JB22+JB23+JB24+JB25+JB27+JB28+JB29+JB30+JB31+JB32+JB33+JB35+JB36)/T2),0)</f>
        <v/>
      </c>
      <c r="JL36" s="5">
        <f>IFERROR(ROUND(JB36/JD36,2),0)</f>
        <v/>
      </c>
      <c r="JM36" s="5">
        <f>IFERROR(ROUND(JB36/JE36,2),0)</f>
        <v/>
      </c>
      <c r="JN36" s="2" t="inlineStr">
        <is>
          <t>2023-10-12</t>
        </is>
      </c>
      <c r="JO36" s="5">
        <f>ROUND(0.66,2)</f>
        <v/>
      </c>
      <c r="JP36" s="3">
        <f>ROUND(1912.0,2)</f>
        <v/>
      </c>
      <c r="JQ36" s="3">
        <f>ROUND(66.0,2)</f>
        <v/>
      </c>
      <c r="JR36" s="3">
        <f>ROUND(0.0,2)</f>
        <v/>
      </c>
      <c r="JS36" s="3">
        <f>ROUND(0.0,2)</f>
        <v/>
      </c>
      <c r="JT36" s="3">
        <f>ROUND(0.0,2)</f>
        <v/>
      </c>
      <c r="JU36" s="3">
        <f>ROUND(0.0,2)</f>
        <v/>
      </c>
      <c r="JV36" s="3">
        <f>ROUND(0.0,2)</f>
        <v/>
      </c>
      <c r="JW36" s="4">
        <f>IFERROR((JQ36/JP36),0)</f>
        <v/>
      </c>
      <c r="JX36" s="4">
        <f>IFERROR(((0+JO11+JO12+JO13+JO14+JO15+JO16+JO17+JO19+JO20+JO21+JO22+JO23+JO24+JO25+JO27+JO28+JO29+JO30+JO31+JO32+JO33+JO35+JO36)/T2),0)</f>
        <v/>
      </c>
      <c r="JY36" s="5">
        <f>IFERROR(ROUND(JO36/JQ36,2),0)</f>
        <v/>
      </c>
      <c r="JZ36" s="5">
        <f>IFERROR(ROUND(JO36/JR36,2),0)</f>
        <v/>
      </c>
      <c r="KA36" s="2" t="inlineStr">
        <is>
          <t>2023-10-12</t>
        </is>
      </c>
      <c r="KB36" s="5">
        <f>ROUND(0.030000000000000002,2)</f>
        <v/>
      </c>
      <c r="KC36" s="3">
        <f>ROUND(98.0,2)</f>
        <v/>
      </c>
      <c r="KD36" s="3">
        <f>ROUND(3.0,2)</f>
        <v/>
      </c>
      <c r="KE36" s="3">
        <f>ROUND(0.0,2)</f>
        <v/>
      </c>
      <c r="KF36" s="3">
        <f>ROUND(0.0,2)</f>
        <v/>
      </c>
      <c r="KG36" s="3">
        <f>ROUND(0.0,2)</f>
        <v/>
      </c>
      <c r="KH36" s="3">
        <f>ROUND(0.0,2)</f>
        <v/>
      </c>
      <c r="KI36" s="3">
        <f>ROUND(0.0,2)</f>
        <v/>
      </c>
      <c r="KJ36" s="4">
        <f>IFERROR((KD36/KC36),0)</f>
        <v/>
      </c>
      <c r="KK36" s="4">
        <f>IFERROR(((0+KB11+KB12+KB13+KB14+KB15+KB16+KB17+KB19+KB20+KB21+KB22+KB23+KB24+KB25+KB27+KB28+KB29+KB30+KB31+KB32+KB33+KB35+KB36)/T2),0)</f>
        <v/>
      </c>
      <c r="KL36" s="5">
        <f>IFERROR(ROUND(KB36/KD36,2),0)</f>
        <v/>
      </c>
      <c r="KM36" s="5">
        <f>IFERROR(ROUND(KB36/KE36,2),0)</f>
        <v/>
      </c>
      <c r="KN36" s="2" t="inlineStr">
        <is>
          <t>2023-10-12</t>
        </is>
      </c>
      <c r="KO36" s="5">
        <f>ROUND(2.32,2)</f>
        <v/>
      </c>
      <c r="KP36" s="3">
        <f>ROUND(10656.0,2)</f>
        <v/>
      </c>
      <c r="KQ36" s="3">
        <f>ROUND(232.0,2)</f>
        <v/>
      </c>
      <c r="KR36" s="3">
        <f>ROUND(0.0,2)</f>
        <v/>
      </c>
      <c r="KS36" s="3">
        <f>ROUND(0.0,2)</f>
        <v/>
      </c>
      <c r="KT36" s="3">
        <f>ROUND(0.0,2)</f>
        <v/>
      </c>
      <c r="KU36" s="3">
        <f>ROUND(0.0,2)</f>
        <v/>
      </c>
      <c r="KV36" s="3">
        <f>ROUND(0.0,2)</f>
        <v/>
      </c>
      <c r="KW36" s="4">
        <f>IFERROR((KQ36/KP36),0)</f>
        <v/>
      </c>
      <c r="KX36" s="4">
        <f>IFERROR(((0+KO11+KO12+KO13+KO14+KO15+KO16+KO17+KO19+KO20+KO21+KO22+KO23+KO24+KO25+KO27+KO28+KO29+KO30+KO31+KO32+KO33+KO35+KO36)/T2),0)</f>
        <v/>
      </c>
      <c r="KY36" s="5">
        <f>IFERROR(ROUND(KO36/KQ36,2),0)</f>
        <v/>
      </c>
      <c r="KZ36" s="5">
        <f>IFERROR(ROUND(KO36/KR36,2),0)</f>
        <v/>
      </c>
      <c r="LA36" s="2" t="inlineStr">
        <is>
          <t>2023-10-12</t>
        </is>
      </c>
      <c r="LB36" s="5">
        <f>ROUND(1.04,2)</f>
        <v/>
      </c>
      <c r="LC36" s="3">
        <f>ROUND(4066.0,2)</f>
        <v/>
      </c>
      <c r="LD36" s="3">
        <f>ROUND(104.0,2)</f>
        <v/>
      </c>
      <c r="LE36" s="3">
        <f>ROUND(0.0,2)</f>
        <v/>
      </c>
      <c r="LF36" s="3">
        <f>ROUND(0.0,2)</f>
        <v/>
      </c>
      <c r="LG36" s="3">
        <f>ROUND(0.0,2)</f>
        <v/>
      </c>
      <c r="LH36" s="3">
        <f>ROUND(0.0,2)</f>
        <v/>
      </c>
      <c r="LI36" s="3">
        <f>ROUND(0.0,2)</f>
        <v/>
      </c>
      <c r="LJ36" s="4">
        <f>IFERROR((LD36/LC36),0)</f>
        <v/>
      </c>
      <c r="LK36" s="4">
        <f>IFERROR(((0+LB11+LB12+LB13+LB14+LB15+LB16+LB17+LB19+LB20+LB21+LB22+LB23+LB24+LB25+LB27+LB28+LB29+LB30+LB31+LB32+LB33+LB35+LB36)/T2),0)</f>
        <v/>
      </c>
      <c r="LL36" s="5">
        <f>IFERROR(ROUND(LB36/LD36,2),0)</f>
        <v/>
      </c>
      <c r="LM36" s="5">
        <f>IFERROR(ROUND(LB36/LE36,2),0)</f>
        <v/>
      </c>
      <c r="LN36" s="2" t="inlineStr">
        <is>
          <t>2023-10-12</t>
        </is>
      </c>
      <c r="LO36" s="5">
        <f>ROUND(0.75,2)</f>
        <v/>
      </c>
      <c r="LP36" s="3">
        <f>ROUND(788.0,2)</f>
        <v/>
      </c>
      <c r="LQ36" s="3">
        <f>ROUND(75.0,2)</f>
        <v/>
      </c>
      <c r="LR36" s="3">
        <f>ROUND(0.0,2)</f>
        <v/>
      </c>
      <c r="LS36" s="3">
        <f>ROUND(0.0,2)</f>
        <v/>
      </c>
      <c r="LT36" s="3">
        <f>ROUND(0.0,2)</f>
        <v/>
      </c>
      <c r="LU36" s="3">
        <f>ROUND(0.0,2)</f>
        <v/>
      </c>
      <c r="LV36" s="3">
        <f>ROUND(0.0,2)</f>
        <v/>
      </c>
      <c r="LW36" s="4">
        <f>IFERROR((LQ36/LP36),0)</f>
        <v/>
      </c>
      <c r="LX36" s="4">
        <f>IFERROR(((0+LO11+LO12+LO13+LO14+LO15+LO16+LO17+LO19+LO20+LO21+LO22+LO23+LO24+LO25+LO27+LO28+LO29+LO30+LO31+LO32+LO33+LO35+LO36)/T2),0)</f>
        <v/>
      </c>
      <c r="LY36" s="5">
        <f>IFERROR(ROUND(LO36/LQ36,2),0)</f>
        <v/>
      </c>
      <c r="LZ36" s="5">
        <f>IFERROR(ROUND(LO36/LR36,2),0)</f>
        <v/>
      </c>
      <c r="MA36" s="2" t="inlineStr">
        <is>
          <t>2023-10-12</t>
        </is>
      </c>
      <c r="MB36" s="5">
        <f>ROUND(0.5900000000000001,2)</f>
        <v/>
      </c>
      <c r="MC36" s="3">
        <f>ROUND(2580.0,2)</f>
        <v/>
      </c>
      <c r="MD36" s="3">
        <f>ROUND(59.0,2)</f>
        <v/>
      </c>
      <c r="ME36" s="3">
        <f>ROUND(0.0,2)</f>
        <v/>
      </c>
      <c r="MF36" s="3">
        <f>ROUND(0.0,2)</f>
        <v/>
      </c>
      <c r="MG36" s="3">
        <f>ROUND(0.0,2)</f>
        <v/>
      </c>
      <c r="MH36" s="3">
        <f>ROUND(0.0,2)</f>
        <v/>
      </c>
      <c r="MI36" s="3">
        <f>ROUND(0.0,2)</f>
        <v/>
      </c>
      <c r="MJ36" s="4">
        <f>IFERROR((MD36/MC36),0)</f>
        <v/>
      </c>
      <c r="MK36" s="4">
        <f>IFERROR(((0+MB11+MB12+MB13+MB14+MB15+MB16+MB17+MB19+MB20+MB21+MB22+MB23+MB24+MB25+MB27+MB28+MB29+MB30+MB31+MB32+MB33+MB35+MB36)/T2),0)</f>
        <v/>
      </c>
      <c r="ML36" s="5">
        <f>IFERROR(ROUND(MB36/MD36,2),0)</f>
        <v/>
      </c>
      <c r="MM36" s="5">
        <f>IFERROR(ROUND(MB36/ME36,2),0)</f>
        <v/>
      </c>
      <c r="MN36" s="2" t="inlineStr">
        <is>
          <t>2023-10-12</t>
        </is>
      </c>
      <c r="MO36" s="5">
        <f>ROUND(0.32,2)</f>
        <v/>
      </c>
      <c r="MP36" s="3">
        <f>ROUND(549.0,2)</f>
        <v/>
      </c>
      <c r="MQ36" s="3">
        <f>ROUND(32.0,2)</f>
        <v/>
      </c>
      <c r="MR36" s="3">
        <f>ROUND(0.0,2)</f>
        <v/>
      </c>
      <c r="MS36" s="3">
        <f>ROUND(0.0,2)</f>
        <v/>
      </c>
      <c r="MT36" s="3">
        <f>ROUND(0.0,2)</f>
        <v/>
      </c>
      <c r="MU36" s="3">
        <f>ROUND(0.0,2)</f>
        <v/>
      </c>
      <c r="MV36" s="3">
        <f>ROUND(0.0,2)</f>
        <v/>
      </c>
      <c r="MW36" s="4">
        <f>IFERROR((MQ36/MP36),0)</f>
        <v/>
      </c>
      <c r="MX36" s="4">
        <f>IFERROR(((0+MO11+MO12+MO13+MO14+MO15+MO16+MO17+MO19+MO20+MO21+MO22+MO23+MO24+MO25+MO27+MO28+MO29+MO30+MO31+MO32+MO33+MO35+MO36)/T2),0)</f>
        <v/>
      </c>
      <c r="MY36" s="5">
        <f>IFERROR(ROUND(MO36/MQ36,2),0)</f>
        <v/>
      </c>
      <c r="MZ36" s="5">
        <f>IFERROR(ROUND(MO36/MR36,2),0)</f>
        <v/>
      </c>
      <c r="NA36" s="2" t="inlineStr">
        <is>
          <t>2023-10-12</t>
        </is>
      </c>
      <c r="NB36" s="5">
        <f>ROUND(0.17,2)</f>
        <v/>
      </c>
      <c r="NC36" s="3">
        <f>ROUND(828.0,2)</f>
        <v/>
      </c>
      <c r="ND36" s="3">
        <f>ROUND(17.0,2)</f>
        <v/>
      </c>
      <c r="NE36" s="3">
        <f>ROUND(0.0,2)</f>
        <v/>
      </c>
      <c r="NF36" s="3">
        <f>ROUND(0.0,2)</f>
        <v/>
      </c>
      <c r="NG36" s="3">
        <f>ROUND(0.0,2)</f>
        <v/>
      </c>
      <c r="NH36" s="3">
        <f>ROUND(0.0,2)</f>
        <v/>
      </c>
      <c r="NI36" s="3">
        <f>ROUND(0.0,2)</f>
        <v/>
      </c>
      <c r="NJ36" s="4">
        <f>IFERROR((ND36/NC36),0)</f>
        <v/>
      </c>
      <c r="NK36" s="4">
        <f>IFERROR(((0+NB11+NB12+NB13+NB14+NB15+NB16+NB17+NB19+NB20+NB21+NB22+NB23+NB24+NB25+NB27+NB28+NB29+NB30+NB31+NB32+NB33+NB35+NB36)/T2),0)</f>
        <v/>
      </c>
      <c r="NL36" s="5">
        <f>IFERROR(ROUND(NB36/ND36,2),0)</f>
        <v/>
      </c>
      <c r="NM36" s="5">
        <f>IFERROR(ROUND(NB36/NE36,2),0)</f>
        <v/>
      </c>
      <c r="NN36" s="2" t="inlineStr">
        <is>
          <t>2023-10-12</t>
        </is>
      </c>
      <c r="NO36" s="5">
        <f>ROUND(0.47,2)</f>
        <v/>
      </c>
      <c r="NP36" s="3">
        <f>ROUND(1019.0,2)</f>
        <v/>
      </c>
      <c r="NQ36" s="3">
        <f>ROUND(47.0,2)</f>
        <v/>
      </c>
      <c r="NR36" s="3">
        <f>ROUND(0.0,2)</f>
        <v/>
      </c>
      <c r="NS36" s="3">
        <f>ROUND(0.0,2)</f>
        <v/>
      </c>
      <c r="NT36" s="3">
        <f>ROUND(0.0,2)</f>
        <v/>
      </c>
      <c r="NU36" s="3">
        <f>ROUND(0.0,2)</f>
        <v/>
      </c>
      <c r="NV36" s="3">
        <f>ROUND(0.0,2)</f>
        <v/>
      </c>
      <c r="NW36" s="4">
        <f>IFERROR((NQ36/NP36),0)</f>
        <v/>
      </c>
      <c r="NX36" s="4">
        <f>IFERROR(((0+NO11+NO12+NO13+NO14+NO15+NO16+NO17+NO19+NO20+NO21+NO22+NO23+NO24+NO25+NO27+NO28+NO29+NO30+NO31+NO32+NO33+NO35+NO36)/T2),0)</f>
        <v/>
      </c>
      <c r="NY36" s="5">
        <f>IFERROR(ROUND(NO36/NQ36,2),0)</f>
        <v/>
      </c>
      <c r="NZ36" s="5">
        <f>IFERROR(ROUND(NO36/NR36,2),0)</f>
        <v/>
      </c>
      <c r="OA36" s="2" t="inlineStr">
        <is>
          <t>2023-10-12</t>
        </is>
      </c>
      <c r="OB36" s="5">
        <f>ROUND(0.0,2)</f>
        <v/>
      </c>
      <c r="OC36" s="3">
        <f>ROUND(17.0,2)</f>
        <v/>
      </c>
      <c r="OD36" s="3">
        <f>ROUND(0.0,2)</f>
        <v/>
      </c>
      <c r="OE36" s="3">
        <f>ROUND(0.0,2)</f>
        <v/>
      </c>
      <c r="OF36" s="3">
        <f>ROUND(0.0,2)</f>
        <v/>
      </c>
      <c r="OG36" s="3">
        <f>ROUND(0.0,2)</f>
        <v/>
      </c>
      <c r="OH36" s="3">
        <f>ROUND(0.0,2)</f>
        <v/>
      </c>
      <c r="OI36" s="3">
        <f>ROUND(0.0,2)</f>
        <v/>
      </c>
      <c r="OJ36" s="4">
        <f>IFERROR((OD36/OC36),0)</f>
        <v/>
      </c>
      <c r="OK36" s="4">
        <f>IFERROR(((0+OB11+OB12+OB13+OB14+OB15+OB16+OB17+OB19+OB20+OB21+OB22+OB23+OB24+OB25+OB27+OB28+OB29+OB30+OB31+OB32+OB33+OB35+OB36)/T2),0)</f>
        <v/>
      </c>
      <c r="OL36" s="5">
        <f>IFERROR(ROUND(OB36/OD36,2),0)</f>
        <v/>
      </c>
      <c r="OM36" s="5">
        <f>IFERROR(ROUND(OB36/OE36,2),0)</f>
        <v/>
      </c>
      <c r="ON36" s="2" t="inlineStr">
        <is>
          <t>2023-10-12</t>
        </is>
      </c>
      <c r="OO36" s="5">
        <f>ROUND(0.09,2)</f>
        <v/>
      </c>
      <c r="OP36" s="3">
        <f>ROUND(73.0,2)</f>
        <v/>
      </c>
      <c r="OQ36" s="3">
        <f>ROUND(9.0,2)</f>
        <v/>
      </c>
      <c r="OR36" s="3">
        <f>ROUND(0.0,2)</f>
        <v/>
      </c>
      <c r="OS36" s="3">
        <f>ROUND(0.0,2)</f>
        <v/>
      </c>
      <c r="OT36" s="3">
        <f>ROUND(0.0,2)</f>
        <v/>
      </c>
      <c r="OU36" s="3">
        <f>ROUND(0.0,2)</f>
        <v/>
      </c>
      <c r="OV36" s="3">
        <f>ROUND(0.0,2)</f>
        <v/>
      </c>
      <c r="OW36" s="4">
        <f>IFERROR((OQ36/OP36),0)</f>
        <v/>
      </c>
      <c r="OX36" s="4">
        <f>IFERROR(((0+OO11+OO12+OO13+OO14+OO15+OO16+OO17+OO19+OO20+OO21+OO22+OO23+OO24+OO25+OO27+OO28+OO29+OO30+OO31+OO32+OO33+OO35+OO36)/T2),0)</f>
        <v/>
      </c>
      <c r="OY36" s="5">
        <f>IFERROR(ROUND(OO36/OQ36,2),0)</f>
        <v/>
      </c>
      <c r="OZ36" s="5">
        <f>IFERROR(ROUND(OO36/OR36,2),0)</f>
        <v/>
      </c>
      <c r="PA36" s="2" t="inlineStr">
        <is>
          <t>2023-10-12</t>
        </is>
      </c>
      <c r="PB36" s="5">
        <f>ROUND(0.05,2)</f>
        <v/>
      </c>
      <c r="PC36" s="3">
        <f>ROUND(87.0,2)</f>
        <v/>
      </c>
      <c r="PD36" s="3">
        <f>ROUND(5.0,2)</f>
        <v/>
      </c>
      <c r="PE36" s="3">
        <f>ROUND(0.0,2)</f>
        <v/>
      </c>
      <c r="PF36" s="3">
        <f>ROUND(0.0,2)</f>
        <v/>
      </c>
      <c r="PG36" s="3">
        <f>ROUND(0.0,2)</f>
        <v/>
      </c>
      <c r="PH36" s="3">
        <f>ROUND(0.0,2)</f>
        <v/>
      </c>
      <c r="PI36" s="3">
        <f>ROUND(0.0,2)</f>
        <v/>
      </c>
      <c r="PJ36" s="4">
        <f>IFERROR((PD36/PC36),0)</f>
        <v/>
      </c>
      <c r="PK36" s="4">
        <f>IFERROR(((0+PB11+PB12+PB13+PB14+PB15+PB16+PB17+PB19+PB20+PB21+PB22+PB23+PB24+PB25+PB27+PB28+PB29+PB30+PB31+PB32+PB33+PB35+PB36)/T2),0)</f>
        <v/>
      </c>
      <c r="PL36" s="5">
        <f>IFERROR(ROUND(PB36/PD36,2),0)</f>
        <v/>
      </c>
      <c r="PM36" s="5">
        <f>IFERROR(ROUND(PB36/PE36,2),0)</f>
        <v/>
      </c>
      <c r="PN36" s="2" t="inlineStr">
        <is>
          <t>2023-10-12</t>
        </is>
      </c>
      <c r="PO36" s="5">
        <f>ROUND(5.33,2)</f>
        <v/>
      </c>
      <c r="PP36" s="3">
        <f>ROUND(6443.0,2)</f>
        <v/>
      </c>
      <c r="PQ36" s="3">
        <f>ROUND(533.0,2)</f>
        <v/>
      </c>
      <c r="PR36" s="3">
        <f>ROUND(0.0,2)</f>
        <v/>
      </c>
      <c r="PS36" s="3">
        <f>ROUND(0.0,2)</f>
        <v/>
      </c>
      <c r="PT36" s="3">
        <f>ROUND(0.0,2)</f>
        <v/>
      </c>
      <c r="PU36" s="3">
        <f>ROUND(0.0,2)</f>
        <v/>
      </c>
      <c r="PV36" s="3">
        <f>ROUND(0.0,2)</f>
        <v/>
      </c>
      <c r="PW36" s="4">
        <f>IFERROR((PQ36/PP36),0)</f>
        <v/>
      </c>
      <c r="PX36" s="4">
        <f>IFERROR(((0+PO11+PO12+PO13+PO14+PO15+PO16+PO17+PO19+PO20+PO21+PO22+PO23+PO24+PO25+PO27+PO28+PO29+PO30+PO31+PO32+PO33+PO35+PO36)/T2),0)</f>
        <v/>
      </c>
      <c r="PY36" s="5">
        <f>IFERROR(ROUND(PO36/PQ36,2),0)</f>
        <v/>
      </c>
      <c r="PZ36" s="5">
        <f>IFERROR(ROUND(PO36/PR36,2),0)</f>
        <v/>
      </c>
      <c r="QA36" s="2" t="inlineStr">
        <is>
          <t>2023-10-12</t>
        </is>
      </c>
      <c r="QB36" s="5">
        <f>ROUND(2.36,2)</f>
        <v/>
      </c>
      <c r="QC36" s="3">
        <f>ROUND(3167.0,2)</f>
        <v/>
      </c>
      <c r="QD36" s="3">
        <f>ROUND(236.0,2)</f>
        <v/>
      </c>
      <c r="QE36" s="3">
        <f>ROUND(0.0,2)</f>
        <v/>
      </c>
      <c r="QF36" s="3">
        <f>ROUND(0.0,2)</f>
        <v/>
      </c>
      <c r="QG36" s="3">
        <f>ROUND(0.0,2)</f>
        <v/>
      </c>
      <c r="QH36" s="3">
        <f>ROUND(0.0,2)</f>
        <v/>
      </c>
      <c r="QI36" s="3">
        <f>ROUND(0.0,2)</f>
        <v/>
      </c>
      <c r="QJ36" s="4">
        <f>IFERROR((QD36/QC36),0)</f>
        <v/>
      </c>
      <c r="QK36" s="4">
        <f>IFERROR(((0+QB11+QB12+QB13+QB14+QB15+QB16+QB17+QB19+QB20+QB21+QB22+QB23+QB24+QB25+QB27+QB28+QB29+QB30+QB31+QB32+QB33+QB35+QB36)/T2),0)</f>
        <v/>
      </c>
      <c r="QL36" s="5">
        <f>IFERROR(ROUND(QB36/QD36,2),0)</f>
        <v/>
      </c>
      <c r="QM36" s="5">
        <f>IFERROR(ROUND(QB36/QE36,2),0)</f>
        <v/>
      </c>
      <c r="QN36" s="2" t="inlineStr">
        <is>
          <t>2023-10-12</t>
        </is>
      </c>
      <c r="QO36" s="5">
        <f>ROUND(0.09,2)</f>
        <v/>
      </c>
      <c r="QP36" s="3">
        <f>ROUND(175.0,2)</f>
        <v/>
      </c>
      <c r="QQ36" s="3">
        <f>ROUND(9.0,2)</f>
        <v/>
      </c>
      <c r="QR36" s="3">
        <f>ROUND(0.0,2)</f>
        <v/>
      </c>
      <c r="QS36" s="3">
        <f>ROUND(0.0,2)</f>
        <v/>
      </c>
      <c r="QT36" s="3">
        <f>ROUND(0.0,2)</f>
        <v/>
      </c>
      <c r="QU36" s="3">
        <f>ROUND(0.0,2)</f>
        <v/>
      </c>
      <c r="QV36" s="3">
        <f>ROUND(0.0,2)</f>
        <v/>
      </c>
      <c r="QW36" s="4">
        <f>IFERROR((QQ36/QP36),0)</f>
        <v/>
      </c>
      <c r="QX36" s="4">
        <f>IFERROR(((0+QO11+QO12+QO13+QO14+QO15+QO16+QO17+QO19+QO20+QO21+QO22+QO23+QO24+QO25+QO27+QO28+QO29+QO30+QO31+QO32+QO33+QO35+QO36)/T2),0)</f>
        <v/>
      </c>
      <c r="QY36" s="5">
        <f>IFERROR(ROUND(QO36/QQ36,2),0)</f>
        <v/>
      </c>
      <c r="QZ36" s="5">
        <f>IFERROR(ROUND(QO36/QR36,2),0)</f>
        <v/>
      </c>
      <c r="RA36" s="2" t="inlineStr">
        <is>
          <t>2023-10-12</t>
        </is>
      </c>
      <c r="RB36" s="5">
        <f>ROUND(0.08,2)</f>
        <v/>
      </c>
      <c r="RC36" s="3">
        <f>ROUND(141.0,2)</f>
        <v/>
      </c>
      <c r="RD36" s="3">
        <f>ROUND(8.0,2)</f>
        <v/>
      </c>
      <c r="RE36" s="3">
        <f>ROUND(0.0,2)</f>
        <v/>
      </c>
      <c r="RF36" s="3">
        <f>ROUND(0.0,2)</f>
        <v/>
      </c>
      <c r="RG36" s="3">
        <f>ROUND(0.0,2)</f>
        <v/>
      </c>
      <c r="RH36" s="3">
        <f>ROUND(0.0,2)</f>
        <v/>
      </c>
      <c r="RI36" s="3">
        <f>ROUND(0.0,2)</f>
        <v/>
      </c>
      <c r="RJ36" s="4">
        <f>IFERROR((RD36/RC36),0)</f>
        <v/>
      </c>
      <c r="RK36" s="4">
        <f>IFERROR(((0+RB11+RB12+RB13+RB14+RB15+RB16+RB17+RB19+RB20+RB21+RB22+RB23+RB24+RB25+RB27+RB28+RB29+RB30+RB31+RB32+RB33+RB35+RB36)/T2),0)</f>
        <v/>
      </c>
      <c r="RL36" s="5">
        <f>IFERROR(ROUND(RB36/RD36,2),0)</f>
        <v/>
      </c>
      <c r="RM36" s="5">
        <f>IFERROR(ROUND(RB36/RE36,2),0)</f>
        <v/>
      </c>
      <c r="RN36" s="2" t="inlineStr">
        <is>
          <t>2023-10-12</t>
        </is>
      </c>
      <c r="RO36" s="5">
        <f>ROUND(0.09999999999999999,2)</f>
        <v/>
      </c>
      <c r="RP36" s="3">
        <f>ROUND(91.0,2)</f>
        <v/>
      </c>
      <c r="RQ36" s="3">
        <f>ROUND(10.0,2)</f>
        <v/>
      </c>
      <c r="RR36" s="3">
        <f>ROUND(0.0,2)</f>
        <v/>
      </c>
      <c r="RS36" s="3">
        <f>ROUND(0.0,2)</f>
        <v/>
      </c>
      <c r="RT36" s="3">
        <f>ROUND(0.0,2)</f>
        <v/>
      </c>
      <c r="RU36" s="3">
        <f>ROUND(0.0,2)</f>
        <v/>
      </c>
      <c r="RV36" s="3">
        <f>ROUND(0.0,2)</f>
        <v/>
      </c>
      <c r="RW36" s="4">
        <f>IFERROR((RQ36/RP36),0)</f>
        <v/>
      </c>
      <c r="RX36" s="4">
        <f>IFERROR(((0+RO11+RO12+RO13+RO14+RO15+RO16+RO17+RO19+RO20+RO21+RO22+RO23+RO24+RO25+RO27+RO28+RO29+RO30+RO31+RO32+RO33+RO35+RO36)/T2),0)</f>
        <v/>
      </c>
      <c r="RY36" s="5">
        <f>IFERROR(ROUND(RO36/RQ36,2),0)</f>
        <v/>
      </c>
      <c r="RZ36" s="5">
        <f>IFERROR(ROUND(RO36/RR36,2),0)</f>
        <v/>
      </c>
      <c r="SA36" s="2" t="inlineStr">
        <is>
          <t>2023-10-12</t>
        </is>
      </c>
      <c r="SB36" s="5">
        <f>ROUND(0.67,2)</f>
        <v/>
      </c>
      <c r="SC36" s="3">
        <f>ROUND(1360.0,2)</f>
        <v/>
      </c>
      <c r="SD36" s="3">
        <f>ROUND(67.0,2)</f>
        <v/>
      </c>
      <c r="SE36" s="3">
        <f>ROUND(0.0,2)</f>
        <v/>
      </c>
      <c r="SF36" s="3">
        <f>ROUND(0.0,2)</f>
        <v/>
      </c>
      <c r="SG36" s="3">
        <f>ROUND(0.0,2)</f>
        <v/>
      </c>
      <c r="SH36" s="3">
        <f>ROUND(0.0,2)</f>
        <v/>
      </c>
      <c r="SI36" s="3">
        <f>ROUND(0.0,2)</f>
        <v/>
      </c>
      <c r="SJ36" s="4">
        <f>IFERROR((SD36/SC36),0)</f>
        <v/>
      </c>
      <c r="SK36" s="4">
        <f>IFERROR(((0+SB11+SB12+SB13+SB14+SB15+SB16+SB17+SB19+SB20+SB21+SB22+SB23+SB24+SB25+SB27+SB28+SB29+SB30+SB31+SB32+SB33+SB35+SB36)/T2),0)</f>
        <v/>
      </c>
      <c r="SL36" s="5">
        <f>IFERROR(ROUND(SB36/SD36,2),0)</f>
        <v/>
      </c>
      <c r="SM36" s="5">
        <f>IFERROR(ROUND(SB36/SE36,2),0)</f>
        <v/>
      </c>
      <c r="SN36" s="2" t="inlineStr">
        <is>
          <t>2023-10-12</t>
        </is>
      </c>
      <c r="SO36" s="5">
        <f>ROUND(0.63,2)</f>
        <v/>
      </c>
      <c r="SP36" s="3">
        <f>ROUND(535.0,2)</f>
        <v/>
      </c>
      <c r="SQ36" s="3">
        <f>ROUND(63.0,2)</f>
        <v/>
      </c>
      <c r="SR36" s="3">
        <f>ROUND(0.0,2)</f>
        <v/>
      </c>
      <c r="SS36" s="3">
        <f>ROUND(0.0,2)</f>
        <v/>
      </c>
      <c r="ST36" s="3">
        <f>ROUND(0.0,2)</f>
        <v/>
      </c>
      <c r="SU36" s="3">
        <f>ROUND(0.0,2)</f>
        <v/>
      </c>
      <c r="SV36" s="3">
        <f>ROUND(0.0,2)</f>
        <v/>
      </c>
      <c r="SW36" s="4">
        <f>IFERROR((SQ36/SP36),0)</f>
        <v/>
      </c>
      <c r="SX36" s="4">
        <f>IFERROR(((0+SO11+SO12+SO13+SO14+SO15+SO16+SO17+SO19+SO20+SO21+SO22+SO23+SO24+SO25+SO27+SO28+SO29+SO30+SO31+SO32+SO33+SO35+SO36)/T2),0)</f>
        <v/>
      </c>
      <c r="SY36" s="5">
        <f>IFERROR(ROUND(SO36/SQ36,2),0)</f>
        <v/>
      </c>
      <c r="SZ36" s="5">
        <f>IFERROR(ROUND(SO36/SR36,2),0)</f>
        <v/>
      </c>
    </row>
    <row r="37">
      <c r="A37" s="2" t="inlineStr">
        <is>
          <t>2023-10-13</t>
        </is>
      </c>
      <c r="B37" s="5">
        <f>ROUND(41.24,2)</f>
        <v/>
      </c>
      <c r="C37" s="3">
        <f>ROUND(89430.0,2)</f>
        <v/>
      </c>
      <c r="D37" s="3">
        <f>ROUND(4123.0,2)</f>
        <v/>
      </c>
      <c r="E37" s="3">
        <f>ROUND(0.0,2)</f>
        <v/>
      </c>
      <c r="F37" s="3">
        <f>ROUND(0.0,2)</f>
        <v/>
      </c>
      <c r="G37" s="3">
        <f>ROUND(0.0,2)</f>
        <v/>
      </c>
      <c r="H37" s="3">
        <f>ROUND(0.0,2)</f>
        <v/>
      </c>
      <c r="I37" s="3">
        <f>ROUND(0.0,2)</f>
        <v/>
      </c>
      <c r="J37" s="4">
        <f>IFERROR((D37/C37),0)</f>
        <v/>
      </c>
      <c r="K37" s="4">
        <f>IFERROR(((0+B11+B12+B13+B14+B15+B16+B17+B19+B20+B21+B22+B23+B24+B25+B27+B28+B29+B30+B31+B32+B33+B35+B36+B37)/T2),0)</f>
        <v/>
      </c>
      <c r="L37" s="5">
        <f>IFERROR(ROUND(B37/D37,2),0)</f>
        <v/>
      </c>
      <c r="M37" s="5">
        <f>IFERROR(ROUND(B37/E37,2),0)</f>
        <v/>
      </c>
      <c r="N37" s="2" t="inlineStr">
        <is>
          <t>2023-10-13</t>
        </is>
      </c>
      <c r="O37" s="5">
        <f>ROUND(0.26,2)</f>
        <v/>
      </c>
      <c r="P37" s="3">
        <f>ROUND(663.0,2)</f>
        <v/>
      </c>
      <c r="Q37" s="3">
        <f>ROUND(26.0,2)</f>
        <v/>
      </c>
      <c r="R37" s="3">
        <f>ROUND(0.0,2)</f>
        <v/>
      </c>
      <c r="S37" s="3">
        <f>ROUND(0.0,2)</f>
        <v/>
      </c>
      <c r="T37" s="3">
        <f>ROUND(0.0,2)</f>
        <v/>
      </c>
      <c r="U37" s="3">
        <f>ROUND(0.0,2)</f>
        <v/>
      </c>
      <c r="V37" s="3">
        <f>ROUND(0.0,2)</f>
        <v/>
      </c>
      <c r="W37" s="4">
        <f>IFERROR((Q37/P37),0)</f>
        <v/>
      </c>
      <c r="X37" s="4">
        <f>IFERROR(((0+O11+O12+O13+O14+O15+O16+O17+O19+O20+O21+O22+O23+O24+O25+O27+O28+O29+O30+O31+O32+O33+O35+O36+O37)/T2),0)</f>
        <v/>
      </c>
      <c r="Y37" s="5">
        <f>IFERROR(ROUND(O37/Q37,2),0)</f>
        <v/>
      </c>
      <c r="Z37" s="5">
        <f>IFERROR(ROUND(O37/R37,2),0)</f>
        <v/>
      </c>
      <c r="AA37" s="2" t="inlineStr">
        <is>
          <t>2023-10-13</t>
        </is>
      </c>
      <c r="AB37" s="5">
        <f>ROUND(0.05,2)</f>
        <v/>
      </c>
      <c r="AC37" s="3">
        <f>ROUND(29.0,2)</f>
        <v/>
      </c>
      <c r="AD37" s="3">
        <f>ROUND(5.0,2)</f>
        <v/>
      </c>
      <c r="AE37" s="3">
        <f>ROUND(0.0,2)</f>
        <v/>
      </c>
      <c r="AF37" s="3">
        <f>ROUND(0.0,2)</f>
        <v/>
      </c>
      <c r="AG37" s="3">
        <f>ROUND(0.0,2)</f>
        <v/>
      </c>
      <c r="AH37" s="3">
        <f>ROUND(0.0,2)</f>
        <v/>
      </c>
      <c r="AI37" s="3">
        <f>ROUND(0.0,2)</f>
        <v/>
      </c>
      <c r="AJ37" s="4">
        <f>IFERROR((AD37/AC37),0)</f>
        <v/>
      </c>
      <c r="AK37" s="4">
        <f>IFERROR(((0+AB11+AB12+AB13+AB14+AB15+AB16+AB17+AB19+AB20+AB21+AB22+AB23+AB24+AB25+AB27+AB28+AB29+AB30+AB31+AB32+AB33+AB35+AB36+AB37)/T2),0)</f>
        <v/>
      </c>
      <c r="AL37" s="5">
        <f>IFERROR(ROUND(AB37/AD37,2),0)</f>
        <v/>
      </c>
      <c r="AM37" s="5">
        <f>IFERROR(ROUND(AB37/AE37,2),0)</f>
        <v/>
      </c>
      <c r="AN37" s="2" t="inlineStr">
        <is>
          <t>2023-10-13</t>
        </is>
      </c>
      <c r="AO37" s="5">
        <f>ROUND(6.16,2)</f>
        <v/>
      </c>
      <c r="AP37" s="3">
        <f>ROUND(18038.0,2)</f>
        <v/>
      </c>
      <c r="AQ37" s="3">
        <f>ROUND(616.0,2)</f>
        <v/>
      </c>
      <c r="AR37" s="3">
        <f>ROUND(0.0,2)</f>
        <v/>
      </c>
      <c r="AS37" s="3">
        <f>ROUND(0.0,2)</f>
        <v/>
      </c>
      <c r="AT37" s="3">
        <f>ROUND(0.0,2)</f>
        <v/>
      </c>
      <c r="AU37" s="3">
        <f>ROUND(0.0,2)</f>
        <v/>
      </c>
      <c r="AV37" s="3">
        <f>ROUND(0.0,2)</f>
        <v/>
      </c>
      <c r="AW37" s="4">
        <f>IFERROR((AQ37/AP37),0)</f>
        <v/>
      </c>
      <c r="AX37" s="4">
        <f>IFERROR(((0+AO11+AO12+AO13+AO14+AO15+AO16+AO17+AO19+AO20+AO21+AO22+AO23+AO24+AO25+AO27+AO28+AO29+AO30+AO31+AO32+AO33+AO35+AO36+AO37)/T2),0)</f>
        <v/>
      </c>
      <c r="AY37" s="5">
        <f>IFERROR(ROUND(AO37/AQ37,2),0)</f>
        <v/>
      </c>
      <c r="AZ37" s="5">
        <f>IFERROR(ROUND(AO37/AR37,2),0)</f>
        <v/>
      </c>
      <c r="BA37" s="2" t="inlineStr">
        <is>
          <t>2023-10-13</t>
        </is>
      </c>
      <c r="BB37" s="5">
        <f>ROUND(1.85,2)</f>
        <v/>
      </c>
      <c r="BC37" s="3">
        <f>ROUND(2657.0,2)</f>
        <v/>
      </c>
      <c r="BD37" s="3">
        <f>ROUND(185.0,2)</f>
        <v/>
      </c>
      <c r="BE37" s="3">
        <f>ROUND(0.0,2)</f>
        <v/>
      </c>
      <c r="BF37" s="3">
        <f>ROUND(0.0,2)</f>
        <v/>
      </c>
      <c r="BG37" s="3">
        <f>ROUND(0.0,2)</f>
        <v/>
      </c>
      <c r="BH37" s="3">
        <f>ROUND(0.0,2)</f>
        <v/>
      </c>
      <c r="BI37" s="3">
        <f>ROUND(0.0,2)</f>
        <v/>
      </c>
      <c r="BJ37" s="4">
        <f>IFERROR((BD37/BC37),0)</f>
        <v/>
      </c>
      <c r="BK37" s="4">
        <f>IFERROR(((0+BB11+BB12+BB13+BB14+BB15+BB16+BB17+BB19+BB20+BB21+BB22+BB23+BB24+BB25+BB27+BB28+BB29+BB30+BB31+BB32+BB33+BB35+BB36+BB37)/T2),0)</f>
        <v/>
      </c>
      <c r="BL37" s="5">
        <f>IFERROR(ROUND(BB37/BD37,2),0)</f>
        <v/>
      </c>
      <c r="BM37" s="5">
        <f>IFERROR(ROUND(BB37/BE37,2),0)</f>
        <v/>
      </c>
      <c r="BN37" s="2" t="inlineStr">
        <is>
          <t>2023-10-13</t>
        </is>
      </c>
      <c r="BO37" s="5">
        <f>ROUND(0.59,2)</f>
        <v/>
      </c>
      <c r="BP37" s="3">
        <f>ROUND(593.0,2)</f>
        <v/>
      </c>
      <c r="BQ37" s="3">
        <f>ROUND(59.0,2)</f>
        <v/>
      </c>
      <c r="BR37" s="3">
        <f>ROUND(0.0,2)</f>
        <v/>
      </c>
      <c r="BS37" s="3">
        <f>ROUND(0.0,2)</f>
        <v/>
      </c>
      <c r="BT37" s="3">
        <f>ROUND(0.0,2)</f>
        <v/>
      </c>
      <c r="BU37" s="3">
        <f>ROUND(0.0,2)</f>
        <v/>
      </c>
      <c r="BV37" s="3">
        <f>ROUND(0.0,2)</f>
        <v/>
      </c>
      <c r="BW37" s="4">
        <f>IFERROR((BQ37/BP37),0)</f>
        <v/>
      </c>
      <c r="BX37" s="4">
        <f>IFERROR(((0+BO11+BO12+BO13+BO14+BO15+BO16+BO17+BO19+BO20+BO21+BO22+BO23+BO24+BO25+BO27+BO28+BO29+BO30+BO31+BO32+BO33+BO35+BO36+BO37)/T2),0)</f>
        <v/>
      </c>
      <c r="BY37" s="5">
        <f>IFERROR(ROUND(BO37/BQ37,2),0)</f>
        <v/>
      </c>
      <c r="BZ37" s="5">
        <f>IFERROR(ROUND(BO37/BR37,2),0)</f>
        <v/>
      </c>
      <c r="CA37" s="2" t="inlineStr">
        <is>
          <t>2023-10-13</t>
        </is>
      </c>
      <c r="CB37" s="5">
        <f>ROUND(0.01,2)</f>
        <v/>
      </c>
      <c r="CC37" s="3">
        <f>ROUND(51.0,2)</f>
        <v/>
      </c>
      <c r="CD37" s="3">
        <f>ROUND(1.0,2)</f>
        <v/>
      </c>
      <c r="CE37" s="3">
        <f>ROUND(0.0,2)</f>
        <v/>
      </c>
      <c r="CF37" s="3">
        <f>ROUND(0.0,2)</f>
        <v/>
      </c>
      <c r="CG37" s="3">
        <f>ROUND(0.0,2)</f>
        <v/>
      </c>
      <c r="CH37" s="3">
        <f>ROUND(0.0,2)</f>
        <v/>
      </c>
      <c r="CI37" s="3">
        <f>ROUND(0.0,2)</f>
        <v/>
      </c>
      <c r="CJ37" s="4">
        <f>IFERROR((CD37/CC37),0)</f>
        <v/>
      </c>
      <c r="CK37" s="4">
        <f>IFERROR(((0+CB11+CB12+CB13+CB14+CB15+CB16+CB17+CB19+CB20+CB21+CB22+CB23+CB24+CB25+CB27+CB28+CB29+CB30+CB31+CB32+CB33+CB35+CB36+CB37)/T2),0)</f>
        <v/>
      </c>
      <c r="CL37" s="5">
        <f>IFERROR(ROUND(CB37/CD37,2),0)</f>
        <v/>
      </c>
      <c r="CM37" s="5">
        <f>IFERROR(ROUND(CB37/CE37,2),0)</f>
        <v/>
      </c>
      <c r="CN37" s="2" t="inlineStr">
        <is>
          <t>2023-10-13</t>
        </is>
      </c>
      <c r="CO37" s="5">
        <f>ROUND(0.64,2)</f>
        <v/>
      </c>
      <c r="CP37" s="3">
        <f>ROUND(1391.0,2)</f>
        <v/>
      </c>
      <c r="CQ37" s="3">
        <f>ROUND(64.0,2)</f>
        <v/>
      </c>
      <c r="CR37" s="3">
        <f>ROUND(0.0,2)</f>
        <v/>
      </c>
      <c r="CS37" s="3">
        <f>ROUND(0.0,2)</f>
        <v/>
      </c>
      <c r="CT37" s="3">
        <f>ROUND(0.0,2)</f>
        <v/>
      </c>
      <c r="CU37" s="3">
        <f>ROUND(0.0,2)</f>
        <v/>
      </c>
      <c r="CV37" s="3">
        <f>ROUND(0.0,2)</f>
        <v/>
      </c>
      <c r="CW37" s="4">
        <f>IFERROR((CQ37/CP37),0)</f>
        <v/>
      </c>
      <c r="CX37" s="4">
        <f>IFERROR(((0+CO11+CO12+CO13+CO14+CO15+CO16+CO17+CO19+CO20+CO21+CO22+CO23+CO24+CO25+CO27+CO28+CO29+CO30+CO31+CO32+CO33+CO35+CO36+CO37)/T2),0)</f>
        <v/>
      </c>
      <c r="CY37" s="5">
        <f>IFERROR(ROUND(CO37/CQ37,2),0)</f>
        <v/>
      </c>
      <c r="CZ37" s="5">
        <f>IFERROR(ROUND(CO37/CR37,2),0)</f>
        <v/>
      </c>
      <c r="DA37" s="2" t="inlineStr">
        <is>
          <t>2023-10-13</t>
        </is>
      </c>
      <c r="DB37" s="5">
        <f>ROUND(1.81,2)</f>
        <v/>
      </c>
      <c r="DC37" s="3">
        <f>ROUND(3973.0,2)</f>
        <v/>
      </c>
      <c r="DD37" s="3">
        <f>ROUND(181.0,2)</f>
        <v/>
      </c>
      <c r="DE37" s="3">
        <f>ROUND(0.0,2)</f>
        <v/>
      </c>
      <c r="DF37" s="3">
        <f>ROUND(0.0,2)</f>
        <v/>
      </c>
      <c r="DG37" s="3">
        <f>ROUND(0.0,2)</f>
        <v/>
      </c>
      <c r="DH37" s="3">
        <f>ROUND(0.0,2)</f>
        <v/>
      </c>
      <c r="DI37" s="3">
        <f>ROUND(0.0,2)</f>
        <v/>
      </c>
      <c r="DJ37" s="4">
        <f>IFERROR((DD37/DC37),0)</f>
        <v/>
      </c>
      <c r="DK37" s="4">
        <f>IFERROR(((0+DB11+DB12+DB13+DB14+DB15+DB16+DB17+DB19+DB20+DB21+DB22+DB23+DB24+DB25+DB27+DB28+DB29+DB30+DB31+DB32+DB33+DB35+DB36+DB37)/T2),0)</f>
        <v/>
      </c>
      <c r="DL37" s="5">
        <f>IFERROR(ROUND(DB37/DD37,2),0)</f>
        <v/>
      </c>
      <c r="DM37" s="5">
        <f>IFERROR(ROUND(DB37/DE37,2),0)</f>
        <v/>
      </c>
      <c r="DN37" s="2" t="inlineStr">
        <is>
          <t>2023-10-13</t>
        </is>
      </c>
      <c r="DO37" s="5">
        <f>ROUND(0.0,2)</f>
        <v/>
      </c>
      <c r="DP37" s="3">
        <f>ROUND(9.0,2)</f>
        <v/>
      </c>
      <c r="DQ37" s="3">
        <f>ROUND(0.0,2)</f>
        <v/>
      </c>
      <c r="DR37" s="3">
        <f>ROUND(0.0,2)</f>
        <v/>
      </c>
      <c r="DS37" s="3">
        <f>ROUND(0.0,2)</f>
        <v/>
      </c>
      <c r="DT37" s="3">
        <f>ROUND(0.0,2)</f>
        <v/>
      </c>
      <c r="DU37" s="3">
        <f>ROUND(0.0,2)</f>
        <v/>
      </c>
      <c r="DV37" s="3">
        <f>ROUND(0.0,2)</f>
        <v/>
      </c>
      <c r="DW37" s="4">
        <f>IFERROR((DQ37/DP37),0)</f>
        <v/>
      </c>
      <c r="DX37" s="4">
        <f>IFERROR(((0+DO11+DO12+DO13+DO14+DO15+DO16+DO17+DO19+DO20+DO21+DO22+DO23+DO24+DO25+DO27+DO28+DO29+DO30+DO31+DO32+DO33+DO35+DO36+DO37)/T2),0)</f>
        <v/>
      </c>
      <c r="DY37" s="5">
        <f>IFERROR(ROUND(DO37/DQ37,2),0)</f>
        <v/>
      </c>
      <c r="DZ37" s="5">
        <f>IFERROR(ROUND(DO37/DR37,2),0)</f>
        <v/>
      </c>
      <c r="EA37" s="2" t="inlineStr">
        <is>
          <t>2023-10-13</t>
        </is>
      </c>
      <c r="EB37" s="5">
        <f>ROUND(3.09,2)</f>
        <v/>
      </c>
      <c r="EC37" s="3">
        <f>ROUND(12500.0,2)</f>
        <v/>
      </c>
      <c r="ED37" s="3">
        <f>ROUND(309.0,2)</f>
        <v/>
      </c>
      <c r="EE37" s="3">
        <f>ROUND(0.0,2)</f>
        <v/>
      </c>
      <c r="EF37" s="3">
        <f>ROUND(0.0,2)</f>
        <v/>
      </c>
      <c r="EG37" s="3">
        <f>ROUND(0.0,2)</f>
        <v/>
      </c>
      <c r="EH37" s="3">
        <f>ROUND(0.0,2)</f>
        <v/>
      </c>
      <c r="EI37" s="3">
        <f>ROUND(0.0,2)</f>
        <v/>
      </c>
      <c r="EJ37" s="4">
        <f>IFERROR((ED37/EC37),0)</f>
        <v/>
      </c>
      <c r="EK37" s="4">
        <f>IFERROR(((0+EB11+EB12+EB13+EB14+EB15+EB16+EB17+EB19+EB20+EB21+EB22+EB23+EB24+EB25+EB27+EB28+EB29+EB30+EB31+EB32+EB33+EB35+EB36+EB37)/T2),0)</f>
        <v/>
      </c>
      <c r="EL37" s="5">
        <f>IFERROR(ROUND(EB37/ED37,2),0)</f>
        <v/>
      </c>
      <c r="EM37" s="5">
        <f>IFERROR(ROUND(EB37/EE37,2),0)</f>
        <v/>
      </c>
      <c r="EN37" s="2" t="inlineStr">
        <is>
          <t>2023-10-13</t>
        </is>
      </c>
      <c r="EO37" s="5">
        <f>ROUND(0.01,2)</f>
        <v/>
      </c>
      <c r="EP37" s="3">
        <f>ROUND(11.0,2)</f>
        <v/>
      </c>
      <c r="EQ37" s="3">
        <f>ROUND(1.0,2)</f>
        <v/>
      </c>
      <c r="ER37" s="3">
        <f>ROUND(0.0,2)</f>
        <v/>
      </c>
      <c r="ES37" s="3">
        <f>ROUND(0.0,2)</f>
        <v/>
      </c>
      <c r="ET37" s="3">
        <f>ROUND(0.0,2)</f>
        <v/>
      </c>
      <c r="EU37" s="3">
        <f>ROUND(0.0,2)</f>
        <v/>
      </c>
      <c r="EV37" s="3">
        <f>ROUND(0.0,2)</f>
        <v/>
      </c>
      <c r="EW37" s="4">
        <f>IFERROR((EQ37/EP37),0)</f>
        <v/>
      </c>
      <c r="EX37" s="4">
        <f>IFERROR(((0+EO11+EO12+EO13+EO14+EO15+EO16+EO17+EO19+EO20+EO21+EO22+EO23+EO24+EO25+EO27+EO28+EO29+EO30+EO31+EO32+EO33+EO35+EO36+EO37)/T2),0)</f>
        <v/>
      </c>
      <c r="EY37" s="5">
        <f>IFERROR(ROUND(EO37/EQ37,2),0)</f>
        <v/>
      </c>
      <c r="EZ37" s="5">
        <f>IFERROR(ROUND(EO37/ER37,2),0)</f>
        <v/>
      </c>
      <c r="FA37" s="2" t="inlineStr">
        <is>
          <t>2023-10-13</t>
        </is>
      </c>
      <c r="FB37" s="5">
        <f>ROUND(0.52,2)</f>
        <v/>
      </c>
      <c r="FC37" s="3">
        <f>ROUND(1711.0,2)</f>
        <v/>
      </c>
      <c r="FD37" s="3">
        <f>ROUND(52.0,2)</f>
        <v/>
      </c>
      <c r="FE37" s="3">
        <f>ROUND(0.0,2)</f>
        <v/>
      </c>
      <c r="FF37" s="3">
        <f>ROUND(0.0,2)</f>
        <v/>
      </c>
      <c r="FG37" s="3">
        <f>ROUND(0.0,2)</f>
        <v/>
      </c>
      <c r="FH37" s="3">
        <f>ROUND(0.0,2)</f>
        <v/>
      </c>
      <c r="FI37" s="3">
        <f>ROUND(0.0,2)</f>
        <v/>
      </c>
      <c r="FJ37" s="4">
        <f>IFERROR((FD37/FC37),0)</f>
        <v/>
      </c>
      <c r="FK37" s="4">
        <f>IFERROR(((0+FB11+FB12+FB13+FB14+FB15+FB16+FB17+FB19+FB20+FB21+FB22+FB23+FB24+FB25+FB27+FB28+FB29+FB30+FB31+FB32+FB33+FB35+FB36+FB37)/T2),0)</f>
        <v/>
      </c>
      <c r="FL37" s="5">
        <f>IFERROR(ROUND(FB37/FD37,2),0)</f>
        <v/>
      </c>
      <c r="FM37" s="5">
        <f>IFERROR(ROUND(FB37/FE37,2),0)</f>
        <v/>
      </c>
      <c r="FN37" s="2" t="inlineStr">
        <is>
          <t>2023-10-13</t>
        </is>
      </c>
      <c r="FO37" s="5">
        <f>ROUND(0.13,2)</f>
        <v/>
      </c>
      <c r="FP37" s="3">
        <f>ROUND(388.0,2)</f>
        <v/>
      </c>
      <c r="FQ37" s="3">
        <f>ROUND(13.0,2)</f>
        <v/>
      </c>
      <c r="FR37" s="3">
        <f>ROUND(0.0,2)</f>
        <v/>
      </c>
      <c r="FS37" s="3">
        <f>ROUND(0.0,2)</f>
        <v/>
      </c>
      <c r="FT37" s="3">
        <f>ROUND(0.0,2)</f>
        <v/>
      </c>
      <c r="FU37" s="3">
        <f>ROUND(0.0,2)</f>
        <v/>
      </c>
      <c r="FV37" s="3">
        <f>ROUND(0.0,2)</f>
        <v/>
      </c>
      <c r="FW37" s="4">
        <f>IFERROR((FQ37/FP37),0)</f>
        <v/>
      </c>
      <c r="FX37" s="4">
        <f>IFERROR(((0+FO11+FO12+FO13+FO14+FO15+FO16+FO17+FO19+FO20+FO21+FO22+FO23+FO24+FO25+FO27+FO28+FO29+FO30+FO31+FO32+FO33+FO35+FO36+FO37)/T2),0)</f>
        <v/>
      </c>
      <c r="FY37" s="5">
        <f>IFERROR(ROUND(FO37/FQ37,2),0)</f>
        <v/>
      </c>
      <c r="FZ37" s="5">
        <f>IFERROR(ROUND(FO37/FR37,2),0)</f>
        <v/>
      </c>
      <c r="GA37" s="2" t="inlineStr">
        <is>
          <t>2023-10-13</t>
        </is>
      </c>
      <c r="GB37" s="5">
        <f>ROUND(0.0,2)</f>
        <v/>
      </c>
      <c r="GC37" s="3">
        <f>ROUND(19.0,2)</f>
        <v/>
      </c>
      <c r="GD37" s="3">
        <f>ROUND(0.0,2)</f>
        <v/>
      </c>
      <c r="GE37" s="3">
        <f>ROUND(0.0,2)</f>
        <v/>
      </c>
      <c r="GF37" s="3">
        <f>ROUND(0.0,2)</f>
        <v/>
      </c>
      <c r="GG37" s="3">
        <f>ROUND(0.0,2)</f>
        <v/>
      </c>
      <c r="GH37" s="3">
        <f>ROUND(0.0,2)</f>
        <v/>
      </c>
      <c r="GI37" s="3">
        <f>ROUND(0.0,2)</f>
        <v/>
      </c>
      <c r="GJ37" s="4">
        <f>IFERROR((GD37/GC37),0)</f>
        <v/>
      </c>
      <c r="GK37" s="4">
        <f>IFERROR(((0+GB11+GB12+GB13+GB14+GB15+GB16+GB17+GB19+GB20+GB21+GB22+GB23+GB24+GB25+GB27+GB28+GB29+GB30+GB31+GB32+GB33+GB35+GB36+GB37)/T2),0)</f>
        <v/>
      </c>
      <c r="GL37" s="5">
        <f>IFERROR(ROUND(GB37/GD37,2),0)</f>
        <v/>
      </c>
      <c r="GM37" s="5">
        <f>IFERROR(ROUND(GB37/GE37,2),0)</f>
        <v/>
      </c>
      <c r="GN37" s="2" t="inlineStr">
        <is>
          <t>2023-10-13</t>
        </is>
      </c>
      <c r="GO37" s="5">
        <f>ROUND(0.26,2)</f>
        <v/>
      </c>
      <c r="GP37" s="3">
        <f>ROUND(695.0,2)</f>
        <v/>
      </c>
      <c r="GQ37" s="3">
        <f>ROUND(26.0,2)</f>
        <v/>
      </c>
      <c r="GR37" s="3">
        <f>ROUND(0.0,2)</f>
        <v/>
      </c>
      <c r="GS37" s="3">
        <f>ROUND(0.0,2)</f>
        <v/>
      </c>
      <c r="GT37" s="3">
        <f>ROUND(0.0,2)</f>
        <v/>
      </c>
      <c r="GU37" s="3">
        <f>ROUND(0.0,2)</f>
        <v/>
      </c>
      <c r="GV37" s="3">
        <f>ROUND(0.0,2)</f>
        <v/>
      </c>
      <c r="GW37" s="4">
        <f>IFERROR((GQ37/GP37),0)</f>
        <v/>
      </c>
      <c r="GX37" s="4">
        <f>IFERROR(((0+GO11+GO12+GO13+GO14+GO15+GO16+GO17+GO19+GO20+GO21+GO22+GO23+GO24+GO25+GO27+GO28+GO29+GO30+GO31+GO32+GO33+GO35+GO36+GO37)/T2),0)</f>
        <v/>
      </c>
      <c r="GY37" s="5">
        <f>IFERROR(ROUND(GO37/GQ37,2),0)</f>
        <v/>
      </c>
      <c r="GZ37" s="5">
        <f>IFERROR(ROUND(GO37/GR37,2),0)</f>
        <v/>
      </c>
      <c r="HA37" s="2" t="inlineStr">
        <is>
          <t>2023-10-13</t>
        </is>
      </c>
      <c r="HB37" s="5">
        <f>ROUND(9.709999999999999,2)</f>
        <v/>
      </c>
      <c r="HC37" s="3">
        <f>ROUND(11966.0,2)</f>
        <v/>
      </c>
      <c r="HD37" s="3">
        <f>ROUND(971.0,2)</f>
        <v/>
      </c>
      <c r="HE37" s="3">
        <f>ROUND(0.0,2)</f>
        <v/>
      </c>
      <c r="HF37" s="3">
        <f>ROUND(0.0,2)</f>
        <v/>
      </c>
      <c r="HG37" s="3">
        <f>ROUND(0.0,2)</f>
        <v/>
      </c>
      <c r="HH37" s="3">
        <f>ROUND(0.0,2)</f>
        <v/>
      </c>
      <c r="HI37" s="3">
        <f>ROUND(0.0,2)</f>
        <v/>
      </c>
      <c r="HJ37" s="4">
        <f>IFERROR((HD37/HC37),0)</f>
        <v/>
      </c>
      <c r="HK37" s="4">
        <f>IFERROR(((0+HB11+HB12+HB13+HB14+HB15+HB16+HB17+HB19+HB20+HB21+HB22+HB23+HB24+HB25+HB27+HB28+HB29+HB30+HB31+HB32+HB33+HB35+HB36+HB37)/T2),0)</f>
        <v/>
      </c>
      <c r="HL37" s="5">
        <f>IFERROR(ROUND(HB37/HD37,2),0)</f>
        <v/>
      </c>
      <c r="HM37" s="5">
        <f>IFERROR(ROUND(HB37/HE37,2),0)</f>
        <v/>
      </c>
      <c r="HN37" s="2" t="inlineStr">
        <is>
          <t>2023-10-13</t>
        </is>
      </c>
      <c r="HO37" s="5">
        <f>ROUND(0.01,2)</f>
        <v/>
      </c>
      <c r="HP37" s="3">
        <f>ROUND(55.0,2)</f>
        <v/>
      </c>
      <c r="HQ37" s="3">
        <f>ROUND(1.0,2)</f>
        <v/>
      </c>
      <c r="HR37" s="3">
        <f>ROUND(0.0,2)</f>
        <v/>
      </c>
      <c r="HS37" s="3">
        <f>ROUND(0.0,2)</f>
        <v/>
      </c>
      <c r="HT37" s="3">
        <f>ROUND(0.0,2)</f>
        <v/>
      </c>
      <c r="HU37" s="3">
        <f>ROUND(0.0,2)</f>
        <v/>
      </c>
      <c r="HV37" s="3">
        <f>ROUND(0.0,2)</f>
        <v/>
      </c>
      <c r="HW37" s="4">
        <f>IFERROR((HQ37/HP37),0)</f>
        <v/>
      </c>
      <c r="HX37" s="4">
        <f>IFERROR(((0+HO11+HO12+HO13+HO14+HO15+HO16+HO17+HO19+HO20+HO21+HO22+HO23+HO24+HO25+HO27+HO28+HO29+HO30+HO31+HO32+HO33+HO35+HO36+HO37)/T2),0)</f>
        <v/>
      </c>
      <c r="HY37" s="5">
        <f>IFERROR(ROUND(HO37/HQ37,2),0)</f>
        <v/>
      </c>
      <c r="HZ37" s="5">
        <f>IFERROR(ROUND(HO37/HR37,2),0)</f>
        <v/>
      </c>
      <c r="IA37" s="2" t="inlineStr">
        <is>
          <t>2023-10-13</t>
        </is>
      </c>
      <c r="IB37" s="5">
        <f>ROUND(0.13,2)</f>
        <v/>
      </c>
      <c r="IC37" s="3">
        <f>ROUND(68.0,2)</f>
        <v/>
      </c>
      <c r="ID37" s="3">
        <f>ROUND(13.0,2)</f>
        <v/>
      </c>
      <c r="IE37" s="3">
        <f>ROUND(0.0,2)</f>
        <v/>
      </c>
      <c r="IF37" s="3">
        <f>ROUND(0.0,2)</f>
        <v/>
      </c>
      <c r="IG37" s="3">
        <f>ROUND(0.0,2)</f>
        <v/>
      </c>
      <c r="IH37" s="3">
        <f>ROUND(0.0,2)</f>
        <v/>
      </c>
      <c r="II37" s="3">
        <f>ROUND(0.0,2)</f>
        <v/>
      </c>
      <c r="IJ37" s="4">
        <f>IFERROR((ID37/IC37),0)</f>
        <v/>
      </c>
      <c r="IK37" s="4">
        <f>IFERROR(((0+IB11+IB12+IB13+IB14+IB15+IB16+IB17+IB19+IB20+IB21+IB22+IB23+IB24+IB25+IB27+IB28+IB29+IB30+IB31+IB32+IB33+IB35+IB36+IB37)/T2),0)</f>
        <v/>
      </c>
      <c r="IL37" s="5">
        <f>IFERROR(ROUND(IB37/ID37,2),0)</f>
        <v/>
      </c>
      <c r="IM37" s="5">
        <f>IFERROR(ROUND(IB37/IE37,2),0)</f>
        <v/>
      </c>
      <c r="IN37" s="2" t="inlineStr">
        <is>
          <t>2023-10-13</t>
        </is>
      </c>
      <c r="IO37" s="5">
        <f>ROUND(0.4,2)</f>
        <v/>
      </c>
      <c r="IP37" s="3">
        <f>ROUND(1692.0,2)</f>
        <v/>
      </c>
      <c r="IQ37" s="3">
        <f>ROUND(40.0,2)</f>
        <v/>
      </c>
      <c r="IR37" s="3">
        <f>ROUND(0.0,2)</f>
        <v/>
      </c>
      <c r="IS37" s="3">
        <f>ROUND(0.0,2)</f>
        <v/>
      </c>
      <c r="IT37" s="3">
        <f>ROUND(0.0,2)</f>
        <v/>
      </c>
      <c r="IU37" s="3">
        <f>ROUND(0.0,2)</f>
        <v/>
      </c>
      <c r="IV37" s="3">
        <f>ROUND(0.0,2)</f>
        <v/>
      </c>
      <c r="IW37" s="4">
        <f>IFERROR((IQ37/IP37),0)</f>
        <v/>
      </c>
      <c r="IX37" s="4">
        <f>IFERROR(((0+IO11+IO12+IO13+IO14+IO15+IO16+IO17+IO19+IO20+IO21+IO22+IO23+IO24+IO25+IO27+IO28+IO29+IO30+IO31+IO32+IO33+IO35+IO36+IO37)/T2),0)</f>
        <v/>
      </c>
      <c r="IY37" s="5">
        <f>IFERROR(ROUND(IO37/IQ37,2),0)</f>
        <v/>
      </c>
      <c r="IZ37" s="5">
        <f>IFERROR(ROUND(IO37/IR37,2),0)</f>
        <v/>
      </c>
      <c r="JA37" s="2" t="inlineStr">
        <is>
          <t>2023-10-13</t>
        </is>
      </c>
      <c r="JB37" s="5">
        <f>ROUND(0.06,2)</f>
        <v/>
      </c>
      <c r="JC37" s="3">
        <f>ROUND(149.0,2)</f>
        <v/>
      </c>
      <c r="JD37" s="3">
        <f>ROUND(6.0,2)</f>
        <v/>
      </c>
      <c r="JE37" s="3">
        <f>ROUND(0.0,2)</f>
        <v/>
      </c>
      <c r="JF37" s="3">
        <f>ROUND(0.0,2)</f>
        <v/>
      </c>
      <c r="JG37" s="3">
        <f>ROUND(0.0,2)</f>
        <v/>
      </c>
      <c r="JH37" s="3">
        <f>ROUND(0.0,2)</f>
        <v/>
      </c>
      <c r="JI37" s="3">
        <f>ROUND(0.0,2)</f>
        <v/>
      </c>
      <c r="JJ37" s="4">
        <f>IFERROR((JD37/JC37),0)</f>
        <v/>
      </c>
      <c r="JK37" s="4">
        <f>IFERROR(((0+JB11+JB12+JB13+JB14+JB15+JB16+JB17+JB19+JB20+JB21+JB22+JB23+JB24+JB25+JB27+JB28+JB29+JB30+JB31+JB32+JB33+JB35+JB36+JB37)/T2),0)</f>
        <v/>
      </c>
      <c r="JL37" s="5">
        <f>IFERROR(ROUND(JB37/JD37,2),0)</f>
        <v/>
      </c>
      <c r="JM37" s="5">
        <f>IFERROR(ROUND(JB37/JE37,2),0)</f>
        <v/>
      </c>
      <c r="JN37" s="2" t="inlineStr">
        <is>
          <t>2023-10-13</t>
        </is>
      </c>
      <c r="JO37" s="5">
        <f>ROUND(0.05,2)</f>
        <v/>
      </c>
      <c r="JP37" s="3">
        <f>ROUND(69.0,2)</f>
        <v/>
      </c>
      <c r="JQ37" s="3">
        <f>ROUND(5.0,2)</f>
        <v/>
      </c>
      <c r="JR37" s="3">
        <f>ROUND(0.0,2)</f>
        <v/>
      </c>
      <c r="JS37" s="3">
        <f>ROUND(0.0,2)</f>
        <v/>
      </c>
      <c r="JT37" s="3">
        <f>ROUND(0.0,2)</f>
        <v/>
      </c>
      <c r="JU37" s="3">
        <f>ROUND(0.0,2)</f>
        <v/>
      </c>
      <c r="JV37" s="3">
        <f>ROUND(0.0,2)</f>
        <v/>
      </c>
      <c r="JW37" s="4">
        <f>IFERROR((JQ37/JP37),0)</f>
        <v/>
      </c>
      <c r="JX37" s="4">
        <f>IFERROR(((0+JO11+JO12+JO13+JO14+JO15+JO16+JO17+JO19+JO20+JO21+JO22+JO23+JO24+JO25+JO27+JO28+JO29+JO30+JO31+JO32+JO33+JO35+JO36+JO37)/T2),0)</f>
        <v/>
      </c>
      <c r="JY37" s="5">
        <f>IFERROR(ROUND(JO37/JQ37,2),0)</f>
        <v/>
      </c>
      <c r="JZ37" s="5">
        <f>IFERROR(ROUND(JO37/JR37,2),0)</f>
        <v/>
      </c>
      <c r="KA37" s="2" t="inlineStr">
        <is>
          <t>2023-10-13</t>
        </is>
      </c>
      <c r="KB37" s="5">
        <f>ROUND(0.05,2)</f>
        <v/>
      </c>
      <c r="KC37" s="3">
        <f>ROUND(93.0,2)</f>
        <v/>
      </c>
      <c r="KD37" s="3">
        <f>ROUND(5.0,2)</f>
        <v/>
      </c>
      <c r="KE37" s="3">
        <f>ROUND(0.0,2)</f>
        <v/>
      </c>
      <c r="KF37" s="3">
        <f>ROUND(0.0,2)</f>
        <v/>
      </c>
      <c r="KG37" s="3">
        <f>ROUND(0.0,2)</f>
        <v/>
      </c>
      <c r="KH37" s="3">
        <f>ROUND(0.0,2)</f>
        <v/>
      </c>
      <c r="KI37" s="3">
        <f>ROUND(0.0,2)</f>
        <v/>
      </c>
      <c r="KJ37" s="4">
        <f>IFERROR((KD37/KC37),0)</f>
        <v/>
      </c>
      <c r="KK37" s="4">
        <f>IFERROR(((0+KB11+KB12+KB13+KB14+KB15+KB16+KB17+KB19+KB20+KB21+KB22+KB23+KB24+KB25+KB27+KB28+KB29+KB30+KB31+KB32+KB33+KB35+KB36+KB37)/T2),0)</f>
        <v/>
      </c>
      <c r="KL37" s="5">
        <f>IFERROR(ROUND(KB37/KD37,2),0)</f>
        <v/>
      </c>
      <c r="KM37" s="5">
        <f>IFERROR(ROUND(KB37/KE37,2),0)</f>
        <v/>
      </c>
      <c r="KN37" s="2" t="inlineStr">
        <is>
          <t>2023-10-13</t>
        </is>
      </c>
      <c r="KO37" s="5">
        <f>ROUND(1.8399999999999999,2)</f>
        <v/>
      </c>
      <c r="KP37" s="3">
        <f>ROUND(8577.0,2)</f>
        <v/>
      </c>
      <c r="KQ37" s="3">
        <f>ROUND(184.0,2)</f>
        <v/>
      </c>
      <c r="KR37" s="3">
        <f>ROUND(0.0,2)</f>
        <v/>
      </c>
      <c r="KS37" s="3">
        <f>ROUND(0.0,2)</f>
        <v/>
      </c>
      <c r="KT37" s="3">
        <f>ROUND(0.0,2)</f>
        <v/>
      </c>
      <c r="KU37" s="3">
        <f>ROUND(0.0,2)</f>
        <v/>
      </c>
      <c r="KV37" s="3">
        <f>ROUND(0.0,2)</f>
        <v/>
      </c>
      <c r="KW37" s="4">
        <f>IFERROR((KQ37/KP37),0)</f>
        <v/>
      </c>
      <c r="KX37" s="4">
        <f>IFERROR(((0+KO11+KO12+KO13+KO14+KO15+KO16+KO17+KO19+KO20+KO21+KO22+KO23+KO24+KO25+KO27+KO28+KO29+KO30+KO31+KO32+KO33+KO35+KO36+KO37)/T2),0)</f>
        <v/>
      </c>
      <c r="KY37" s="5">
        <f>IFERROR(ROUND(KO37/KQ37,2),0)</f>
        <v/>
      </c>
      <c r="KZ37" s="5">
        <f>IFERROR(ROUND(KO37/KR37,2),0)</f>
        <v/>
      </c>
      <c r="LA37" s="2" t="inlineStr">
        <is>
          <t>2023-10-13</t>
        </is>
      </c>
      <c r="LB37" s="5">
        <f>ROUND(1.08,2)</f>
        <v/>
      </c>
      <c r="LC37" s="3">
        <f>ROUND(2447.0,2)</f>
        <v/>
      </c>
      <c r="LD37" s="3">
        <f>ROUND(108.0,2)</f>
        <v/>
      </c>
      <c r="LE37" s="3">
        <f>ROUND(0.0,2)</f>
        <v/>
      </c>
      <c r="LF37" s="3">
        <f>ROUND(0.0,2)</f>
        <v/>
      </c>
      <c r="LG37" s="3">
        <f>ROUND(0.0,2)</f>
        <v/>
      </c>
      <c r="LH37" s="3">
        <f>ROUND(0.0,2)</f>
        <v/>
      </c>
      <c r="LI37" s="3">
        <f>ROUND(0.0,2)</f>
        <v/>
      </c>
      <c r="LJ37" s="4">
        <f>IFERROR((LD37/LC37),0)</f>
        <v/>
      </c>
      <c r="LK37" s="4">
        <f>IFERROR(((0+LB11+LB12+LB13+LB14+LB15+LB16+LB17+LB19+LB20+LB21+LB22+LB23+LB24+LB25+LB27+LB28+LB29+LB30+LB31+LB32+LB33+LB35+LB36+LB37)/T2),0)</f>
        <v/>
      </c>
      <c r="LL37" s="5">
        <f>IFERROR(ROUND(LB37/LD37,2),0)</f>
        <v/>
      </c>
      <c r="LM37" s="5">
        <f>IFERROR(ROUND(LB37/LE37,2),0)</f>
        <v/>
      </c>
      <c r="LN37" s="2" t="inlineStr">
        <is>
          <t>2023-10-13</t>
        </is>
      </c>
      <c r="LO37" s="5">
        <f>ROUND(0.1,2)</f>
        <v/>
      </c>
      <c r="LP37" s="3">
        <f>ROUND(138.0,2)</f>
        <v/>
      </c>
      <c r="LQ37" s="3">
        <f>ROUND(10.0,2)</f>
        <v/>
      </c>
      <c r="LR37" s="3">
        <f>ROUND(0.0,2)</f>
        <v/>
      </c>
      <c r="LS37" s="3">
        <f>ROUND(0.0,2)</f>
        <v/>
      </c>
      <c r="LT37" s="3">
        <f>ROUND(0.0,2)</f>
        <v/>
      </c>
      <c r="LU37" s="3">
        <f>ROUND(0.0,2)</f>
        <v/>
      </c>
      <c r="LV37" s="3">
        <f>ROUND(0.0,2)</f>
        <v/>
      </c>
      <c r="LW37" s="4">
        <f>IFERROR((LQ37/LP37),0)</f>
        <v/>
      </c>
      <c r="LX37" s="4">
        <f>IFERROR(((0+LO11+LO12+LO13+LO14+LO15+LO16+LO17+LO19+LO20+LO21+LO22+LO23+LO24+LO25+LO27+LO28+LO29+LO30+LO31+LO32+LO33+LO35+LO36+LO37)/T2),0)</f>
        <v/>
      </c>
      <c r="LY37" s="5">
        <f>IFERROR(ROUND(LO37/LQ37,2),0)</f>
        <v/>
      </c>
      <c r="LZ37" s="5">
        <f>IFERROR(ROUND(LO37/LR37,2),0)</f>
        <v/>
      </c>
      <c r="MA37" s="2" t="inlineStr">
        <is>
          <t>2023-10-13</t>
        </is>
      </c>
      <c r="MB37" s="5">
        <f>ROUND(0.37,2)</f>
        <v/>
      </c>
      <c r="MC37" s="3">
        <f>ROUND(1359.0,2)</f>
        <v/>
      </c>
      <c r="MD37" s="3">
        <f>ROUND(37.0,2)</f>
        <v/>
      </c>
      <c r="ME37" s="3">
        <f>ROUND(0.0,2)</f>
        <v/>
      </c>
      <c r="MF37" s="3">
        <f>ROUND(0.0,2)</f>
        <v/>
      </c>
      <c r="MG37" s="3">
        <f>ROUND(0.0,2)</f>
        <v/>
      </c>
      <c r="MH37" s="3">
        <f>ROUND(0.0,2)</f>
        <v/>
      </c>
      <c r="MI37" s="3">
        <f>ROUND(0.0,2)</f>
        <v/>
      </c>
      <c r="MJ37" s="4">
        <f>IFERROR((MD37/MC37),0)</f>
        <v/>
      </c>
      <c r="MK37" s="4">
        <f>IFERROR(((0+MB11+MB12+MB13+MB14+MB15+MB16+MB17+MB19+MB20+MB21+MB22+MB23+MB24+MB25+MB27+MB28+MB29+MB30+MB31+MB32+MB33+MB35+MB36+MB37)/T2),0)</f>
        <v/>
      </c>
      <c r="ML37" s="5">
        <f>IFERROR(ROUND(MB37/MD37,2),0)</f>
        <v/>
      </c>
      <c r="MM37" s="5">
        <f>IFERROR(ROUND(MB37/ME37,2),0)</f>
        <v/>
      </c>
      <c r="MN37" s="2" t="inlineStr">
        <is>
          <t>2023-10-13</t>
        </is>
      </c>
      <c r="MO37" s="5">
        <f>ROUND(0.93,2)</f>
        <v/>
      </c>
      <c r="MP37" s="3">
        <f>ROUND(1386.0,2)</f>
        <v/>
      </c>
      <c r="MQ37" s="3">
        <f>ROUND(93.0,2)</f>
        <v/>
      </c>
      <c r="MR37" s="3">
        <f>ROUND(0.0,2)</f>
        <v/>
      </c>
      <c r="MS37" s="3">
        <f>ROUND(0.0,2)</f>
        <v/>
      </c>
      <c r="MT37" s="3">
        <f>ROUND(0.0,2)</f>
        <v/>
      </c>
      <c r="MU37" s="3">
        <f>ROUND(0.0,2)</f>
        <v/>
      </c>
      <c r="MV37" s="3">
        <f>ROUND(0.0,2)</f>
        <v/>
      </c>
      <c r="MW37" s="4">
        <f>IFERROR((MQ37/MP37),0)</f>
        <v/>
      </c>
      <c r="MX37" s="4">
        <f>IFERROR(((0+MO11+MO12+MO13+MO14+MO15+MO16+MO17+MO19+MO20+MO21+MO22+MO23+MO24+MO25+MO27+MO28+MO29+MO30+MO31+MO32+MO33+MO35+MO36+MO37)/T2),0)</f>
        <v/>
      </c>
      <c r="MY37" s="5">
        <f>IFERROR(ROUND(MO37/MQ37,2),0)</f>
        <v/>
      </c>
      <c r="MZ37" s="5">
        <f>IFERROR(ROUND(MO37/MR37,2),0)</f>
        <v/>
      </c>
      <c r="NA37" s="2" t="inlineStr">
        <is>
          <t>2023-10-13</t>
        </is>
      </c>
      <c r="NB37" s="5">
        <f>ROUND(1.57,2)</f>
        <v/>
      </c>
      <c r="NC37" s="3">
        <f>ROUND(6209.0,2)</f>
        <v/>
      </c>
      <c r="ND37" s="3">
        <f>ROUND(157.0,2)</f>
        <v/>
      </c>
      <c r="NE37" s="3">
        <f>ROUND(0.0,2)</f>
        <v/>
      </c>
      <c r="NF37" s="3">
        <f>ROUND(0.0,2)</f>
        <v/>
      </c>
      <c r="NG37" s="3">
        <f>ROUND(0.0,2)</f>
        <v/>
      </c>
      <c r="NH37" s="3">
        <f>ROUND(0.0,2)</f>
        <v/>
      </c>
      <c r="NI37" s="3">
        <f>ROUND(0.0,2)</f>
        <v/>
      </c>
      <c r="NJ37" s="4">
        <f>IFERROR((ND37/NC37),0)</f>
        <v/>
      </c>
      <c r="NK37" s="4">
        <f>IFERROR(((0+NB11+NB12+NB13+NB14+NB15+NB16+NB17+NB19+NB20+NB21+NB22+NB23+NB24+NB25+NB27+NB28+NB29+NB30+NB31+NB32+NB33+NB35+NB36+NB37)/T2),0)</f>
        <v/>
      </c>
      <c r="NL37" s="5">
        <f>IFERROR(ROUND(NB37/ND37,2),0)</f>
        <v/>
      </c>
      <c r="NM37" s="5">
        <f>IFERROR(ROUND(NB37/NE37,2),0)</f>
        <v/>
      </c>
      <c r="NN37" s="2" t="inlineStr">
        <is>
          <t>2023-10-13</t>
        </is>
      </c>
      <c r="NO37" s="5">
        <f>ROUND(0.02,2)</f>
        <v/>
      </c>
      <c r="NP37" s="3">
        <f>ROUND(109.0,2)</f>
        <v/>
      </c>
      <c r="NQ37" s="3">
        <f>ROUND(2.0,2)</f>
        <v/>
      </c>
      <c r="NR37" s="3">
        <f>ROUND(0.0,2)</f>
        <v/>
      </c>
      <c r="NS37" s="3">
        <f>ROUND(0.0,2)</f>
        <v/>
      </c>
      <c r="NT37" s="3">
        <f>ROUND(0.0,2)</f>
        <v/>
      </c>
      <c r="NU37" s="3">
        <f>ROUND(0.0,2)</f>
        <v/>
      </c>
      <c r="NV37" s="3">
        <f>ROUND(0.0,2)</f>
        <v/>
      </c>
      <c r="NW37" s="4">
        <f>IFERROR((NQ37/NP37),0)</f>
        <v/>
      </c>
      <c r="NX37" s="4">
        <f>IFERROR(((0+NO11+NO12+NO13+NO14+NO15+NO16+NO17+NO19+NO20+NO21+NO22+NO23+NO24+NO25+NO27+NO28+NO29+NO30+NO31+NO32+NO33+NO35+NO36+NO37)/T2),0)</f>
        <v/>
      </c>
      <c r="NY37" s="5">
        <f>IFERROR(ROUND(NO37/NQ37,2),0)</f>
        <v/>
      </c>
      <c r="NZ37" s="5">
        <f>IFERROR(ROUND(NO37/NR37,2),0)</f>
        <v/>
      </c>
      <c r="OA37" s="2" t="inlineStr">
        <is>
          <t>2023-10-13</t>
        </is>
      </c>
      <c r="OB37" s="5">
        <f>ROUND(0.02,2)</f>
        <v/>
      </c>
      <c r="OC37" s="3">
        <f>ROUND(19.0,2)</f>
        <v/>
      </c>
      <c r="OD37" s="3">
        <f>ROUND(2.0,2)</f>
        <v/>
      </c>
      <c r="OE37" s="3">
        <f>ROUND(0.0,2)</f>
        <v/>
      </c>
      <c r="OF37" s="3">
        <f>ROUND(0.0,2)</f>
        <v/>
      </c>
      <c r="OG37" s="3">
        <f>ROUND(0.0,2)</f>
        <v/>
      </c>
      <c r="OH37" s="3">
        <f>ROUND(0.0,2)</f>
        <v/>
      </c>
      <c r="OI37" s="3">
        <f>ROUND(0.0,2)</f>
        <v/>
      </c>
      <c r="OJ37" s="4">
        <f>IFERROR((OD37/OC37),0)</f>
        <v/>
      </c>
      <c r="OK37" s="4">
        <f>IFERROR(((0+OB11+OB12+OB13+OB14+OB15+OB16+OB17+OB19+OB20+OB21+OB22+OB23+OB24+OB25+OB27+OB28+OB29+OB30+OB31+OB32+OB33+OB35+OB36+OB37)/T2),0)</f>
        <v/>
      </c>
      <c r="OL37" s="5">
        <f>IFERROR(ROUND(OB37/OD37,2),0)</f>
        <v/>
      </c>
      <c r="OM37" s="5">
        <f>IFERROR(ROUND(OB37/OE37,2),0)</f>
        <v/>
      </c>
      <c r="ON37" s="2" t="inlineStr">
        <is>
          <t>2023-10-13</t>
        </is>
      </c>
      <c r="OO37" s="5">
        <f>ROUND(0.04,2)</f>
        <v/>
      </c>
      <c r="OP37" s="3">
        <f>ROUND(64.0,2)</f>
        <v/>
      </c>
      <c r="OQ37" s="3">
        <f>ROUND(4.0,2)</f>
        <v/>
      </c>
      <c r="OR37" s="3">
        <f>ROUND(0.0,2)</f>
        <v/>
      </c>
      <c r="OS37" s="3">
        <f>ROUND(0.0,2)</f>
        <v/>
      </c>
      <c r="OT37" s="3">
        <f>ROUND(0.0,2)</f>
        <v/>
      </c>
      <c r="OU37" s="3">
        <f>ROUND(0.0,2)</f>
        <v/>
      </c>
      <c r="OV37" s="3">
        <f>ROUND(0.0,2)</f>
        <v/>
      </c>
      <c r="OW37" s="4">
        <f>IFERROR((OQ37/OP37),0)</f>
        <v/>
      </c>
      <c r="OX37" s="4">
        <f>IFERROR(((0+OO11+OO12+OO13+OO14+OO15+OO16+OO17+OO19+OO20+OO21+OO22+OO23+OO24+OO25+OO27+OO28+OO29+OO30+OO31+OO32+OO33+OO35+OO36+OO37)/T2),0)</f>
        <v/>
      </c>
      <c r="OY37" s="5">
        <f>IFERROR(ROUND(OO37/OQ37,2),0)</f>
        <v/>
      </c>
      <c r="OZ37" s="5">
        <f>IFERROR(ROUND(OO37/OR37,2),0)</f>
        <v/>
      </c>
      <c r="PA37" s="2" t="inlineStr">
        <is>
          <t>2023-10-13</t>
        </is>
      </c>
      <c r="PB37" s="5">
        <f>ROUND(0.04,2)</f>
        <v/>
      </c>
      <c r="PC37" s="3">
        <f>ROUND(57.0,2)</f>
        <v/>
      </c>
      <c r="PD37" s="3">
        <f>ROUND(4.0,2)</f>
        <v/>
      </c>
      <c r="PE37" s="3">
        <f>ROUND(0.0,2)</f>
        <v/>
      </c>
      <c r="PF37" s="3">
        <f>ROUND(0.0,2)</f>
        <v/>
      </c>
      <c r="PG37" s="3">
        <f>ROUND(0.0,2)</f>
        <v/>
      </c>
      <c r="PH37" s="3">
        <f>ROUND(0.0,2)</f>
        <v/>
      </c>
      <c r="PI37" s="3">
        <f>ROUND(0.0,2)</f>
        <v/>
      </c>
      <c r="PJ37" s="4">
        <f>IFERROR((PD37/PC37),0)</f>
        <v/>
      </c>
      <c r="PK37" s="4">
        <f>IFERROR(((0+PB11+PB12+PB13+PB14+PB15+PB16+PB17+PB19+PB20+PB21+PB22+PB23+PB24+PB25+PB27+PB28+PB29+PB30+PB31+PB32+PB33+PB35+PB36+PB37)/T2),0)</f>
        <v/>
      </c>
      <c r="PL37" s="5">
        <f>IFERROR(ROUND(PB37/PD37,2),0)</f>
        <v/>
      </c>
      <c r="PM37" s="5">
        <f>IFERROR(ROUND(PB37/PE37,2),0)</f>
        <v/>
      </c>
      <c r="PN37" s="2" t="inlineStr">
        <is>
          <t>2023-10-13</t>
        </is>
      </c>
      <c r="PO37" s="5">
        <f>ROUND(6.029999999999999,2)</f>
        <v/>
      </c>
      <c r="PP37" s="3">
        <f>ROUND(7815.0,2)</f>
        <v/>
      </c>
      <c r="PQ37" s="3">
        <f>ROUND(602.0,2)</f>
        <v/>
      </c>
      <c r="PR37" s="3">
        <f>ROUND(0.0,2)</f>
        <v/>
      </c>
      <c r="PS37" s="3">
        <f>ROUND(0.0,2)</f>
        <v/>
      </c>
      <c r="PT37" s="3">
        <f>ROUND(0.0,2)</f>
        <v/>
      </c>
      <c r="PU37" s="3">
        <f>ROUND(0.0,2)</f>
        <v/>
      </c>
      <c r="PV37" s="3">
        <f>ROUND(0.0,2)</f>
        <v/>
      </c>
      <c r="PW37" s="4">
        <f>IFERROR((PQ37/PP37),0)</f>
        <v/>
      </c>
      <c r="PX37" s="4">
        <f>IFERROR(((0+PO11+PO12+PO13+PO14+PO15+PO16+PO17+PO19+PO20+PO21+PO22+PO23+PO24+PO25+PO27+PO28+PO29+PO30+PO31+PO32+PO33+PO35+PO36+PO37)/T2),0)</f>
        <v/>
      </c>
      <c r="PY37" s="5">
        <f>IFERROR(ROUND(PO37/PQ37,2),0)</f>
        <v/>
      </c>
      <c r="PZ37" s="5">
        <f>IFERROR(ROUND(PO37/PR37,2),0)</f>
        <v/>
      </c>
      <c r="QA37" s="2" t="inlineStr">
        <is>
          <t>2023-10-13</t>
        </is>
      </c>
      <c r="QB37" s="5">
        <f>ROUND(2.17,2)</f>
        <v/>
      </c>
      <c r="QC37" s="3">
        <f>ROUND(2866.0,2)</f>
        <v/>
      </c>
      <c r="QD37" s="3">
        <f>ROUND(217.0,2)</f>
        <v/>
      </c>
      <c r="QE37" s="3">
        <f>ROUND(0.0,2)</f>
        <v/>
      </c>
      <c r="QF37" s="3">
        <f>ROUND(0.0,2)</f>
        <v/>
      </c>
      <c r="QG37" s="3">
        <f>ROUND(0.0,2)</f>
        <v/>
      </c>
      <c r="QH37" s="3">
        <f>ROUND(0.0,2)</f>
        <v/>
      </c>
      <c r="QI37" s="3">
        <f>ROUND(0.0,2)</f>
        <v/>
      </c>
      <c r="QJ37" s="4">
        <f>IFERROR((QD37/QC37),0)</f>
        <v/>
      </c>
      <c r="QK37" s="4">
        <f>IFERROR(((0+QB11+QB12+QB13+QB14+QB15+QB16+QB17+QB19+QB20+QB21+QB22+QB23+QB24+QB25+QB27+QB28+QB29+QB30+QB31+QB32+QB33+QB35+QB36+QB37)/T2),0)</f>
        <v/>
      </c>
      <c r="QL37" s="5">
        <f>IFERROR(ROUND(QB37/QD37,2),0)</f>
        <v/>
      </c>
      <c r="QM37" s="5">
        <f>IFERROR(ROUND(QB37/QE37,2),0)</f>
        <v/>
      </c>
      <c r="QN37" s="2" t="inlineStr">
        <is>
          <t>2023-10-13</t>
        </is>
      </c>
      <c r="QO37" s="5">
        <f>ROUND(0.12000000000000001,2)</f>
        <v/>
      </c>
      <c r="QP37" s="3">
        <f>ROUND(182.0,2)</f>
        <v/>
      </c>
      <c r="QQ37" s="3">
        <f>ROUND(12.0,2)</f>
        <v/>
      </c>
      <c r="QR37" s="3">
        <f>ROUND(0.0,2)</f>
        <v/>
      </c>
      <c r="QS37" s="3">
        <f>ROUND(0.0,2)</f>
        <v/>
      </c>
      <c r="QT37" s="3">
        <f>ROUND(0.0,2)</f>
        <v/>
      </c>
      <c r="QU37" s="3">
        <f>ROUND(0.0,2)</f>
        <v/>
      </c>
      <c r="QV37" s="3">
        <f>ROUND(0.0,2)</f>
        <v/>
      </c>
      <c r="QW37" s="4">
        <f>IFERROR((QQ37/QP37),0)</f>
        <v/>
      </c>
      <c r="QX37" s="4">
        <f>IFERROR(((0+QO11+QO12+QO13+QO14+QO15+QO16+QO17+QO19+QO20+QO21+QO22+QO23+QO24+QO25+QO27+QO28+QO29+QO30+QO31+QO32+QO33+QO35+QO36+QO37)/T2),0)</f>
        <v/>
      </c>
      <c r="QY37" s="5">
        <f>IFERROR(ROUND(QO37/QQ37,2),0)</f>
        <v/>
      </c>
      <c r="QZ37" s="5">
        <f>IFERROR(ROUND(QO37/QR37,2),0)</f>
        <v/>
      </c>
      <c r="RA37" s="2" t="inlineStr">
        <is>
          <t>2023-10-13</t>
        </is>
      </c>
      <c r="RB37" s="5">
        <f>ROUND(0.14,2)</f>
        <v/>
      </c>
      <c r="RC37" s="3">
        <f>ROUND(83.0,2)</f>
        <v/>
      </c>
      <c r="RD37" s="3">
        <f>ROUND(14.0,2)</f>
        <v/>
      </c>
      <c r="RE37" s="3">
        <f>ROUND(0.0,2)</f>
        <v/>
      </c>
      <c r="RF37" s="3">
        <f>ROUND(0.0,2)</f>
        <v/>
      </c>
      <c r="RG37" s="3">
        <f>ROUND(0.0,2)</f>
        <v/>
      </c>
      <c r="RH37" s="3">
        <f>ROUND(0.0,2)</f>
        <v/>
      </c>
      <c r="RI37" s="3">
        <f>ROUND(0.0,2)</f>
        <v/>
      </c>
      <c r="RJ37" s="4">
        <f>IFERROR((RD37/RC37),0)</f>
        <v/>
      </c>
      <c r="RK37" s="4">
        <f>IFERROR(((0+RB11+RB12+RB13+RB14+RB15+RB16+RB17+RB19+RB20+RB21+RB22+RB23+RB24+RB25+RB27+RB28+RB29+RB30+RB31+RB32+RB33+RB35+RB36+RB37)/T2),0)</f>
        <v/>
      </c>
      <c r="RL37" s="5">
        <f>IFERROR(ROUND(RB37/RD37,2),0)</f>
        <v/>
      </c>
      <c r="RM37" s="5">
        <f>IFERROR(ROUND(RB37/RE37,2),0)</f>
        <v/>
      </c>
      <c r="RN37" s="2" t="inlineStr">
        <is>
          <t>2023-10-13</t>
        </is>
      </c>
      <c r="RO37" s="5">
        <f>ROUND(0.28,2)</f>
        <v/>
      </c>
      <c r="RP37" s="3">
        <f>ROUND(424.0,2)</f>
        <v/>
      </c>
      <c r="RQ37" s="3">
        <f>ROUND(28.0,2)</f>
        <v/>
      </c>
      <c r="RR37" s="3">
        <f>ROUND(0.0,2)</f>
        <v/>
      </c>
      <c r="RS37" s="3">
        <f>ROUND(0.0,2)</f>
        <v/>
      </c>
      <c r="RT37" s="3">
        <f>ROUND(0.0,2)</f>
        <v/>
      </c>
      <c r="RU37" s="3">
        <f>ROUND(0.0,2)</f>
        <v/>
      </c>
      <c r="RV37" s="3">
        <f>ROUND(0.0,2)</f>
        <v/>
      </c>
      <c r="RW37" s="4">
        <f>IFERROR((RQ37/RP37),0)</f>
        <v/>
      </c>
      <c r="RX37" s="4">
        <f>IFERROR(((0+RO11+RO12+RO13+RO14+RO15+RO16+RO17+RO19+RO20+RO21+RO22+RO23+RO24+RO25+RO27+RO28+RO29+RO30+RO31+RO32+RO33+RO35+RO36+RO37)/T2),0)</f>
        <v/>
      </c>
      <c r="RY37" s="5">
        <f>IFERROR(ROUND(RO37/RQ37,2),0)</f>
        <v/>
      </c>
      <c r="RZ37" s="5">
        <f>IFERROR(ROUND(RO37/RR37,2),0)</f>
        <v/>
      </c>
      <c r="SA37" s="2" t="inlineStr">
        <is>
          <t>2023-10-13</t>
        </is>
      </c>
      <c r="SB37" s="5">
        <f>ROUND(0.13,2)</f>
        <v/>
      </c>
      <c r="SC37" s="3">
        <f>ROUND(260.0,2)</f>
        <v/>
      </c>
      <c r="SD37" s="3">
        <f>ROUND(13.0,2)</f>
        <v/>
      </c>
      <c r="SE37" s="3">
        <f>ROUND(0.0,2)</f>
        <v/>
      </c>
      <c r="SF37" s="3">
        <f>ROUND(0.0,2)</f>
        <v/>
      </c>
      <c r="SG37" s="3">
        <f>ROUND(0.0,2)</f>
        <v/>
      </c>
      <c r="SH37" s="3">
        <f>ROUND(0.0,2)</f>
        <v/>
      </c>
      <c r="SI37" s="3">
        <f>ROUND(0.0,2)</f>
        <v/>
      </c>
      <c r="SJ37" s="4">
        <f>IFERROR((SD37/SC37),0)</f>
        <v/>
      </c>
      <c r="SK37" s="4">
        <f>IFERROR(((0+SB11+SB12+SB13+SB14+SB15+SB16+SB17+SB19+SB20+SB21+SB22+SB23+SB24+SB25+SB27+SB28+SB29+SB30+SB31+SB32+SB33+SB35+SB36+SB37)/T2),0)</f>
        <v/>
      </c>
      <c r="SL37" s="5">
        <f>IFERROR(ROUND(SB37/SD37,2),0)</f>
        <v/>
      </c>
      <c r="SM37" s="5">
        <f>IFERROR(ROUND(SB37/SE37,2),0)</f>
        <v/>
      </c>
      <c r="SN37" s="2" t="inlineStr">
        <is>
          <t>2023-10-13</t>
        </is>
      </c>
      <c r="SO37" s="5">
        <f>ROUND(0.5700000000000001,2)</f>
        <v/>
      </c>
      <c r="SP37" s="3">
        <f>ROUND(615.0,2)</f>
        <v/>
      </c>
      <c r="SQ37" s="3">
        <f>ROUND(57.0,2)</f>
        <v/>
      </c>
      <c r="SR37" s="3">
        <f>ROUND(0.0,2)</f>
        <v/>
      </c>
      <c r="SS37" s="3">
        <f>ROUND(0.0,2)</f>
        <v/>
      </c>
      <c r="ST37" s="3">
        <f>ROUND(0.0,2)</f>
        <v/>
      </c>
      <c r="SU37" s="3">
        <f>ROUND(0.0,2)</f>
        <v/>
      </c>
      <c r="SV37" s="3">
        <f>ROUND(0.0,2)</f>
        <v/>
      </c>
      <c r="SW37" s="4">
        <f>IFERROR((SQ37/SP37),0)</f>
        <v/>
      </c>
      <c r="SX37" s="4">
        <f>IFERROR(((0+SO11+SO12+SO13+SO14+SO15+SO16+SO17+SO19+SO20+SO21+SO22+SO23+SO24+SO25+SO27+SO28+SO29+SO30+SO31+SO32+SO33+SO35+SO36+SO37)/T2),0)</f>
        <v/>
      </c>
      <c r="SY37" s="5">
        <f>IFERROR(ROUND(SO37/SQ37,2),0)</f>
        <v/>
      </c>
      <c r="SZ37" s="5">
        <f>IFERROR(ROUND(SO37/SR37,2),0)</f>
        <v/>
      </c>
    </row>
    <row r="38">
      <c r="A38" s="2" t="inlineStr">
        <is>
          <t>2023-10-14</t>
        </is>
      </c>
      <c r="B38" s="5">
        <f>ROUND(40.95,2)</f>
        <v/>
      </c>
      <c r="C38" s="3">
        <f>ROUND(92288.0,2)</f>
        <v/>
      </c>
      <c r="D38" s="3">
        <f>ROUND(4095.0,2)</f>
        <v/>
      </c>
      <c r="E38" s="3">
        <f>ROUND(0.0,2)</f>
        <v/>
      </c>
      <c r="F38" s="3">
        <f>ROUND(0.0,2)</f>
        <v/>
      </c>
      <c r="G38" s="3">
        <f>ROUND(0.0,2)</f>
        <v/>
      </c>
      <c r="H38" s="3">
        <f>ROUND(0.0,2)</f>
        <v/>
      </c>
      <c r="I38" s="3">
        <f>ROUND(0.0,2)</f>
        <v/>
      </c>
      <c r="J38" s="4">
        <f>IFERROR((D38/C38),0)</f>
        <v/>
      </c>
      <c r="K38" s="4">
        <f>IFERROR(((0+B11+B12+B13+B14+B15+B16+B17+B19+B20+B21+B22+B23+B24+B25+B27+B28+B29+B30+B31+B32+B33+B35+B36+B37+B38)/T2),0)</f>
        <v/>
      </c>
      <c r="L38" s="5">
        <f>IFERROR(ROUND(B38/D38,2),0)</f>
        <v/>
      </c>
      <c r="M38" s="5">
        <f>IFERROR(ROUND(B38/E38,2),0)</f>
        <v/>
      </c>
      <c r="N38" s="2" t="inlineStr">
        <is>
          <t>2023-10-14</t>
        </is>
      </c>
      <c r="O38" s="5">
        <f>ROUND(1.21,2)</f>
        <v/>
      </c>
      <c r="P38" s="3">
        <f>ROUND(2330.0,2)</f>
        <v/>
      </c>
      <c r="Q38" s="3">
        <f>ROUND(121.0,2)</f>
        <v/>
      </c>
      <c r="R38" s="3">
        <f>ROUND(0.0,2)</f>
        <v/>
      </c>
      <c r="S38" s="3">
        <f>ROUND(0.0,2)</f>
        <v/>
      </c>
      <c r="T38" s="3">
        <f>ROUND(0.0,2)</f>
        <v/>
      </c>
      <c r="U38" s="3">
        <f>ROUND(0.0,2)</f>
        <v/>
      </c>
      <c r="V38" s="3">
        <f>ROUND(0.0,2)</f>
        <v/>
      </c>
      <c r="W38" s="4">
        <f>IFERROR((Q38/P38),0)</f>
        <v/>
      </c>
      <c r="X38" s="4">
        <f>IFERROR(((0+O11+O12+O13+O14+O15+O16+O17+O19+O20+O21+O22+O23+O24+O25+O27+O28+O29+O30+O31+O32+O33+O35+O36+O37+O38)/T2),0)</f>
        <v/>
      </c>
      <c r="Y38" s="5">
        <f>IFERROR(ROUND(O38/Q38,2),0)</f>
        <v/>
      </c>
      <c r="Z38" s="5">
        <f>IFERROR(ROUND(O38/R38,2),0)</f>
        <v/>
      </c>
      <c r="AA38" s="2" t="inlineStr">
        <is>
          <t>2023-10-14</t>
        </is>
      </c>
      <c r="AB38" s="5">
        <f>ROUND(0.0,2)</f>
        <v/>
      </c>
      <c r="AC38" s="3">
        <f>ROUND(18.0,2)</f>
        <v/>
      </c>
      <c r="AD38" s="3">
        <f>ROUND(0.0,2)</f>
        <v/>
      </c>
      <c r="AE38" s="3">
        <f>ROUND(0.0,2)</f>
        <v/>
      </c>
      <c r="AF38" s="3">
        <f>ROUND(0.0,2)</f>
        <v/>
      </c>
      <c r="AG38" s="3">
        <f>ROUND(0.0,2)</f>
        <v/>
      </c>
      <c r="AH38" s="3">
        <f>ROUND(0.0,2)</f>
        <v/>
      </c>
      <c r="AI38" s="3">
        <f>ROUND(0.0,2)</f>
        <v/>
      </c>
      <c r="AJ38" s="4">
        <f>IFERROR((AD38/AC38),0)</f>
        <v/>
      </c>
      <c r="AK38" s="4">
        <f>IFERROR(((0+AB11+AB12+AB13+AB14+AB15+AB16+AB17+AB19+AB20+AB21+AB22+AB23+AB24+AB25+AB27+AB28+AB29+AB30+AB31+AB32+AB33+AB35+AB36+AB37+AB38)/T2),0)</f>
        <v/>
      </c>
      <c r="AL38" s="5">
        <f>IFERROR(ROUND(AB38/AD38,2),0)</f>
        <v/>
      </c>
      <c r="AM38" s="5">
        <f>IFERROR(ROUND(AB38/AE38,2),0)</f>
        <v/>
      </c>
      <c r="AN38" s="2" t="inlineStr">
        <is>
          <t>2023-10-14</t>
        </is>
      </c>
      <c r="AO38" s="5">
        <f>ROUND(5.36,2)</f>
        <v/>
      </c>
      <c r="AP38" s="3">
        <f>ROUND(17324.0,2)</f>
        <v/>
      </c>
      <c r="AQ38" s="3">
        <f>ROUND(536.0,2)</f>
        <v/>
      </c>
      <c r="AR38" s="3">
        <f>ROUND(0.0,2)</f>
        <v/>
      </c>
      <c r="AS38" s="3">
        <f>ROUND(0.0,2)</f>
        <v/>
      </c>
      <c r="AT38" s="3">
        <f>ROUND(0.0,2)</f>
        <v/>
      </c>
      <c r="AU38" s="3">
        <f>ROUND(0.0,2)</f>
        <v/>
      </c>
      <c r="AV38" s="3">
        <f>ROUND(0.0,2)</f>
        <v/>
      </c>
      <c r="AW38" s="4">
        <f>IFERROR((AQ38/AP38),0)</f>
        <v/>
      </c>
      <c r="AX38" s="4">
        <f>IFERROR(((0+AO11+AO12+AO13+AO14+AO15+AO16+AO17+AO19+AO20+AO21+AO22+AO23+AO24+AO25+AO27+AO28+AO29+AO30+AO31+AO32+AO33+AO35+AO36+AO37+AO38)/T2),0)</f>
        <v/>
      </c>
      <c r="AY38" s="5">
        <f>IFERROR(ROUND(AO38/AQ38,2),0)</f>
        <v/>
      </c>
      <c r="AZ38" s="5">
        <f>IFERROR(ROUND(AO38/AR38,2),0)</f>
        <v/>
      </c>
      <c r="BA38" s="2" t="inlineStr">
        <is>
          <t>2023-10-14</t>
        </is>
      </c>
      <c r="BB38" s="5">
        <f>ROUND(0.02,2)</f>
        <v/>
      </c>
      <c r="BC38" s="3">
        <f>ROUND(39.0,2)</f>
        <v/>
      </c>
      <c r="BD38" s="3">
        <f>ROUND(2.0,2)</f>
        <v/>
      </c>
      <c r="BE38" s="3">
        <f>ROUND(0.0,2)</f>
        <v/>
      </c>
      <c r="BF38" s="3">
        <f>ROUND(0.0,2)</f>
        <v/>
      </c>
      <c r="BG38" s="3">
        <f>ROUND(0.0,2)</f>
        <v/>
      </c>
      <c r="BH38" s="3">
        <f>ROUND(0.0,2)</f>
        <v/>
      </c>
      <c r="BI38" s="3">
        <f>ROUND(0.0,2)</f>
        <v/>
      </c>
      <c r="BJ38" s="4">
        <f>IFERROR((BD38/BC38),0)</f>
        <v/>
      </c>
      <c r="BK38" s="4">
        <f>IFERROR(((0+BB11+BB12+BB13+BB14+BB15+BB16+BB17+BB19+BB20+BB21+BB22+BB23+BB24+BB25+BB27+BB28+BB29+BB30+BB31+BB32+BB33+BB35+BB36+BB37+BB38)/T2),0)</f>
        <v/>
      </c>
      <c r="BL38" s="5">
        <f>IFERROR(ROUND(BB38/BD38,2),0)</f>
        <v/>
      </c>
      <c r="BM38" s="5">
        <f>IFERROR(ROUND(BB38/BE38,2),0)</f>
        <v/>
      </c>
      <c r="BN38" s="2" t="inlineStr">
        <is>
          <t>2023-10-14</t>
        </is>
      </c>
      <c r="BO38" s="5">
        <f>ROUND(0.48,2)</f>
        <v/>
      </c>
      <c r="BP38" s="3">
        <f>ROUND(552.0,2)</f>
        <v/>
      </c>
      <c r="BQ38" s="3">
        <f>ROUND(48.0,2)</f>
        <v/>
      </c>
      <c r="BR38" s="3">
        <f>ROUND(0.0,2)</f>
        <v/>
      </c>
      <c r="BS38" s="3">
        <f>ROUND(0.0,2)</f>
        <v/>
      </c>
      <c r="BT38" s="3">
        <f>ROUND(0.0,2)</f>
        <v/>
      </c>
      <c r="BU38" s="3">
        <f>ROUND(0.0,2)</f>
        <v/>
      </c>
      <c r="BV38" s="3">
        <f>ROUND(0.0,2)</f>
        <v/>
      </c>
      <c r="BW38" s="4">
        <f>IFERROR((BQ38/BP38),0)</f>
        <v/>
      </c>
      <c r="BX38" s="4">
        <f>IFERROR(((0+BO11+BO12+BO13+BO14+BO15+BO16+BO17+BO19+BO20+BO21+BO22+BO23+BO24+BO25+BO27+BO28+BO29+BO30+BO31+BO32+BO33+BO35+BO36+BO37+BO38)/T2),0)</f>
        <v/>
      </c>
      <c r="BY38" s="5">
        <f>IFERROR(ROUND(BO38/BQ38,2),0)</f>
        <v/>
      </c>
      <c r="BZ38" s="5">
        <f>IFERROR(ROUND(BO38/BR38,2),0)</f>
        <v/>
      </c>
      <c r="CA38" s="2" t="inlineStr">
        <is>
          <t>2023-10-14</t>
        </is>
      </c>
      <c r="CB38" s="5">
        <f>ROUND(0.01,2)</f>
        <v/>
      </c>
      <c r="CC38" s="3">
        <f>ROUND(28.0,2)</f>
        <v/>
      </c>
      <c r="CD38" s="3">
        <f>ROUND(1.0,2)</f>
        <v/>
      </c>
      <c r="CE38" s="3">
        <f>ROUND(0.0,2)</f>
        <v/>
      </c>
      <c r="CF38" s="3">
        <f>ROUND(0.0,2)</f>
        <v/>
      </c>
      <c r="CG38" s="3">
        <f>ROUND(0.0,2)</f>
        <v/>
      </c>
      <c r="CH38" s="3">
        <f>ROUND(0.0,2)</f>
        <v/>
      </c>
      <c r="CI38" s="3">
        <f>ROUND(0.0,2)</f>
        <v/>
      </c>
      <c r="CJ38" s="4">
        <f>IFERROR((CD38/CC38),0)</f>
        <v/>
      </c>
      <c r="CK38" s="4">
        <f>IFERROR(((0+CB11+CB12+CB13+CB14+CB15+CB16+CB17+CB19+CB20+CB21+CB22+CB23+CB24+CB25+CB27+CB28+CB29+CB30+CB31+CB32+CB33+CB35+CB36+CB37+CB38)/T2),0)</f>
        <v/>
      </c>
      <c r="CL38" s="5">
        <f>IFERROR(ROUND(CB38/CD38,2),0)</f>
        <v/>
      </c>
      <c r="CM38" s="5">
        <f>IFERROR(ROUND(CB38/CE38,2),0)</f>
        <v/>
      </c>
      <c r="CN38" s="2" t="inlineStr">
        <is>
          <t>2023-10-14</t>
        </is>
      </c>
      <c r="CO38" s="5">
        <f>ROUND(0.19,2)</f>
        <v/>
      </c>
      <c r="CP38" s="3">
        <f>ROUND(822.0,2)</f>
        <v/>
      </c>
      <c r="CQ38" s="3">
        <f>ROUND(19.0,2)</f>
        <v/>
      </c>
      <c r="CR38" s="3">
        <f>ROUND(0.0,2)</f>
        <v/>
      </c>
      <c r="CS38" s="3">
        <f>ROUND(0.0,2)</f>
        <v/>
      </c>
      <c r="CT38" s="3">
        <f>ROUND(0.0,2)</f>
        <v/>
      </c>
      <c r="CU38" s="3">
        <f>ROUND(0.0,2)</f>
        <v/>
      </c>
      <c r="CV38" s="3">
        <f>ROUND(0.0,2)</f>
        <v/>
      </c>
      <c r="CW38" s="4">
        <f>IFERROR((CQ38/CP38),0)</f>
        <v/>
      </c>
      <c r="CX38" s="4">
        <f>IFERROR(((0+CO11+CO12+CO13+CO14+CO15+CO16+CO17+CO19+CO20+CO21+CO22+CO23+CO24+CO25+CO27+CO28+CO29+CO30+CO31+CO32+CO33+CO35+CO36+CO37+CO38)/T2),0)</f>
        <v/>
      </c>
      <c r="CY38" s="5">
        <f>IFERROR(ROUND(CO38/CQ38,2),0)</f>
        <v/>
      </c>
      <c r="CZ38" s="5">
        <f>IFERROR(ROUND(CO38/CR38,2),0)</f>
        <v/>
      </c>
      <c r="DA38" s="2" t="inlineStr">
        <is>
          <t>2023-10-14</t>
        </is>
      </c>
      <c r="DB38" s="5">
        <f>ROUND(2.07,2)</f>
        <v/>
      </c>
      <c r="DC38" s="3">
        <f>ROUND(4667.0,2)</f>
        <v/>
      </c>
      <c r="DD38" s="3">
        <f>ROUND(207.0,2)</f>
        <v/>
      </c>
      <c r="DE38" s="3">
        <f>ROUND(0.0,2)</f>
        <v/>
      </c>
      <c r="DF38" s="3">
        <f>ROUND(0.0,2)</f>
        <v/>
      </c>
      <c r="DG38" s="3">
        <f>ROUND(0.0,2)</f>
        <v/>
      </c>
      <c r="DH38" s="3">
        <f>ROUND(0.0,2)</f>
        <v/>
      </c>
      <c r="DI38" s="3">
        <f>ROUND(0.0,2)</f>
        <v/>
      </c>
      <c r="DJ38" s="4">
        <f>IFERROR((DD38/DC38),0)</f>
        <v/>
      </c>
      <c r="DK38" s="4">
        <f>IFERROR(((0+DB11+DB12+DB13+DB14+DB15+DB16+DB17+DB19+DB20+DB21+DB22+DB23+DB24+DB25+DB27+DB28+DB29+DB30+DB31+DB32+DB33+DB35+DB36+DB37+DB38)/T2),0)</f>
        <v/>
      </c>
      <c r="DL38" s="5">
        <f>IFERROR(ROUND(DB38/DD38,2),0)</f>
        <v/>
      </c>
      <c r="DM38" s="5">
        <f>IFERROR(ROUND(DB38/DE38,2),0)</f>
        <v/>
      </c>
      <c r="DN38" s="2" t="inlineStr">
        <is>
          <t>2023-10-14</t>
        </is>
      </c>
      <c r="DO38" s="5">
        <f>ROUND(0.02,2)</f>
        <v/>
      </c>
      <c r="DP38" s="3">
        <f>ROUND(17.0,2)</f>
        <v/>
      </c>
      <c r="DQ38" s="3">
        <f>ROUND(2.0,2)</f>
        <v/>
      </c>
      <c r="DR38" s="3">
        <f>ROUND(0.0,2)</f>
        <v/>
      </c>
      <c r="DS38" s="3">
        <f>ROUND(0.0,2)</f>
        <v/>
      </c>
      <c r="DT38" s="3">
        <f>ROUND(0.0,2)</f>
        <v/>
      </c>
      <c r="DU38" s="3">
        <f>ROUND(0.0,2)</f>
        <v/>
      </c>
      <c r="DV38" s="3">
        <f>ROUND(0.0,2)</f>
        <v/>
      </c>
      <c r="DW38" s="4">
        <f>IFERROR((DQ38/DP38),0)</f>
        <v/>
      </c>
      <c r="DX38" s="4">
        <f>IFERROR(((0+DO11+DO12+DO13+DO14+DO15+DO16+DO17+DO19+DO20+DO21+DO22+DO23+DO24+DO25+DO27+DO28+DO29+DO30+DO31+DO32+DO33+DO35+DO36+DO37+DO38)/T2),0)</f>
        <v/>
      </c>
      <c r="DY38" s="5">
        <f>IFERROR(ROUND(DO38/DQ38,2),0)</f>
        <v/>
      </c>
      <c r="DZ38" s="5">
        <f>IFERROR(ROUND(DO38/DR38,2),0)</f>
        <v/>
      </c>
      <c r="EA38" s="2" t="inlineStr">
        <is>
          <t>2023-10-14</t>
        </is>
      </c>
      <c r="EB38" s="5">
        <f>ROUND(3.02,2)</f>
        <v/>
      </c>
      <c r="EC38" s="3">
        <f>ROUND(11912.0,2)</f>
        <v/>
      </c>
      <c r="ED38" s="3">
        <f>ROUND(302.0,2)</f>
        <v/>
      </c>
      <c r="EE38" s="3">
        <f>ROUND(0.0,2)</f>
        <v/>
      </c>
      <c r="EF38" s="3">
        <f>ROUND(0.0,2)</f>
        <v/>
      </c>
      <c r="EG38" s="3">
        <f>ROUND(0.0,2)</f>
        <v/>
      </c>
      <c r="EH38" s="3">
        <f>ROUND(0.0,2)</f>
        <v/>
      </c>
      <c r="EI38" s="3">
        <f>ROUND(0.0,2)</f>
        <v/>
      </c>
      <c r="EJ38" s="4">
        <f>IFERROR((ED38/EC38),0)</f>
        <v/>
      </c>
      <c r="EK38" s="4">
        <f>IFERROR(((0+EB11+EB12+EB13+EB14+EB15+EB16+EB17+EB19+EB20+EB21+EB22+EB23+EB24+EB25+EB27+EB28+EB29+EB30+EB31+EB32+EB33+EB35+EB36+EB37+EB38)/T2),0)</f>
        <v/>
      </c>
      <c r="EL38" s="5">
        <f>IFERROR(ROUND(EB38/ED38,2),0)</f>
        <v/>
      </c>
      <c r="EM38" s="5">
        <f>IFERROR(ROUND(EB38/EE38,2),0)</f>
        <v/>
      </c>
      <c r="EN38" s="2" t="inlineStr">
        <is>
          <t>2023-10-14</t>
        </is>
      </c>
      <c r="EO38" s="5">
        <f>ROUND(0.02,2)</f>
        <v/>
      </c>
      <c r="EP38" s="3">
        <f>ROUND(20.0,2)</f>
        <v/>
      </c>
      <c r="EQ38" s="3">
        <f>ROUND(2.0,2)</f>
        <v/>
      </c>
      <c r="ER38" s="3">
        <f>ROUND(0.0,2)</f>
        <v/>
      </c>
      <c r="ES38" s="3">
        <f>ROUND(0.0,2)</f>
        <v/>
      </c>
      <c r="ET38" s="3">
        <f>ROUND(0.0,2)</f>
        <v/>
      </c>
      <c r="EU38" s="3">
        <f>ROUND(0.0,2)</f>
        <v/>
      </c>
      <c r="EV38" s="3">
        <f>ROUND(0.0,2)</f>
        <v/>
      </c>
      <c r="EW38" s="4">
        <f>IFERROR((EQ38/EP38),0)</f>
        <v/>
      </c>
      <c r="EX38" s="4">
        <f>IFERROR(((0+EO11+EO12+EO13+EO14+EO15+EO16+EO17+EO19+EO20+EO21+EO22+EO23+EO24+EO25+EO27+EO28+EO29+EO30+EO31+EO32+EO33+EO35+EO36+EO37+EO38)/T2),0)</f>
        <v/>
      </c>
      <c r="EY38" s="5">
        <f>IFERROR(ROUND(EO38/EQ38,2),0)</f>
        <v/>
      </c>
      <c r="EZ38" s="5">
        <f>IFERROR(ROUND(EO38/ER38,2),0)</f>
        <v/>
      </c>
      <c r="FA38" s="2" t="inlineStr">
        <is>
          <t>2023-10-14</t>
        </is>
      </c>
      <c r="FB38" s="5">
        <f>ROUND(0.52,2)</f>
        <v/>
      </c>
      <c r="FC38" s="3">
        <f>ROUND(2048.0,2)</f>
        <v/>
      </c>
      <c r="FD38" s="3">
        <f>ROUND(52.0,2)</f>
        <v/>
      </c>
      <c r="FE38" s="3">
        <f>ROUND(0.0,2)</f>
        <v/>
      </c>
      <c r="FF38" s="3">
        <f>ROUND(0.0,2)</f>
        <v/>
      </c>
      <c r="FG38" s="3">
        <f>ROUND(0.0,2)</f>
        <v/>
      </c>
      <c r="FH38" s="3">
        <f>ROUND(0.0,2)</f>
        <v/>
      </c>
      <c r="FI38" s="3">
        <f>ROUND(0.0,2)</f>
        <v/>
      </c>
      <c r="FJ38" s="4">
        <f>IFERROR((FD38/FC38),0)</f>
        <v/>
      </c>
      <c r="FK38" s="4">
        <f>IFERROR(((0+FB11+FB12+FB13+FB14+FB15+FB16+FB17+FB19+FB20+FB21+FB22+FB23+FB24+FB25+FB27+FB28+FB29+FB30+FB31+FB32+FB33+FB35+FB36+FB37+FB38)/T2),0)</f>
        <v/>
      </c>
      <c r="FL38" s="5">
        <f>IFERROR(ROUND(FB38/FD38,2),0)</f>
        <v/>
      </c>
      <c r="FM38" s="5">
        <f>IFERROR(ROUND(FB38/FE38,2),0)</f>
        <v/>
      </c>
      <c r="FN38" s="2" t="inlineStr">
        <is>
          <t>2023-10-14</t>
        </is>
      </c>
      <c r="FO38" s="5">
        <f>ROUND(0.32999999999999996,2)</f>
        <v/>
      </c>
      <c r="FP38" s="3">
        <f>ROUND(824.0,2)</f>
        <v/>
      </c>
      <c r="FQ38" s="3">
        <f>ROUND(33.0,2)</f>
        <v/>
      </c>
      <c r="FR38" s="3">
        <f>ROUND(0.0,2)</f>
        <v/>
      </c>
      <c r="FS38" s="3">
        <f>ROUND(0.0,2)</f>
        <v/>
      </c>
      <c r="FT38" s="3">
        <f>ROUND(0.0,2)</f>
        <v/>
      </c>
      <c r="FU38" s="3">
        <f>ROUND(0.0,2)</f>
        <v/>
      </c>
      <c r="FV38" s="3">
        <f>ROUND(0.0,2)</f>
        <v/>
      </c>
      <c r="FW38" s="4">
        <f>IFERROR((FQ38/FP38),0)</f>
        <v/>
      </c>
      <c r="FX38" s="4">
        <f>IFERROR(((0+FO11+FO12+FO13+FO14+FO15+FO16+FO17+FO19+FO20+FO21+FO22+FO23+FO24+FO25+FO27+FO28+FO29+FO30+FO31+FO32+FO33+FO35+FO36+FO37+FO38)/T2),0)</f>
        <v/>
      </c>
      <c r="FY38" s="5">
        <f>IFERROR(ROUND(FO38/FQ38,2),0)</f>
        <v/>
      </c>
      <c r="FZ38" s="5">
        <f>IFERROR(ROUND(FO38/FR38,2),0)</f>
        <v/>
      </c>
      <c r="GA38" s="2" t="inlineStr">
        <is>
          <t>2023-10-14</t>
        </is>
      </c>
      <c r="GB38" s="5">
        <f>ROUND(0.02,2)</f>
        <v/>
      </c>
      <c r="GC38" s="3">
        <f>ROUND(43.0,2)</f>
        <v/>
      </c>
      <c r="GD38" s="3">
        <f>ROUND(2.0,2)</f>
        <v/>
      </c>
      <c r="GE38" s="3">
        <f>ROUND(0.0,2)</f>
        <v/>
      </c>
      <c r="GF38" s="3">
        <f>ROUND(0.0,2)</f>
        <v/>
      </c>
      <c r="GG38" s="3">
        <f>ROUND(0.0,2)</f>
        <v/>
      </c>
      <c r="GH38" s="3">
        <f>ROUND(0.0,2)</f>
        <v/>
      </c>
      <c r="GI38" s="3">
        <f>ROUND(0.0,2)</f>
        <v/>
      </c>
      <c r="GJ38" s="4">
        <f>IFERROR((GD38/GC38),0)</f>
        <v/>
      </c>
      <c r="GK38" s="4">
        <f>IFERROR(((0+GB11+GB12+GB13+GB14+GB15+GB16+GB17+GB19+GB20+GB21+GB22+GB23+GB24+GB25+GB27+GB28+GB29+GB30+GB31+GB32+GB33+GB35+GB36+GB37+GB38)/T2),0)</f>
        <v/>
      </c>
      <c r="GL38" s="5">
        <f>IFERROR(ROUND(GB38/GD38,2),0)</f>
        <v/>
      </c>
      <c r="GM38" s="5">
        <f>IFERROR(ROUND(GB38/GE38,2),0)</f>
        <v/>
      </c>
      <c r="GN38" s="2" t="inlineStr">
        <is>
          <t>2023-10-14</t>
        </is>
      </c>
      <c r="GO38" s="5">
        <f>ROUND(0.04,2)</f>
        <v/>
      </c>
      <c r="GP38" s="3">
        <f>ROUND(196.0,2)</f>
        <v/>
      </c>
      <c r="GQ38" s="3">
        <f>ROUND(4.0,2)</f>
        <v/>
      </c>
      <c r="GR38" s="3">
        <f>ROUND(0.0,2)</f>
        <v/>
      </c>
      <c r="GS38" s="3">
        <f>ROUND(0.0,2)</f>
        <v/>
      </c>
      <c r="GT38" s="3">
        <f>ROUND(0.0,2)</f>
        <v/>
      </c>
      <c r="GU38" s="3">
        <f>ROUND(0.0,2)</f>
        <v/>
      </c>
      <c r="GV38" s="3">
        <f>ROUND(0.0,2)</f>
        <v/>
      </c>
      <c r="GW38" s="4">
        <f>IFERROR((GQ38/GP38),0)</f>
        <v/>
      </c>
      <c r="GX38" s="4">
        <f>IFERROR(((0+GO11+GO12+GO13+GO14+GO15+GO16+GO17+GO19+GO20+GO21+GO22+GO23+GO24+GO25+GO27+GO28+GO29+GO30+GO31+GO32+GO33+GO35+GO36+GO37+GO38)/T2),0)</f>
        <v/>
      </c>
      <c r="GY38" s="5">
        <f>IFERROR(ROUND(GO38/GQ38,2),0)</f>
        <v/>
      </c>
      <c r="GZ38" s="5">
        <f>IFERROR(ROUND(GO38/GR38,2),0)</f>
        <v/>
      </c>
      <c r="HA38" s="2" t="inlineStr">
        <is>
          <t>2023-10-14</t>
        </is>
      </c>
      <c r="HB38" s="5">
        <f>ROUND(11.53,2)</f>
        <v/>
      </c>
      <c r="HC38" s="3">
        <f>ROUND(15404.0,2)</f>
        <v/>
      </c>
      <c r="HD38" s="3">
        <f>ROUND(1153.0,2)</f>
        <v/>
      </c>
      <c r="HE38" s="3">
        <f>ROUND(0.0,2)</f>
        <v/>
      </c>
      <c r="HF38" s="3">
        <f>ROUND(0.0,2)</f>
        <v/>
      </c>
      <c r="HG38" s="3">
        <f>ROUND(0.0,2)</f>
        <v/>
      </c>
      <c r="HH38" s="3">
        <f>ROUND(0.0,2)</f>
        <v/>
      </c>
      <c r="HI38" s="3">
        <f>ROUND(0.0,2)</f>
        <v/>
      </c>
      <c r="HJ38" s="4">
        <f>IFERROR((HD38/HC38),0)</f>
        <v/>
      </c>
      <c r="HK38" s="4">
        <f>IFERROR(((0+HB11+HB12+HB13+HB14+HB15+HB16+HB17+HB19+HB20+HB21+HB22+HB23+HB24+HB25+HB27+HB28+HB29+HB30+HB31+HB32+HB33+HB35+HB36+HB37+HB38)/T2),0)</f>
        <v/>
      </c>
      <c r="HL38" s="5">
        <f>IFERROR(ROUND(HB38/HD38,2),0)</f>
        <v/>
      </c>
      <c r="HM38" s="5">
        <f>IFERROR(ROUND(HB38/HE38,2),0)</f>
        <v/>
      </c>
      <c r="HN38" s="2" t="inlineStr">
        <is>
          <t>2023-10-14</t>
        </is>
      </c>
      <c r="HO38" s="5">
        <f>ROUND(0.02,2)</f>
        <v/>
      </c>
      <c r="HP38" s="3">
        <f>ROUND(35.0,2)</f>
        <v/>
      </c>
      <c r="HQ38" s="3">
        <f>ROUND(2.0,2)</f>
        <v/>
      </c>
      <c r="HR38" s="3">
        <f>ROUND(0.0,2)</f>
        <v/>
      </c>
      <c r="HS38" s="3">
        <f>ROUND(0.0,2)</f>
        <v/>
      </c>
      <c r="HT38" s="3">
        <f>ROUND(0.0,2)</f>
        <v/>
      </c>
      <c r="HU38" s="3">
        <f>ROUND(0.0,2)</f>
        <v/>
      </c>
      <c r="HV38" s="3">
        <f>ROUND(0.0,2)</f>
        <v/>
      </c>
      <c r="HW38" s="4">
        <f>IFERROR((HQ38/HP38),0)</f>
        <v/>
      </c>
      <c r="HX38" s="4">
        <f>IFERROR(((0+HO11+HO12+HO13+HO14+HO15+HO16+HO17+HO19+HO20+HO21+HO22+HO23+HO24+HO25+HO27+HO28+HO29+HO30+HO31+HO32+HO33+HO35+HO36+HO37+HO38)/T2),0)</f>
        <v/>
      </c>
      <c r="HY38" s="5">
        <f>IFERROR(ROUND(HO38/HQ38,2),0)</f>
        <v/>
      </c>
      <c r="HZ38" s="5">
        <f>IFERROR(ROUND(HO38/HR38,2),0)</f>
        <v/>
      </c>
      <c r="IA38" s="2" t="inlineStr">
        <is>
          <t>2023-10-14</t>
        </is>
      </c>
      <c r="IB38" s="5">
        <f>ROUND(0.09,2)</f>
        <v/>
      </c>
      <c r="IC38" s="3">
        <f>ROUND(63.0,2)</f>
        <v/>
      </c>
      <c r="ID38" s="3">
        <f>ROUND(9.0,2)</f>
        <v/>
      </c>
      <c r="IE38" s="3">
        <f>ROUND(0.0,2)</f>
        <v/>
      </c>
      <c r="IF38" s="3">
        <f>ROUND(0.0,2)</f>
        <v/>
      </c>
      <c r="IG38" s="3">
        <f>ROUND(0.0,2)</f>
        <v/>
      </c>
      <c r="IH38" s="3">
        <f>ROUND(0.0,2)</f>
        <v/>
      </c>
      <c r="II38" s="3">
        <f>ROUND(0.0,2)</f>
        <v/>
      </c>
      <c r="IJ38" s="4">
        <f>IFERROR((ID38/IC38),0)</f>
        <v/>
      </c>
      <c r="IK38" s="4">
        <f>IFERROR(((0+IB11+IB12+IB13+IB14+IB15+IB16+IB17+IB19+IB20+IB21+IB22+IB23+IB24+IB25+IB27+IB28+IB29+IB30+IB31+IB32+IB33+IB35+IB36+IB37+IB38)/T2),0)</f>
        <v/>
      </c>
      <c r="IL38" s="5">
        <f>IFERROR(ROUND(IB38/ID38,2),0)</f>
        <v/>
      </c>
      <c r="IM38" s="5">
        <f>IFERROR(ROUND(IB38/IE38,2),0)</f>
        <v/>
      </c>
      <c r="IN38" s="2" t="inlineStr">
        <is>
          <t>2023-10-14</t>
        </is>
      </c>
      <c r="IO38" s="5">
        <f>ROUND(0.69,2)</f>
        <v/>
      </c>
      <c r="IP38" s="3">
        <f>ROUND(1994.0,2)</f>
        <v/>
      </c>
      <c r="IQ38" s="3">
        <f>ROUND(69.0,2)</f>
        <v/>
      </c>
      <c r="IR38" s="3">
        <f>ROUND(0.0,2)</f>
        <v/>
      </c>
      <c r="IS38" s="3">
        <f>ROUND(0.0,2)</f>
        <v/>
      </c>
      <c r="IT38" s="3">
        <f>ROUND(0.0,2)</f>
        <v/>
      </c>
      <c r="IU38" s="3">
        <f>ROUND(0.0,2)</f>
        <v/>
      </c>
      <c r="IV38" s="3">
        <f>ROUND(0.0,2)</f>
        <v/>
      </c>
      <c r="IW38" s="4">
        <f>IFERROR((IQ38/IP38),0)</f>
        <v/>
      </c>
      <c r="IX38" s="4">
        <f>IFERROR(((0+IO11+IO12+IO13+IO14+IO15+IO16+IO17+IO19+IO20+IO21+IO22+IO23+IO24+IO25+IO27+IO28+IO29+IO30+IO31+IO32+IO33+IO35+IO36+IO37+IO38)/T2),0)</f>
        <v/>
      </c>
      <c r="IY38" s="5">
        <f>IFERROR(ROUND(IO38/IQ38,2),0)</f>
        <v/>
      </c>
      <c r="IZ38" s="5">
        <f>IFERROR(ROUND(IO38/IR38,2),0)</f>
        <v/>
      </c>
      <c r="JA38" s="2" t="inlineStr">
        <is>
          <t>2023-10-14</t>
        </is>
      </c>
      <c r="JB38" s="5">
        <f>ROUND(0.05,2)</f>
        <v/>
      </c>
      <c r="JC38" s="3">
        <f>ROUND(88.0,2)</f>
        <v/>
      </c>
      <c r="JD38" s="3">
        <f>ROUND(5.0,2)</f>
        <v/>
      </c>
      <c r="JE38" s="3">
        <f>ROUND(0.0,2)</f>
        <v/>
      </c>
      <c r="JF38" s="3">
        <f>ROUND(0.0,2)</f>
        <v/>
      </c>
      <c r="JG38" s="3">
        <f>ROUND(0.0,2)</f>
        <v/>
      </c>
      <c r="JH38" s="3">
        <f>ROUND(0.0,2)</f>
        <v/>
      </c>
      <c r="JI38" s="3">
        <f>ROUND(0.0,2)</f>
        <v/>
      </c>
      <c r="JJ38" s="4">
        <f>IFERROR((JD38/JC38),0)</f>
        <v/>
      </c>
      <c r="JK38" s="4">
        <f>IFERROR(((0+JB11+JB12+JB13+JB14+JB15+JB16+JB17+JB19+JB20+JB21+JB22+JB23+JB24+JB25+JB27+JB28+JB29+JB30+JB31+JB32+JB33+JB35+JB36+JB37+JB38)/T2),0)</f>
        <v/>
      </c>
      <c r="JL38" s="5">
        <f>IFERROR(ROUND(JB38/JD38,2),0)</f>
        <v/>
      </c>
      <c r="JM38" s="5">
        <f>IFERROR(ROUND(JB38/JE38,2),0)</f>
        <v/>
      </c>
      <c r="JN38" s="2" t="inlineStr">
        <is>
          <t>2023-10-14</t>
        </is>
      </c>
      <c r="JO38" s="5">
        <f>ROUND(0.01,2)</f>
        <v/>
      </c>
      <c r="JP38" s="3">
        <f>ROUND(51.0,2)</f>
        <v/>
      </c>
      <c r="JQ38" s="3">
        <f>ROUND(1.0,2)</f>
        <v/>
      </c>
      <c r="JR38" s="3">
        <f>ROUND(0.0,2)</f>
        <v/>
      </c>
      <c r="JS38" s="3">
        <f>ROUND(0.0,2)</f>
        <v/>
      </c>
      <c r="JT38" s="3">
        <f>ROUND(0.0,2)</f>
        <v/>
      </c>
      <c r="JU38" s="3">
        <f>ROUND(0.0,2)</f>
        <v/>
      </c>
      <c r="JV38" s="3">
        <f>ROUND(0.0,2)</f>
        <v/>
      </c>
      <c r="JW38" s="4">
        <f>IFERROR((JQ38/JP38),0)</f>
        <v/>
      </c>
      <c r="JX38" s="4">
        <f>IFERROR(((0+JO11+JO12+JO13+JO14+JO15+JO16+JO17+JO19+JO20+JO21+JO22+JO23+JO24+JO25+JO27+JO28+JO29+JO30+JO31+JO32+JO33+JO35+JO36+JO37+JO38)/T2),0)</f>
        <v/>
      </c>
      <c r="JY38" s="5">
        <f>IFERROR(ROUND(JO38/JQ38,2),0)</f>
        <v/>
      </c>
      <c r="JZ38" s="5">
        <f>IFERROR(ROUND(JO38/JR38,2),0)</f>
        <v/>
      </c>
      <c r="KA38" s="2" t="inlineStr">
        <is>
          <t>2023-10-14</t>
        </is>
      </c>
      <c r="KB38" s="5">
        <f>ROUND(0.03,2)</f>
        <v/>
      </c>
      <c r="KC38" s="3">
        <f>ROUND(70.0,2)</f>
        <v/>
      </c>
      <c r="KD38" s="3">
        <f>ROUND(3.0,2)</f>
        <v/>
      </c>
      <c r="KE38" s="3">
        <f>ROUND(0.0,2)</f>
        <v/>
      </c>
      <c r="KF38" s="3">
        <f>ROUND(0.0,2)</f>
        <v/>
      </c>
      <c r="KG38" s="3">
        <f>ROUND(0.0,2)</f>
        <v/>
      </c>
      <c r="KH38" s="3">
        <f>ROUND(0.0,2)</f>
        <v/>
      </c>
      <c r="KI38" s="3">
        <f>ROUND(0.0,2)</f>
        <v/>
      </c>
      <c r="KJ38" s="4">
        <f>IFERROR((KD38/KC38),0)</f>
        <v/>
      </c>
      <c r="KK38" s="4">
        <f>IFERROR(((0+KB11+KB12+KB13+KB14+KB15+KB16+KB17+KB19+KB20+KB21+KB22+KB23+KB24+KB25+KB27+KB28+KB29+KB30+KB31+KB32+KB33+KB35+KB36+KB37+KB38)/T2),0)</f>
        <v/>
      </c>
      <c r="KL38" s="5">
        <f>IFERROR(ROUND(KB38/KD38,2),0)</f>
        <v/>
      </c>
      <c r="KM38" s="5">
        <f>IFERROR(ROUND(KB38/KE38,2),0)</f>
        <v/>
      </c>
      <c r="KN38" s="2" t="inlineStr">
        <is>
          <t>2023-10-14</t>
        </is>
      </c>
      <c r="KO38" s="5">
        <f>ROUND(2.14,2)</f>
        <v/>
      </c>
      <c r="KP38" s="3">
        <f>ROUND(8237.0,2)</f>
        <v/>
      </c>
      <c r="KQ38" s="3">
        <f>ROUND(214.0,2)</f>
        <v/>
      </c>
      <c r="KR38" s="3">
        <f>ROUND(0.0,2)</f>
        <v/>
      </c>
      <c r="KS38" s="3">
        <f>ROUND(0.0,2)</f>
        <v/>
      </c>
      <c r="KT38" s="3">
        <f>ROUND(0.0,2)</f>
        <v/>
      </c>
      <c r="KU38" s="3">
        <f>ROUND(0.0,2)</f>
        <v/>
      </c>
      <c r="KV38" s="3">
        <f>ROUND(0.0,2)</f>
        <v/>
      </c>
      <c r="KW38" s="4">
        <f>IFERROR((KQ38/KP38),0)</f>
        <v/>
      </c>
      <c r="KX38" s="4">
        <f>IFERROR(((0+KO11+KO12+KO13+KO14+KO15+KO16+KO17+KO19+KO20+KO21+KO22+KO23+KO24+KO25+KO27+KO28+KO29+KO30+KO31+KO32+KO33+KO35+KO36+KO37+KO38)/T2),0)</f>
        <v/>
      </c>
      <c r="KY38" s="5">
        <f>IFERROR(ROUND(KO38/KQ38,2),0)</f>
        <v/>
      </c>
      <c r="KZ38" s="5">
        <f>IFERROR(ROUND(KO38/KR38,2),0)</f>
        <v/>
      </c>
      <c r="LA38" s="2" t="inlineStr">
        <is>
          <t>2023-10-14</t>
        </is>
      </c>
      <c r="LB38" s="5">
        <f>ROUND(3.5500000000000003,2)</f>
        <v/>
      </c>
      <c r="LC38" s="3">
        <f>ROUND(6091.0,2)</f>
        <v/>
      </c>
      <c r="LD38" s="3">
        <f>ROUND(355.0,2)</f>
        <v/>
      </c>
      <c r="LE38" s="3">
        <f>ROUND(0.0,2)</f>
        <v/>
      </c>
      <c r="LF38" s="3">
        <f>ROUND(0.0,2)</f>
        <v/>
      </c>
      <c r="LG38" s="3">
        <f>ROUND(0.0,2)</f>
        <v/>
      </c>
      <c r="LH38" s="3">
        <f>ROUND(0.0,2)</f>
        <v/>
      </c>
      <c r="LI38" s="3">
        <f>ROUND(0.0,2)</f>
        <v/>
      </c>
      <c r="LJ38" s="4">
        <f>IFERROR((LD38/LC38),0)</f>
        <v/>
      </c>
      <c r="LK38" s="4">
        <f>IFERROR(((0+LB11+LB12+LB13+LB14+LB15+LB16+LB17+LB19+LB20+LB21+LB22+LB23+LB24+LB25+LB27+LB28+LB29+LB30+LB31+LB32+LB33+LB35+LB36+LB37+LB38)/T2),0)</f>
        <v/>
      </c>
      <c r="LL38" s="5">
        <f>IFERROR(ROUND(LB38/LD38,2),0)</f>
        <v/>
      </c>
      <c r="LM38" s="5">
        <f>IFERROR(ROUND(LB38/LE38,2),0)</f>
        <v/>
      </c>
      <c r="LN38" s="2" t="inlineStr">
        <is>
          <t>2023-10-14</t>
        </is>
      </c>
      <c r="LO38" s="5">
        <f>ROUND(0.43,2)</f>
        <v/>
      </c>
      <c r="LP38" s="3">
        <f>ROUND(579.0,2)</f>
        <v/>
      </c>
      <c r="LQ38" s="3">
        <f>ROUND(43.0,2)</f>
        <v/>
      </c>
      <c r="LR38" s="3">
        <f>ROUND(0.0,2)</f>
        <v/>
      </c>
      <c r="LS38" s="3">
        <f>ROUND(0.0,2)</f>
        <v/>
      </c>
      <c r="LT38" s="3">
        <f>ROUND(0.0,2)</f>
        <v/>
      </c>
      <c r="LU38" s="3">
        <f>ROUND(0.0,2)</f>
        <v/>
      </c>
      <c r="LV38" s="3">
        <f>ROUND(0.0,2)</f>
        <v/>
      </c>
      <c r="LW38" s="4">
        <f>IFERROR((LQ38/LP38),0)</f>
        <v/>
      </c>
      <c r="LX38" s="4">
        <f>IFERROR(((0+LO11+LO12+LO13+LO14+LO15+LO16+LO17+LO19+LO20+LO21+LO22+LO23+LO24+LO25+LO27+LO28+LO29+LO30+LO31+LO32+LO33+LO35+LO36+LO37+LO38)/T2),0)</f>
        <v/>
      </c>
      <c r="LY38" s="5">
        <f>IFERROR(ROUND(LO38/LQ38,2),0)</f>
        <v/>
      </c>
      <c r="LZ38" s="5">
        <f>IFERROR(ROUND(LO38/LR38,2),0)</f>
        <v/>
      </c>
      <c r="MA38" s="2" t="inlineStr">
        <is>
          <t>2023-10-14</t>
        </is>
      </c>
      <c r="MB38" s="5">
        <f>ROUND(0.58,2)</f>
        <v/>
      </c>
      <c r="MC38" s="3">
        <f>ROUND(1463.0,2)</f>
        <v/>
      </c>
      <c r="MD38" s="3">
        <f>ROUND(58.0,2)</f>
        <v/>
      </c>
      <c r="ME38" s="3">
        <f>ROUND(0.0,2)</f>
        <v/>
      </c>
      <c r="MF38" s="3">
        <f>ROUND(0.0,2)</f>
        <v/>
      </c>
      <c r="MG38" s="3">
        <f>ROUND(0.0,2)</f>
        <v/>
      </c>
      <c r="MH38" s="3">
        <f>ROUND(0.0,2)</f>
        <v/>
      </c>
      <c r="MI38" s="3">
        <f>ROUND(0.0,2)</f>
        <v/>
      </c>
      <c r="MJ38" s="4">
        <f>IFERROR((MD38/MC38),0)</f>
        <v/>
      </c>
      <c r="MK38" s="4">
        <f>IFERROR(((0+MB11+MB12+MB13+MB14+MB15+MB16+MB17+MB19+MB20+MB21+MB22+MB23+MB24+MB25+MB27+MB28+MB29+MB30+MB31+MB32+MB33+MB35+MB36+MB37+MB38)/T2),0)</f>
        <v/>
      </c>
      <c r="ML38" s="5">
        <f>IFERROR(ROUND(MB38/MD38,2),0)</f>
        <v/>
      </c>
      <c r="MM38" s="5">
        <f>IFERROR(ROUND(MB38/ME38,2),0)</f>
        <v/>
      </c>
      <c r="MN38" s="2" t="inlineStr">
        <is>
          <t>2023-10-14</t>
        </is>
      </c>
      <c r="MO38" s="5">
        <f>ROUND(1.42,2)</f>
        <v/>
      </c>
      <c r="MP38" s="3">
        <f>ROUND(2776.0,2)</f>
        <v/>
      </c>
      <c r="MQ38" s="3">
        <f>ROUND(142.0,2)</f>
        <v/>
      </c>
      <c r="MR38" s="3">
        <f>ROUND(0.0,2)</f>
        <v/>
      </c>
      <c r="MS38" s="3">
        <f>ROUND(0.0,2)</f>
        <v/>
      </c>
      <c r="MT38" s="3">
        <f>ROUND(0.0,2)</f>
        <v/>
      </c>
      <c r="MU38" s="3">
        <f>ROUND(0.0,2)</f>
        <v/>
      </c>
      <c r="MV38" s="3">
        <f>ROUND(0.0,2)</f>
        <v/>
      </c>
      <c r="MW38" s="4">
        <f>IFERROR((MQ38/MP38),0)</f>
        <v/>
      </c>
      <c r="MX38" s="4">
        <f>IFERROR(((0+MO11+MO12+MO13+MO14+MO15+MO16+MO17+MO19+MO20+MO21+MO22+MO23+MO24+MO25+MO27+MO28+MO29+MO30+MO31+MO32+MO33+MO35+MO36+MO37+MO38)/T2),0)</f>
        <v/>
      </c>
      <c r="MY38" s="5">
        <f>IFERROR(ROUND(MO38/MQ38,2),0)</f>
        <v/>
      </c>
      <c r="MZ38" s="5">
        <f>IFERROR(ROUND(MO38/MR38,2),0)</f>
        <v/>
      </c>
      <c r="NA38" s="2" t="inlineStr">
        <is>
          <t>2023-10-14</t>
        </is>
      </c>
      <c r="NB38" s="5">
        <f>ROUND(1.37,2)</f>
        <v/>
      </c>
      <c r="NC38" s="3">
        <f>ROUND(6516.0,2)</f>
        <v/>
      </c>
      <c r="ND38" s="3">
        <f>ROUND(137.0,2)</f>
        <v/>
      </c>
      <c r="NE38" s="3">
        <f>ROUND(0.0,2)</f>
        <v/>
      </c>
      <c r="NF38" s="3">
        <f>ROUND(0.0,2)</f>
        <v/>
      </c>
      <c r="NG38" s="3">
        <f>ROUND(0.0,2)</f>
        <v/>
      </c>
      <c r="NH38" s="3">
        <f>ROUND(0.0,2)</f>
        <v/>
      </c>
      <c r="NI38" s="3">
        <f>ROUND(0.0,2)</f>
        <v/>
      </c>
      <c r="NJ38" s="4">
        <f>IFERROR((ND38/NC38),0)</f>
        <v/>
      </c>
      <c r="NK38" s="4">
        <f>IFERROR(((0+NB11+NB12+NB13+NB14+NB15+NB16+NB17+NB19+NB20+NB21+NB22+NB23+NB24+NB25+NB27+NB28+NB29+NB30+NB31+NB32+NB33+NB35+NB36+NB37+NB38)/T2),0)</f>
        <v/>
      </c>
      <c r="NL38" s="5">
        <f>IFERROR(ROUND(NB38/ND38,2),0)</f>
        <v/>
      </c>
      <c r="NM38" s="5">
        <f>IFERROR(ROUND(NB38/NE38,2),0)</f>
        <v/>
      </c>
      <c r="NN38" s="2" t="inlineStr">
        <is>
          <t>2023-10-14</t>
        </is>
      </c>
      <c r="NO38" s="5">
        <f>ROUND(0.01,2)</f>
        <v/>
      </c>
      <c r="NP38" s="3">
        <f>ROUND(84.0,2)</f>
        <v/>
      </c>
      <c r="NQ38" s="3">
        <f>ROUND(1.0,2)</f>
        <v/>
      </c>
      <c r="NR38" s="3">
        <f>ROUND(0.0,2)</f>
        <v/>
      </c>
      <c r="NS38" s="3">
        <f>ROUND(0.0,2)</f>
        <v/>
      </c>
      <c r="NT38" s="3">
        <f>ROUND(0.0,2)</f>
        <v/>
      </c>
      <c r="NU38" s="3">
        <f>ROUND(0.0,2)</f>
        <v/>
      </c>
      <c r="NV38" s="3">
        <f>ROUND(0.0,2)</f>
        <v/>
      </c>
      <c r="NW38" s="4">
        <f>IFERROR((NQ38/NP38),0)</f>
        <v/>
      </c>
      <c r="NX38" s="4">
        <f>IFERROR(((0+NO11+NO12+NO13+NO14+NO15+NO16+NO17+NO19+NO20+NO21+NO22+NO23+NO24+NO25+NO27+NO28+NO29+NO30+NO31+NO32+NO33+NO35+NO36+NO37+NO38)/T2),0)</f>
        <v/>
      </c>
      <c r="NY38" s="5">
        <f>IFERROR(ROUND(NO38/NQ38,2),0)</f>
        <v/>
      </c>
      <c r="NZ38" s="5">
        <f>IFERROR(ROUND(NO38/NR38,2),0)</f>
        <v/>
      </c>
      <c r="OA38" s="2" t="inlineStr">
        <is>
          <t>2023-10-14</t>
        </is>
      </c>
      <c r="OB38" s="5">
        <f>ROUND(0.03,2)</f>
        <v/>
      </c>
      <c r="OC38" s="3">
        <f>ROUND(22.0,2)</f>
        <v/>
      </c>
      <c r="OD38" s="3">
        <f>ROUND(3.0,2)</f>
        <v/>
      </c>
      <c r="OE38" s="3">
        <f>ROUND(0.0,2)</f>
        <v/>
      </c>
      <c r="OF38" s="3">
        <f>ROUND(0.0,2)</f>
        <v/>
      </c>
      <c r="OG38" s="3">
        <f>ROUND(0.0,2)</f>
        <v/>
      </c>
      <c r="OH38" s="3">
        <f>ROUND(0.0,2)</f>
        <v/>
      </c>
      <c r="OI38" s="3">
        <f>ROUND(0.0,2)</f>
        <v/>
      </c>
      <c r="OJ38" s="4">
        <f>IFERROR((OD38/OC38),0)</f>
        <v/>
      </c>
      <c r="OK38" s="4">
        <f>IFERROR(((0+OB11+OB12+OB13+OB14+OB15+OB16+OB17+OB19+OB20+OB21+OB22+OB23+OB24+OB25+OB27+OB28+OB29+OB30+OB31+OB32+OB33+OB35+OB36+OB37+OB38)/T2),0)</f>
        <v/>
      </c>
      <c r="OL38" s="5">
        <f>IFERROR(ROUND(OB38/OD38,2),0)</f>
        <v/>
      </c>
      <c r="OM38" s="5">
        <f>IFERROR(ROUND(OB38/OE38,2),0)</f>
        <v/>
      </c>
      <c r="ON38" s="2" t="inlineStr">
        <is>
          <t>2023-10-14</t>
        </is>
      </c>
      <c r="OO38" s="5">
        <f>ROUND(0.07,2)</f>
        <v/>
      </c>
      <c r="OP38" s="3">
        <f>ROUND(94.0,2)</f>
        <v/>
      </c>
      <c r="OQ38" s="3">
        <f>ROUND(7.0,2)</f>
        <v/>
      </c>
      <c r="OR38" s="3">
        <f>ROUND(0.0,2)</f>
        <v/>
      </c>
      <c r="OS38" s="3">
        <f>ROUND(0.0,2)</f>
        <v/>
      </c>
      <c r="OT38" s="3">
        <f>ROUND(0.0,2)</f>
        <v/>
      </c>
      <c r="OU38" s="3">
        <f>ROUND(0.0,2)</f>
        <v/>
      </c>
      <c r="OV38" s="3">
        <f>ROUND(0.0,2)</f>
        <v/>
      </c>
      <c r="OW38" s="4">
        <f>IFERROR((OQ38/OP38),0)</f>
        <v/>
      </c>
      <c r="OX38" s="4">
        <f>IFERROR(((0+OO11+OO12+OO13+OO14+OO15+OO16+OO17+OO19+OO20+OO21+OO22+OO23+OO24+OO25+OO27+OO28+OO29+OO30+OO31+OO32+OO33+OO35+OO36+OO37+OO38)/T2),0)</f>
        <v/>
      </c>
      <c r="OY38" s="5">
        <f>IFERROR(ROUND(OO38/OQ38,2),0)</f>
        <v/>
      </c>
      <c r="OZ38" s="5">
        <f>IFERROR(ROUND(OO38/OR38,2),0)</f>
        <v/>
      </c>
      <c r="PA38" s="2" t="inlineStr">
        <is>
          <t>2023-10-14</t>
        </is>
      </c>
      <c r="PB38" s="5">
        <f>ROUND(0.03,2)</f>
        <v/>
      </c>
      <c r="PC38" s="3">
        <f>ROUND(60.0,2)</f>
        <v/>
      </c>
      <c r="PD38" s="3">
        <f>ROUND(3.0,2)</f>
        <v/>
      </c>
      <c r="PE38" s="3">
        <f>ROUND(0.0,2)</f>
        <v/>
      </c>
      <c r="PF38" s="3">
        <f>ROUND(0.0,2)</f>
        <v/>
      </c>
      <c r="PG38" s="3">
        <f>ROUND(0.0,2)</f>
        <v/>
      </c>
      <c r="PH38" s="3">
        <f>ROUND(0.0,2)</f>
        <v/>
      </c>
      <c r="PI38" s="3">
        <f>ROUND(0.0,2)</f>
        <v/>
      </c>
      <c r="PJ38" s="4">
        <f>IFERROR((PD38/PC38),0)</f>
        <v/>
      </c>
      <c r="PK38" s="4">
        <f>IFERROR(((0+PB11+PB12+PB13+PB14+PB15+PB16+PB17+PB19+PB20+PB21+PB22+PB23+PB24+PB25+PB27+PB28+PB29+PB30+PB31+PB32+PB33+PB35+PB36+PB37+PB38)/T2),0)</f>
        <v/>
      </c>
      <c r="PL38" s="5">
        <f>IFERROR(ROUND(PB38/PD38,2),0)</f>
        <v/>
      </c>
      <c r="PM38" s="5">
        <f>IFERROR(ROUND(PB38/PE38,2),0)</f>
        <v/>
      </c>
      <c r="PN38" s="2" t="inlineStr">
        <is>
          <t>2023-10-14</t>
        </is>
      </c>
      <c r="PO38" s="5">
        <f>ROUND(4.8,2)</f>
        <v/>
      </c>
      <c r="PP38" s="3">
        <f>ROUND(6407.0,2)</f>
        <v/>
      </c>
      <c r="PQ38" s="3">
        <f>ROUND(480.0,2)</f>
        <v/>
      </c>
      <c r="PR38" s="3">
        <f>ROUND(0.0,2)</f>
        <v/>
      </c>
      <c r="PS38" s="3">
        <f>ROUND(0.0,2)</f>
        <v/>
      </c>
      <c r="PT38" s="3">
        <f>ROUND(0.0,2)</f>
        <v/>
      </c>
      <c r="PU38" s="3">
        <f>ROUND(0.0,2)</f>
        <v/>
      </c>
      <c r="PV38" s="3">
        <f>ROUND(0.0,2)</f>
        <v/>
      </c>
      <c r="PW38" s="4">
        <f>IFERROR((PQ38/PP38),0)</f>
        <v/>
      </c>
      <c r="PX38" s="4">
        <f>IFERROR(((0+PO11+PO12+PO13+PO14+PO15+PO16+PO17+PO19+PO20+PO21+PO22+PO23+PO24+PO25+PO27+PO28+PO29+PO30+PO31+PO32+PO33+PO35+PO36+PO37+PO38)/T2),0)</f>
        <v/>
      </c>
      <c r="PY38" s="5">
        <f>IFERROR(ROUND(PO38/PQ38,2),0)</f>
        <v/>
      </c>
      <c r="PZ38" s="5">
        <f>IFERROR(ROUND(PO38/PR38,2),0)</f>
        <v/>
      </c>
      <c r="QA38" s="2" t="inlineStr">
        <is>
          <t>2023-10-14</t>
        </is>
      </c>
      <c r="QB38" s="5">
        <f>ROUND(0.01,2)</f>
        <v/>
      </c>
      <c r="QC38" s="3">
        <f>ROUND(51.0,2)</f>
        <v/>
      </c>
      <c r="QD38" s="3">
        <f>ROUND(1.0,2)</f>
        <v/>
      </c>
      <c r="QE38" s="3">
        <f>ROUND(0.0,2)</f>
        <v/>
      </c>
      <c r="QF38" s="3">
        <f>ROUND(0.0,2)</f>
        <v/>
      </c>
      <c r="QG38" s="3">
        <f>ROUND(0.0,2)</f>
        <v/>
      </c>
      <c r="QH38" s="3">
        <f>ROUND(0.0,2)</f>
        <v/>
      </c>
      <c r="QI38" s="3">
        <f>ROUND(0.0,2)</f>
        <v/>
      </c>
      <c r="QJ38" s="4">
        <f>IFERROR((QD38/QC38),0)</f>
        <v/>
      </c>
      <c r="QK38" s="4">
        <f>IFERROR(((0+QB11+QB12+QB13+QB14+QB15+QB16+QB17+QB19+QB20+QB21+QB22+QB23+QB24+QB25+QB27+QB28+QB29+QB30+QB31+QB32+QB33+QB35+QB36+QB37+QB38)/T2),0)</f>
        <v/>
      </c>
      <c r="QL38" s="5">
        <f>IFERROR(ROUND(QB38/QD38,2),0)</f>
        <v/>
      </c>
      <c r="QM38" s="5">
        <f>IFERROR(ROUND(QB38/QE38,2),0)</f>
        <v/>
      </c>
      <c r="QN38" s="2" t="inlineStr">
        <is>
          <t>2023-10-14</t>
        </is>
      </c>
      <c r="QO38" s="5">
        <f>ROUND(0.060000000000000005,2)</f>
        <v/>
      </c>
      <c r="QP38" s="3">
        <f>ROUND(140.0,2)</f>
        <v/>
      </c>
      <c r="QQ38" s="3">
        <f>ROUND(6.0,2)</f>
        <v/>
      </c>
      <c r="QR38" s="3">
        <f>ROUND(0.0,2)</f>
        <v/>
      </c>
      <c r="QS38" s="3">
        <f>ROUND(0.0,2)</f>
        <v/>
      </c>
      <c r="QT38" s="3">
        <f>ROUND(0.0,2)</f>
        <v/>
      </c>
      <c r="QU38" s="3">
        <f>ROUND(0.0,2)</f>
        <v/>
      </c>
      <c r="QV38" s="3">
        <f>ROUND(0.0,2)</f>
        <v/>
      </c>
      <c r="QW38" s="4">
        <f>IFERROR((QQ38/QP38),0)</f>
        <v/>
      </c>
      <c r="QX38" s="4">
        <f>IFERROR(((0+QO11+QO12+QO13+QO14+QO15+QO16+QO17+QO19+QO20+QO21+QO22+QO23+QO24+QO25+QO27+QO28+QO29+QO30+QO31+QO32+QO33+QO35+QO36+QO37+QO38)/T2),0)</f>
        <v/>
      </c>
      <c r="QY38" s="5">
        <f>IFERROR(ROUND(QO38/QQ38,2),0)</f>
        <v/>
      </c>
      <c r="QZ38" s="5">
        <f>IFERROR(ROUND(QO38/QR38,2),0)</f>
        <v/>
      </c>
      <c r="RA38" s="2" t="inlineStr">
        <is>
          <t>2023-10-14</t>
        </is>
      </c>
      <c r="RB38" s="5">
        <f>ROUND(0.04,2)</f>
        <v/>
      </c>
      <c r="RC38" s="3">
        <f>ROUND(59.0,2)</f>
        <v/>
      </c>
      <c r="RD38" s="3">
        <f>ROUND(4.0,2)</f>
        <v/>
      </c>
      <c r="RE38" s="3">
        <f>ROUND(0.0,2)</f>
        <v/>
      </c>
      <c r="RF38" s="3">
        <f>ROUND(0.0,2)</f>
        <v/>
      </c>
      <c r="RG38" s="3">
        <f>ROUND(0.0,2)</f>
        <v/>
      </c>
      <c r="RH38" s="3">
        <f>ROUND(0.0,2)</f>
        <v/>
      </c>
      <c r="RI38" s="3">
        <f>ROUND(0.0,2)</f>
        <v/>
      </c>
      <c r="RJ38" s="4">
        <f>IFERROR((RD38/RC38),0)</f>
        <v/>
      </c>
      <c r="RK38" s="4">
        <f>IFERROR(((0+RB11+RB12+RB13+RB14+RB15+RB16+RB17+RB19+RB20+RB21+RB22+RB23+RB24+RB25+RB27+RB28+RB29+RB30+RB31+RB32+RB33+RB35+RB36+RB37+RB38)/T2),0)</f>
        <v/>
      </c>
      <c r="RL38" s="5">
        <f>IFERROR(ROUND(RB38/RD38,2),0)</f>
        <v/>
      </c>
      <c r="RM38" s="5">
        <f>IFERROR(ROUND(RB38/RE38,2),0)</f>
        <v/>
      </c>
      <c r="RN38" s="2" t="inlineStr">
        <is>
          <t>2023-10-14</t>
        </is>
      </c>
      <c r="RO38" s="5">
        <f>ROUND(0.04,2)</f>
        <v/>
      </c>
      <c r="RP38" s="3">
        <f>ROUND(85.0,2)</f>
        <v/>
      </c>
      <c r="RQ38" s="3">
        <f>ROUND(4.0,2)</f>
        <v/>
      </c>
      <c r="RR38" s="3">
        <f>ROUND(0.0,2)</f>
        <v/>
      </c>
      <c r="RS38" s="3">
        <f>ROUND(0.0,2)</f>
        <v/>
      </c>
      <c r="RT38" s="3">
        <f>ROUND(0.0,2)</f>
        <v/>
      </c>
      <c r="RU38" s="3">
        <f>ROUND(0.0,2)</f>
        <v/>
      </c>
      <c r="RV38" s="3">
        <f>ROUND(0.0,2)</f>
        <v/>
      </c>
      <c r="RW38" s="4">
        <f>IFERROR((RQ38/RP38),0)</f>
        <v/>
      </c>
      <c r="RX38" s="4">
        <f>IFERROR(((0+RO11+RO12+RO13+RO14+RO15+RO16+RO17+RO19+RO20+RO21+RO22+RO23+RO24+RO25+RO27+RO28+RO29+RO30+RO31+RO32+RO33+RO35+RO36+RO37+RO38)/T2),0)</f>
        <v/>
      </c>
      <c r="RY38" s="5">
        <f>IFERROR(ROUND(RO38/RQ38,2),0)</f>
        <v/>
      </c>
      <c r="RZ38" s="5">
        <f>IFERROR(ROUND(RO38/RR38,2),0)</f>
        <v/>
      </c>
      <c r="SA38" s="2" t="inlineStr">
        <is>
          <t>2023-10-14</t>
        </is>
      </c>
      <c r="SB38" s="5">
        <f>ROUND(0.62,2)</f>
        <v/>
      </c>
      <c r="SC38" s="3">
        <f>ROUND(1038.0,2)</f>
        <v/>
      </c>
      <c r="SD38" s="3">
        <f>ROUND(62.0,2)</f>
        <v/>
      </c>
      <c r="SE38" s="3">
        <f>ROUND(0.0,2)</f>
        <v/>
      </c>
      <c r="SF38" s="3">
        <f>ROUND(0.0,2)</f>
        <v/>
      </c>
      <c r="SG38" s="3">
        <f>ROUND(0.0,2)</f>
        <v/>
      </c>
      <c r="SH38" s="3">
        <f>ROUND(0.0,2)</f>
        <v/>
      </c>
      <c r="SI38" s="3">
        <f>ROUND(0.0,2)</f>
        <v/>
      </c>
      <c r="SJ38" s="4">
        <f>IFERROR((SD38/SC38),0)</f>
        <v/>
      </c>
      <c r="SK38" s="4">
        <f>IFERROR(((0+SB11+SB12+SB13+SB14+SB15+SB16+SB17+SB19+SB20+SB21+SB22+SB23+SB24+SB25+SB27+SB28+SB29+SB30+SB31+SB32+SB33+SB35+SB36+SB37+SB38)/T2),0)</f>
        <v/>
      </c>
      <c r="SL38" s="5">
        <f>IFERROR(ROUND(SB38/SD38,2),0)</f>
        <v/>
      </c>
      <c r="SM38" s="5">
        <f>IFERROR(ROUND(SB38/SE38,2),0)</f>
        <v/>
      </c>
      <c r="SN38" s="2" t="inlineStr">
        <is>
          <t>2023-10-14</t>
        </is>
      </c>
      <c r="SO38" s="5">
        <f>ROUND(0.02,2)</f>
        <v/>
      </c>
      <c r="SP38" s="3">
        <f>ROUND(41.0,2)</f>
        <v/>
      </c>
      <c r="SQ38" s="3">
        <f>ROUND(2.0,2)</f>
        <v/>
      </c>
      <c r="SR38" s="3">
        <f>ROUND(0.0,2)</f>
        <v/>
      </c>
      <c r="SS38" s="3">
        <f>ROUND(0.0,2)</f>
        <v/>
      </c>
      <c r="ST38" s="3">
        <f>ROUND(0.0,2)</f>
        <v/>
      </c>
      <c r="SU38" s="3">
        <f>ROUND(0.0,2)</f>
        <v/>
      </c>
      <c r="SV38" s="3">
        <f>ROUND(0.0,2)</f>
        <v/>
      </c>
      <c r="SW38" s="4">
        <f>IFERROR((SQ38/SP38),0)</f>
        <v/>
      </c>
      <c r="SX38" s="4">
        <f>IFERROR(((0+SO11+SO12+SO13+SO14+SO15+SO16+SO17+SO19+SO20+SO21+SO22+SO23+SO24+SO25+SO27+SO28+SO29+SO30+SO31+SO32+SO33+SO35+SO36+SO37+SO38)/T2),0)</f>
        <v/>
      </c>
      <c r="SY38" s="5">
        <f>IFERROR(ROUND(SO38/SQ38,2),0)</f>
        <v/>
      </c>
      <c r="SZ38" s="5">
        <f>IFERROR(ROUND(SO38/SR38,2),0)</f>
        <v/>
      </c>
    </row>
    <row r="39">
      <c r="A39" s="2" t="inlineStr">
        <is>
          <t>2023-10-15</t>
        </is>
      </c>
      <c r="B39" s="5">
        <f>ROUND(40.57,2)</f>
        <v/>
      </c>
      <c r="C39" s="3">
        <f>ROUND(89678.0,2)</f>
        <v/>
      </c>
      <c r="D39" s="3">
        <f>ROUND(4057.0,2)</f>
        <v/>
      </c>
      <c r="E39" s="3">
        <f>ROUND(0.0,2)</f>
        <v/>
      </c>
      <c r="F39" s="3">
        <f>ROUND(0.0,2)</f>
        <v/>
      </c>
      <c r="G39" s="3">
        <f>ROUND(0.0,2)</f>
        <v/>
      </c>
      <c r="H39" s="3">
        <f>ROUND(0.0,2)</f>
        <v/>
      </c>
      <c r="I39" s="3">
        <f>ROUND(0.0,2)</f>
        <v/>
      </c>
      <c r="J39" s="4">
        <f>IFERROR((D39/C39),0)</f>
        <v/>
      </c>
      <c r="K39" s="4">
        <f>IFERROR(((0+B11+B12+B13+B14+B15+B16+B17+B19+B20+B21+B22+B23+B24+B25+B27+B28+B29+B30+B31+B32+B33+B35+B36+B37+B38+B39)/T2),0)</f>
        <v/>
      </c>
      <c r="L39" s="5">
        <f>IFERROR(ROUND(B39/D39,2),0)</f>
        <v/>
      </c>
      <c r="M39" s="5">
        <f>IFERROR(ROUND(B39/E39,2),0)</f>
        <v/>
      </c>
      <c r="N39" s="2" t="inlineStr">
        <is>
          <t>2023-10-15</t>
        </is>
      </c>
      <c r="O39" s="5">
        <f>ROUND(6.37,2)</f>
        <v/>
      </c>
      <c r="P39" s="3">
        <f>ROUND(9283.0,2)</f>
        <v/>
      </c>
      <c r="Q39" s="3">
        <f>ROUND(637.0,2)</f>
        <v/>
      </c>
      <c r="R39" s="3">
        <f>ROUND(0.0,2)</f>
        <v/>
      </c>
      <c r="S39" s="3">
        <f>ROUND(0.0,2)</f>
        <v/>
      </c>
      <c r="T39" s="3">
        <f>ROUND(0.0,2)</f>
        <v/>
      </c>
      <c r="U39" s="3">
        <f>ROUND(0.0,2)</f>
        <v/>
      </c>
      <c r="V39" s="3">
        <f>ROUND(0.0,2)</f>
        <v/>
      </c>
      <c r="W39" s="4">
        <f>IFERROR((Q39/P39),0)</f>
        <v/>
      </c>
      <c r="X39" s="4">
        <f>IFERROR(((0+O11+O12+O13+O14+O15+O16+O17+O19+O20+O21+O22+O23+O24+O25+O27+O28+O29+O30+O31+O32+O33+O35+O36+O37+O38+O39)/T2),0)</f>
        <v/>
      </c>
      <c r="Y39" s="5">
        <f>IFERROR(ROUND(O39/Q39,2),0)</f>
        <v/>
      </c>
      <c r="Z39" s="5">
        <f>IFERROR(ROUND(O39/R39,2),0)</f>
        <v/>
      </c>
      <c r="AA39" s="2" t="inlineStr">
        <is>
          <t>2023-10-15</t>
        </is>
      </c>
      <c r="AB39" s="5">
        <f>ROUND(0.02,2)</f>
        <v/>
      </c>
      <c r="AC39" s="3">
        <f>ROUND(51.0,2)</f>
        <v/>
      </c>
      <c r="AD39" s="3">
        <f>ROUND(2.0,2)</f>
        <v/>
      </c>
      <c r="AE39" s="3">
        <f>ROUND(0.0,2)</f>
        <v/>
      </c>
      <c r="AF39" s="3">
        <f>ROUND(0.0,2)</f>
        <v/>
      </c>
      <c r="AG39" s="3">
        <f>ROUND(0.0,2)</f>
        <v/>
      </c>
      <c r="AH39" s="3">
        <f>ROUND(0.0,2)</f>
        <v/>
      </c>
      <c r="AI39" s="3">
        <f>ROUND(0.0,2)</f>
        <v/>
      </c>
      <c r="AJ39" s="4">
        <f>IFERROR((AD39/AC39),0)</f>
        <v/>
      </c>
      <c r="AK39" s="4">
        <f>IFERROR(((0+AB11+AB12+AB13+AB14+AB15+AB16+AB17+AB19+AB20+AB21+AB22+AB23+AB24+AB25+AB27+AB28+AB29+AB30+AB31+AB32+AB33+AB35+AB36+AB37+AB38+AB39)/T2),0)</f>
        <v/>
      </c>
      <c r="AL39" s="5">
        <f>IFERROR(ROUND(AB39/AD39,2),0)</f>
        <v/>
      </c>
      <c r="AM39" s="5">
        <f>IFERROR(ROUND(AB39/AE39,2),0)</f>
        <v/>
      </c>
      <c r="AN39" s="2" t="inlineStr">
        <is>
          <t>2023-10-15</t>
        </is>
      </c>
      <c r="AO39" s="5">
        <f>ROUND(3.75,2)</f>
        <v/>
      </c>
      <c r="AP39" s="3">
        <f>ROUND(13069.0,2)</f>
        <v/>
      </c>
      <c r="AQ39" s="3">
        <f>ROUND(375.0,2)</f>
        <v/>
      </c>
      <c r="AR39" s="3">
        <f>ROUND(0.0,2)</f>
        <v/>
      </c>
      <c r="AS39" s="3">
        <f>ROUND(0.0,2)</f>
        <v/>
      </c>
      <c r="AT39" s="3">
        <f>ROUND(0.0,2)</f>
        <v/>
      </c>
      <c r="AU39" s="3">
        <f>ROUND(0.0,2)</f>
        <v/>
      </c>
      <c r="AV39" s="3">
        <f>ROUND(0.0,2)</f>
        <v/>
      </c>
      <c r="AW39" s="4">
        <f>IFERROR((AQ39/AP39),0)</f>
        <v/>
      </c>
      <c r="AX39" s="4">
        <f>IFERROR(((0+AO11+AO12+AO13+AO14+AO15+AO16+AO17+AO19+AO20+AO21+AO22+AO23+AO24+AO25+AO27+AO28+AO29+AO30+AO31+AO32+AO33+AO35+AO36+AO37+AO38+AO39)/T2),0)</f>
        <v/>
      </c>
      <c r="AY39" s="5">
        <f>IFERROR(ROUND(AO39/AQ39,2),0)</f>
        <v/>
      </c>
      <c r="AZ39" s="5">
        <f>IFERROR(ROUND(AO39/AR39,2),0)</f>
        <v/>
      </c>
      <c r="BA39" s="2" t="inlineStr">
        <is>
          <t>2023-10-15</t>
        </is>
      </c>
      <c r="BB39" s="5">
        <f>ROUND(0.01,2)</f>
        <v/>
      </c>
      <c r="BC39" s="3">
        <f>ROUND(46.0,2)</f>
        <v/>
      </c>
      <c r="BD39" s="3">
        <f>ROUND(1.0,2)</f>
        <v/>
      </c>
      <c r="BE39" s="3">
        <f>ROUND(0.0,2)</f>
        <v/>
      </c>
      <c r="BF39" s="3">
        <f>ROUND(0.0,2)</f>
        <v/>
      </c>
      <c r="BG39" s="3">
        <f>ROUND(0.0,2)</f>
        <v/>
      </c>
      <c r="BH39" s="3">
        <f>ROUND(0.0,2)</f>
        <v/>
      </c>
      <c r="BI39" s="3">
        <f>ROUND(0.0,2)</f>
        <v/>
      </c>
      <c r="BJ39" s="4">
        <f>IFERROR((BD39/BC39),0)</f>
        <v/>
      </c>
      <c r="BK39" s="4">
        <f>IFERROR(((0+BB11+BB12+BB13+BB14+BB15+BB16+BB17+BB19+BB20+BB21+BB22+BB23+BB24+BB25+BB27+BB28+BB29+BB30+BB31+BB32+BB33+BB35+BB36+BB37+BB38+BB39)/T2),0)</f>
        <v/>
      </c>
      <c r="BL39" s="5">
        <f>IFERROR(ROUND(BB39/BD39,2),0)</f>
        <v/>
      </c>
      <c r="BM39" s="5">
        <f>IFERROR(ROUND(BB39/BE39,2),0)</f>
        <v/>
      </c>
      <c r="BN39" s="2" t="inlineStr">
        <is>
          <t>2023-10-15</t>
        </is>
      </c>
      <c r="BO39" s="5">
        <f>ROUND(0.44,2)</f>
        <v/>
      </c>
      <c r="BP39" s="3">
        <f>ROUND(574.0,2)</f>
        <v/>
      </c>
      <c r="BQ39" s="3">
        <f>ROUND(44.0,2)</f>
        <v/>
      </c>
      <c r="BR39" s="3">
        <f>ROUND(0.0,2)</f>
        <v/>
      </c>
      <c r="BS39" s="3">
        <f>ROUND(0.0,2)</f>
        <v/>
      </c>
      <c r="BT39" s="3">
        <f>ROUND(0.0,2)</f>
        <v/>
      </c>
      <c r="BU39" s="3">
        <f>ROUND(0.0,2)</f>
        <v/>
      </c>
      <c r="BV39" s="3">
        <f>ROUND(0.0,2)</f>
        <v/>
      </c>
      <c r="BW39" s="4">
        <f>IFERROR((BQ39/BP39),0)</f>
        <v/>
      </c>
      <c r="BX39" s="4">
        <f>IFERROR(((0+BO11+BO12+BO13+BO14+BO15+BO16+BO17+BO19+BO20+BO21+BO22+BO23+BO24+BO25+BO27+BO28+BO29+BO30+BO31+BO32+BO33+BO35+BO36+BO37+BO38+BO39)/T2),0)</f>
        <v/>
      </c>
      <c r="BY39" s="5">
        <f>IFERROR(ROUND(BO39/BQ39,2),0)</f>
        <v/>
      </c>
      <c r="BZ39" s="5">
        <f>IFERROR(ROUND(BO39/BR39,2),0)</f>
        <v/>
      </c>
      <c r="CA39" s="2" t="inlineStr">
        <is>
          <t>2023-10-15</t>
        </is>
      </c>
      <c r="CB39" s="5">
        <f>ROUND(0.02,2)</f>
        <v/>
      </c>
      <c r="CC39" s="3">
        <f>ROUND(38.0,2)</f>
        <v/>
      </c>
      <c r="CD39" s="3">
        <f>ROUND(2.0,2)</f>
        <v/>
      </c>
      <c r="CE39" s="3">
        <f>ROUND(0.0,2)</f>
        <v/>
      </c>
      <c r="CF39" s="3">
        <f>ROUND(0.0,2)</f>
        <v/>
      </c>
      <c r="CG39" s="3">
        <f>ROUND(0.0,2)</f>
        <v/>
      </c>
      <c r="CH39" s="3">
        <f>ROUND(0.0,2)</f>
        <v/>
      </c>
      <c r="CI39" s="3">
        <f>ROUND(0.0,2)</f>
        <v/>
      </c>
      <c r="CJ39" s="4">
        <f>IFERROR((CD39/CC39),0)</f>
        <v/>
      </c>
      <c r="CK39" s="4">
        <f>IFERROR(((0+CB11+CB12+CB13+CB14+CB15+CB16+CB17+CB19+CB20+CB21+CB22+CB23+CB24+CB25+CB27+CB28+CB29+CB30+CB31+CB32+CB33+CB35+CB36+CB37+CB38+CB39)/T2),0)</f>
        <v/>
      </c>
      <c r="CL39" s="5">
        <f>IFERROR(ROUND(CB39/CD39,2),0)</f>
        <v/>
      </c>
      <c r="CM39" s="5">
        <f>IFERROR(ROUND(CB39/CE39,2),0)</f>
        <v/>
      </c>
      <c r="CN39" s="2" t="inlineStr">
        <is>
          <t>2023-10-15</t>
        </is>
      </c>
      <c r="CO39" s="5">
        <f>ROUND(0.27,2)</f>
        <v/>
      </c>
      <c r="CP39" s="3">
        <f>ROUND(1259.0,2)</f>
        <v/>
      </c>
      <c r="CQ39" s="3">
        <f>ROUND(27.0,2)</f>
        <v/>
      </c>
      <c r="CR39" s="3">
        <f>ROUND(0.0,2)</f>
        <v/>
      </c>
      <c r="CS39" s="3">
        <f>ROUND(0.0,2)</f>
        <v/>
      </c>
      <c r="CT39" s="3">
        <f>ROUND(0.0,2)</f>
        <v/>
      </c>
      <c r="CU39" s="3">
        <f>ROUND(0.0,2)</f>
        <v/>
      </c>
      <c r="CV39" s="3">
        <f>ROUND(0.0,2)</f>
        <v/>
      </c>
      <c r="CW39" s="4">
        <f>IFERROR((CQ39/CP39),0)</f>
        <v/>
      </c>
      <c r="CX39" s="4">
        <f>IFERROR(((0+CO11+CO12+CO13+CO14+CO15+CO16+CO17+CO19+CO20+CO21+CO22+CO23+CO24+CO25+CO27+CO28+CO29+CO30+CO31+CO32+CO33+CO35+CO36+CO37+CO38+CO39)/T2),0)</f>
        <v/>
      </c>
      <c r="CY39" s="5">
        <f>IFERROR(ROUND(CO39/CQ39,2),0)</f>
        <v/>
      </c>
      <c r="CZ39" s="5">
        <f>IFERROR(ROUND(CO39/CR39,2),0)</f>
        <v/>
      </c>
      <c r="DA39" s="2" t="inlineStr">
        <is>
          <t>2023-10-15</t>
        </is>
      </c>
      <c r="DB39" s="5">
        <f>ROUND(1.63,2)</f>
        <v/>
      </c>
      <c r="DC39" s="3">
        <f>ROUND(4161.0,2)</f>
        <v/>
      </c>
      <c r="DD39" s="3">
        <f>ROUND(163.0,2)</f>
        <v/>
      </c>
      <c r="DE39" s="3">
        <f>ROUND(0.0,2)</f>
        <v/>
      </c>
      <c r="DF39" s="3">
        <f>ROUND(0.0,2)</f>
        <v/>
      </c>
      <c r="DG39" s="3">
        <f>ROUND(0.0,2)</f>
        <v/>
      </c>
      <c r="DH39" s="3">
        <f>ROUND(0.0,2)</f>
        <v/>
      </c>
      <c r="DI39" s="3">
        <f>ROUND(0.0,2)</f>
        <v/>
      </c>
      <c r="DJ39" s="4">
        <f>IFERROR((DD39/DC39),0)</f>
        <v/>
      </c>
      <c r="DK39" s="4">
        <f>IFERROR(((0+DB11+DB12+DB13+DB14+DB15+DB16+DB17+DB19+DB20+DB21+DB22+DB23+DB24+DB25+DB27+DB28+DB29+DB30+DB31+DB32+DB33+DB35+DB36+DB37+DB38+DB39)/T2),0)</f>
        <v/>
      </c>
      <c r="DL39" s="5">
        <f>IFERROR(ROUND(DB39/DD39,2),0)</f>
        <v/>
      </c>
      <c r="DM39" s="5">
        <f>IFERROR(ROUND(DB39/DE39,2),0)</f>
        <v/>
      </c>
      <c r="DN39" s="2" t="inlineStr">
        <is>
          <t>2023-10-15</t>
        </is>
      </c>
      <c r="DO39" s="5">
        <f>ROUND(0.0,2)</f>
        <v/>
      </c>
      <c r="DP39" s="3">
        <f>ROUND(11.0,2)</f>
        <v/>
      </c>
      <c r="DQ39" s="3">
        <f>ROUND(0.0,2)</f>
        <v/>
      </c>
      <c r="DR39" s="3">
        <f>ROUND(0.0,2)</f>
        <v/>
      </c>
      <c r="DS39" s="3">
        <f>ROUND(0.0,2)</f>
        <v/>
      </c>
      <c r="DT39" s="3">
        <f>ROUND(0.0,2)</f>
        <v/>
      </c>
      <c r="DU39" s="3">
        <f>ROUND(0.0,2)</f>
        <v/>
      </c>
      <c r="DV39" s="3">
        <f>ROUND(0.0,2)</f>
        <v/>
      </c>
      <c r="DW39" s="4">
        <f>IFERROR((DQ39/DP39),0)</f>
        <v/>
      </c>
      <c r="DX39" s="4">
        <f>IFERROR(((0+DO11+DO12+DO13+DO14+DO15+DO16+DO17+DO19+DO20+DO21+DO22+DO23+DO24+DO25+DO27+DO28+DO29+DO30+DO31+DO32+DO33+DO35+DO36+DO37+DO38+DO39)/T2),0)</f>
        <v/>
      </c>
      <c r="DY39" s="5">
        <f>IFERROR(ROUND(DO39/DQ39,2),0)</f>
        <v/>
      </c>
      <c r="DZ39" s="5">
        <f>IFERROR(ROUND(DO39/DR39,2),0)</f>
        <v/>
      </c>
      <c r="EA39" s="2" t="inlineStr">
        <is>
          <t>2023-10-15</t>
        </is>
      </c>
      <c r="EB39" s="5">
        <f>ROUND(3.19,2)</f>
        <v/>
      </c>
      <c r="EC39" s="3">
        <f>ROUND(10802.0,2)</f>
        <v/>
      </c>
      <c r="ED39" s="3">
        <f>ROUND(319.0,2)</f>
        <v/>
      </c>
      <c r="EE39" s="3">
        <f>ROUND(0.0,2)</f>
        <v/>
      </c>
      <c r="EF39" s="3">
        <f>ROUND(0.0,2)</f>
        <v/>
      </c>
      <c r="EG39" s="3">
        <f>ROUND(0.0,2)</f>
        <v/>
      </c>
      <c r="EH39" s="3">
        <f>ROUND(0.0,2)</f>
        <v/>
      </c>
      <c r="EI39" s="3">
        <f>ROUND(0.0,2)</f>
        <v/>
      </c>
      <c r="EJ39" s="4">
        <f>IFERROR((ED39/EC39),0)</f>
        <v/>
      </c>
      <c r="EK39" s="4">
        <f>IFERROR(((0+EB11+EB12+EB13+EB14+EB15+EB16+EB17+EB19+EB20+EB21+EB22+EB23+EB24+EB25+EB27+EB28+EB29+EB30+EB31+EB32+EB33+EB35+EB36+EB37+EB38+EB39)/T2),0)</f>
        <v/>
      </c>
      <c r="EL39" s="5">
        <f>IFERROR(ROUND(EB39/ED39,2),0)</f>
        <v/>
      </c>
      <c r="EM39" s="5">
        <f>IFERROR(ROUND(EB39/EE39,2),0)</f>
        <v/>
      </c>
      <c r="EN39" s="2" t="inlineStr">
        <is>
          <t>2023-10-15</t>
        </is>
      </c>
      <c r="EO39" s="5">
        <f>ROUND(0.0,2)</f>
        <v/>
      </c>
      <c r="EP39" s="3">
        <f>ROUND(18.0,2)</f>
        <v/>
      </c>
      <c r="EQ39" s="3">
        <f>ROUND(0.0,2)</f>
        <v/>
      </c>
      <c r="ER39" s="3">
        <f>ROUND(0.0,2)</f>
        <v/>
      </c>
      <c r="ES39" s="3">
        <f>ROUND(0.0,2)</f>
        <v/>
      </c>
      <c r="ET39" s="3">
        <f>ROUND(0.0,2)</f>
        <v/>
      </c>
      <c r="EU39" s="3">
        <f>ROUND(0.0,2)</f>
        <v/>
      </c>
      <c r="EV39" s="3">
        <f>ROUND(0.0,2)</f>
        <v/>
      </c>
      <c r="EW39" s="4">
        <f>IFERROR((EQ39/EP39),0)</f>
        <v/>
      </c>
      <c r="EX39" s="4">
        <f>IFERROR(((0+EO11+EO12+EO13+EO14+EO15+EO16+EO17+EO19+EO20+EO21+EO22+EO23+EO24+EO25+EO27+EO28+EO29+EO30+EO31+EO32+EO33+EO35+EO36+EO37+EO38+EO39)/T2),0)</f>
        <v/>
      </c>
      <c r="EY39" s="5">
        <f>IFERROR(ROUND(EO39/EQ39,2),0)</f>
        <v/>
      </c>
      <c r="EZ39" s="5">
        <f>IFERROR(ROUND(EO39/ER39,2),0)</f>
        <v/>
      </c>
      <c r="FA39" s="2" t="inlineStr">
        <is>
          <t>2023-10-15</t>
        </is>
      </c>
      <c r="FB39" s="5">
        <f>ROUND(0.49,2)</f>
        <v/>
      </c>
      <c r="FC39" s="3">
        <f>ROUND(2079.0,2)</f>
        <v/>
      </c>
      <c r="FD39" s="3">
        <f>ROUND(49.0,2)</f>
        <v/>
      </c>
      <c r="FE39" s="3">
        <f>ROUND(0.0,2)</f>
        <v/>
      </c>
      <c r="FF39" s="3">
        <f>ROUND(0.0,2)</f>
        <v/>
      </c>
      <c r="FG39" s="3">
        <f>ROUND(0.0,2)</f>
        <v/>
      </c>
      <c r="FH39" s="3">
        <f>ROUND(0.0,2)</f>
        <v/>
      </c>
      <c r="FI39" s="3">
        <f>ROUND(0.0,2)</f>
        <v/>
      </c>
      <c r="FJ39" s="4">
        <f>IFERROR((FD39/FC39),0)</f>
        <v/>
      </c>
      <c r="FK39" s="4">
        <f>IFERROR(((0+FB11+FB12+FB13+FB14+FB15+FB16+FB17+FB19+FB20+FB21+FB22+FB23+FB24+FB25+FB27+FB28+FB29+FB30+FB31+FB32+FB33+FB35+FB36+FB37+FB38+FB39)/T2),0)</f>
        <v/>
      </c>
      <c r="FL39" s="5">
        <f>IFERROR(ROUND(FB39/FD39,2),0)</f>
        <v/>
      </c>
      <c r="FM39" s="5">
        <f>IFERROR(ROUND(FB39/FE39,2),0)</f>
        <v/>
      </c>
      <c r="FN39" s="2" t="inlineStr">
        <is>
          <t>2023-10-15</t>
        </is>
      </c>
      <c r="FO39" s="5">
        <f>ROUND(0.18,2)</f>
        <v/>
      </c>
      <c r="FP39" s="3">
        <f>ROUND(754.0,2)</f>
        <v/>
      </c>
      <c r="FQ39" s="3">
        <f>ROUND(18.0,2)</f>
        <v/>
      </c>
      <c r="FR39" s="3">
        <f>ROUND(0.0,2)</f>
        <v/>
      </c>
      <c r="FS39" s="3">
        <f>ROUND(0.0,2)</f>
        <v/>
      </c>
      <c r="FT39" s="3">
        <f>ROUND(0.0,2)</f>
        <v/>
      </c>
      <c r="FU39" s="3">
        <f>ROUND(0.0,2)</f>
        <v/>
      </c>
      <c r="FV39" s="3">
        <f>ROUND(0.0,2)</f>
        <v/>
      </c>
      <c r="FW39" s="4">
        <f>IFERROR((FQ39/FP39),0)</f>
        <v/>
      </c>
      <c r="FX39" s="4">
        <f>IFERROR(((0+FO11+FO12+FO13+FO14+FO15+FO16+FO17+FO19+FO20+FO21+FO22+FO23+FO24+FO25+FO27+FO28+FO29+FO30+FO31+FO32+FO33+FO35+FO36+FO37+FO38+FO39)/T2),0)</f>
        <v/>
      </c>
      <c r="FY39" s="5">
        <f>IFERROR(ROUND(FO39/FQ39,2),0)</f>
        <v/>
      </c>
      <c r="FZ39" s="5">
        <f>IFERROR(ROUND(FO39/FR39,2),0)</f>
        <v/>
      </c>
      <c r="GA39" s="2" t="inlineStr">
        <is>
          <t>2023-10-15</t>
        </is>
      </c>
      <c r="GB39" s="5">
        <f>ROUND(0.02,2)</f>
        <v/>
      </c>
      <c r="GC39" s="3">
        <f>ROUND(35.0,2)</f>
        <v/>
      </c>
      <c r="GD39" s="3">
        <f>ROUND(2.0,2)</f>
        <v/>
      </c>
      <c r="GE39" s="3">
        <f>ROUND(0.0,2)</f>
        <v/>
      </c>
      <c r="GF39" s="3">
        <f>ROUND(0.0,2)</f>
        <v/>
      </c>
      <c r="GG39" s="3">
        <f>ROUND(0.0,2)</f>
        <v/>
      </c>
      <c r="GH39" s="3">
        <f>ROUND(0.0,2)</f>
        <v/>
      </c>
      <c r="GI39" s="3">
        <f>ROUND(0.0,2)</f>
        <v/>
      </c>
      <c r="GJ39" s="4">
        <f>IFERROR((GD39/GC39),0)</f>
        <v/>
      </c>
      <c r="GK39" s="4">
        <f>IFERROR(((0+GB11+GB12+GB13+GB14+GB15+GB16+GB17+GB19+GB20+GB21+GB22+GB23+GB24+GB25+GB27+GB28+GB29+GB30+GB31+GB32+GB33+GB35+GB36+GB37+GB38+GB39)/T2),0)</f>
        <v/>
      </c>
      <c r="GL39" s="5">
        <f>IFERROR(ROUND(GB39/GD39,2),0)</f>
        <v/>
      </c>
      <c r="GM39" s="5">
        <f>IFERROR(ROUND(GB39/GE39,2),0)</f>
        <v/>
      </c>
      <c r="GN39" s="2" t="inlineStr">
        <is>
          <t>2023-10-15</t>
        </is>
      </c>
      <c r="GO39" s="5">
        <f>ROUND(0.06,2)</f>
        <v/>
      </c>
      <c r="GP39" s="3">
        <f>ROUND(156.0,2)</f>
        <v/>
      </c>
      <c r="GQ39" s="3">
        <f>ROUND(6.0,2)</f>
        <v/>
      </c>
      <c r="GR39" s="3">
        <f>ROUND(0.0,2)</f>
        <v/>
      </c>
      <c r="GS39" s="3">
        <f>ROUND(0.0,2)</f>
        <v/>
      </c>
      <c r="GT39" s="3">
        <f>ROUND(0.0,2)</f>
        <v/>
      </c>
      <c r="GU39" s="3">
        <f>ROUND(0.0,2)</f>
        <v/>
      </c>
      <c r="GV39" s="3">
        <f>ROUND(0.0,2)</f>
        <v/>
      </c>
      <c r="GW39" s="4">
        <f>IFERROR((GQ39/GP39),0)</f>
        <v/>
      </c>
      <c r="GX39" s="4">
        <f>IFERROR(((0+GO11+GO12+GO13+GO14+GO15+GO16+GO17+GO19+GO20+GO21+GO22+GO23+GO24+GO25+GO27+GO28+GO29+GO30+GO31+GO32+GO33+GO35+GO36+GO37+GO38+GO39)/T2),0)</f>
        <v/>
      </c>
      <c r="GY39" s="5">
        <f>IFERROR(ROUND(GO39/GQ39,2),0)</f>
        <v/>
      </c>
      <c r="GZ39" s="5">
        <f>IFERROR(ROUND(GO39/GR39,2),0)</f>
        <v/>
      </c>
      <c r="HA39" s="2" t="inlineStr">
        <is>
          <t>2023-10-15</t>
        </is>
      </c>
      <c r="HB39" s="5">
        <f>ROUND(8.049999999999999,2)</f>
        <v/>
      </c>
      <c r="HC39" s="3">
        <f>ROUND(11009.0,2)</f>
        <v/>
      </c>
      <c r="HD39" s="3">
        <f>ROUND(805.0,2)</f>
        <v/>
      </c>
      <c r="HE39" s="3">
        <f>ROUND(0.0,2)</f>
        <v/>
      </c>
      <c r="HF39" s="3">
        <f>ROUND(0.0,2)</f>
        <v/>
      </c>
      <c r="HG39" s="3">
        <f>ROUND(0.0,2)</f>
        <v/>
      </c>
      <c r="HH39" s="3">
        <f>ROUND(0.0,2)</f>
        <v/>
      </c>
      <c r="HI39" s="3">
        <f>ROUND(0.0,2)</f>
        <v/>
      </c>
      <c r="HJ39" s="4">
        <f>IFERROR((HD39/HC39),0)</f>
        <v/>
      </c>
      <c r="HK39" s="4">
        <f>IFERROR(((0+HB11+HB12+HB13+HB14+HB15+HB16+HB17+HB19+HB20+HB21+HB22+HB23+HB24+HB25+HB27+HB28+HB29+HB30+HB31+HB32+HB33+HB35+HB36+HB37+HB38+HB39)/T2),0)</f>
        <v/>
      </c>
      <c r="HL39" s="5">
        <f>IFERROR(ROUND(HB39/HD39,2),0)</f>
        <v/>
      </c>
      <c r="HM39" s="5">
        <f>IFERROR(ROUND(HB39/HE39,2),0)</f>
        <v/>
      </c>
      <c r="HN39" s="2" t="inlineStr">
        <is>
          <t>2023-10-15</t>
        </is>
      </c>
      <c r="HO39" s="5">
        <f>ROUND(0.01,2)</f>
        <v/>
      </c>
      <c r="HP39" s="3">
        <f>ROUND(33.0,2)</f>
        <v/>
      </c>
      <c r="HQ39" s="3">
        <f>ROUND(1.0,2)</f>
        <v/>
      </c>
      <c r="HR39" s="3">
        <f>ROUND(0.0,2)</f>
        <v/>
      </c>
      <c r="HS39" s="3">
        <f>ROUND(0.0,2)</f>
        <v/>
      </c>
      <c r="HT39" s="3">
        <f>ROUND(0.0,2)</f>
        <v/>
      </c>
      <c r="HU39" s="3">
        <f>ROUND(0.0,2)</f>
        <v/>
      </c>
      <c r="HV39" s="3">
        <f>ROUND(0.0,2)</f>
        <v/>
      </c>
      <c r="HW39" s="4">
        <f>IFERROR((HQ39/HP39),0)</f>
        <v/>
      </c>
      <c r="HX39" s="4">
        <f>IFERROR(((0+HO11+HO12+HO13+HO14+HO15+HO16+HO17+HO19+HO20+HO21+HO22+HO23+HO24+HO25+HO27+HO28+HO29+HO30+HO31+HO32+HO33+HO35+HO36+HO37+HO38+HO39)/T2),0)</f>
        <v/>
      </c>
      <c r="HY39" s="5">
        <f>IFERROR(ROUND(HO39/HQ39,2),0)</f>
        <v/>
      </c>
      <c r="HZ39" s="5">
        <f>IFERROR(ROUND(HO39/HR39,2),0)</f>
        <v/>
      </c>
      <c r="IA39" s="2" t="inlineStr">
        <is>
          <t>2023-10-15</t>
        </is>
      </c>
      <c r="IB39" s="5">
        <f>ROUND(0.12,2)</f>
        <v/>
      </c>
      <c r="IC39" s="3">
        <f>ROUND(63.0,2)</f>
        <v/>
      </c>
      <c r="ID39" s="3">
        <f>ROUND(12.0,2)</f>
        <v/>
      </c>
      <c r="IE39" s="3">
        <f>ROUND(0.0,2)</f>
        <v/>
      </c>
      <c r="IF39" s="3">
        <f>ROUND(0.0,2)</f>
        <v/>
      </c>
      <c r="IG39" s="3">
        <f>ROUND(0.0,2)</f>
        <v/>
      </c>
      <c r="IH39" s="3">
        <f>ROUND(0.0,2)</f>
        <v/>
      </c>
      <c r="II39" s="3">
        <f>ROUND(0.0,2)</f>
        <v/>
      </c>
      <c r="IJ39" s="4">
        <f>IFERROR((ID39/IC39),0)</f>
        <v/>
      </c>
      <c r="IK39" s="4">
        <f>IFERROR(((0+IB11+IB12+IB13+IB14+IB15+IB16+IB17+IB19+IB20+IB21+IB22+IB23+IB24+IB25+IB27+IB28+IB29+IB30+IB31+IB32+IB33+IB35+IB36+IB37+IB38+IB39)/T2),0)</f>
        <v/>
      </c>
      <c r="IL39" s="5">
        <f>IFERROR(ROUND(IB39/ID39,2),0)</f>
        <v/>
      </c>
      <c r="IM39" s="5">
        <f>IFERROR(ROUND(IB39/IE39,2),0)</f>
        <v/>
      </c>
      <c r="IN39" s="2" t="inlineStr">
        <is>
          <t>2023-10-15</t>
        </is>
      </c>
      <c r="IO39" s="5">
        <f>ROUND(0.7,2)</f>
        <v/>
      </c>
      <c r="IP39" s="3">
        <f>ROUND(2701.0,2)</f>
        <v/>
      </c>
      <c r="IQ39" s="3">
        <f>ROUND(70.0,2)</f>
        <v/>
      </c>
      <c r="IR39" s="3">
        <f>ROUND(0.0,2)</f>
        <v/>
      </c>
      <c r="IS39" s="3">
        <f>ROUND(0.0,2)</f>
        <v/>
      </c>
      <c r="IT39" s="3">
        <f>ROUND(0.0,2)</f>
        <v/>
      </c>
      <c r="IU39" s="3">
        <f>ROUND(0.0,2)</f>
        <v/>
      </c>
      <c r="IV39" s="3">
        <f>ROUND(0.0,2)</f>
        <v/>
      </c>
      <c r="IW39" s="4">
        <f>IFERROR((IQ39/IP39),0)</f>
        <v/>
      </c>
      <c r="IX39" s="4">
        <f>IFERROR(((0+IO11+IO12+IO13+IO14+IO15+IO16+IO17+IO19+IO20+IO21+IO22+IO23+IO24+IO25+IO27+IO28+IO29+IO30+IO31+IO32+IO33+IO35+IO36+IO37+IO38+IO39)/T2),0)</f>
        <v/>
      </c>
      <c r="IY39" s="5">
        <f>IFERROR(ROUND(IO39/IQ39,2),0)</f>
        <v/>
      </c>
      <c r="IZ39" s="5">
        <f>IFERROR(ROUND(IO39/IR39,2),0)</f>
        <v/>
      </c>
      <c r="JA39" s="2" t="inlineStr">
        <is>
          <t>2023-10-15</t>
        </is>
      </c>
      <c r="JB39" s="5">
        <f>ROUND(0.04,2)</f>
        <v/>
      </c>
      <c r="JC39" s="3">
        <f>ROUND(112.0,2)</f>
        <v/>
      </c>
      <c r="JD39" s="3">
        <f>ROUND(4.0,2)</f>
        <v/>
      </c>
      <c r="JE39" s="3">
        <f>ROUND(0.0,2)</f>
        <v/>
      </c>
      <c r="JF39" s="3">
        <f>ROUND(0.0,2)</f>
        <v/>
      </c>
      <c r="JG39" s="3">
        <f>ROUND(0.0,2)</f>
        <v/>
      </c>
      <c r="JH39" s="3">
        <f>ROUND(0.0,2)</f>
        <v/>
      </c>
      <c r="JI39" s="3">
        <f>ROUND(0.0,2)</f>
        <v/>
      </c>
      <c r="JJ39" s="4">
        <f>IFERROR((JD39/JC39),0)</f>
        <v/>
      </c>
      <c r="JK39" s="4">
        <f>IFERROR(((0+JB11+JB12+JB13+JB14+JB15+JB16+JB17+JB19+JB20+JB21+JB22+JB23+JB24+JB25+JB27+JB28+JB29+JB30+JB31+JB32+JB33+JB35+JB36+JB37+JB38+JB39)/T2),0)</f>
        <v/>
      </c>
      <c r="JL39" s="5">
        <f>IFERROR(ROUND(JB39/JD39,2),0)</f>
        <v/>
      </c>
      <c r="JM39" s="5">
        <f>IFERROR(ROUND(JB39/JE39,2),0)</f>
        <v/>
      </c>
      <c r="JN39" s="2" t="inlineStr">
        <is>
          <t>2023-10-15</t>
        </is>
      </c>
      <c r="JO39" s="5">
        <f>ROUND(0.04,2)</f>
        <v/>
      </c>
      <c r="JP39" s="3">
        <f>ROUND(58.0,2)</f>
        <v/>
      </c>
      <c r="JQ39" s="3">
        <f>ROUND(4.0,2)</f>
        <v/>
      </c>
      <c r="JR39" s="3">
        <f>ROUND(0.0,2)</f>
        <v/>
      </c>
      <c r="JS39" s="3">
        <f>ROUND(0.0,2)</f>
        <v/>
      </c>
      <c r="JT39" s="3">
        <f>ROUND(0.0,2)</f>
        <v/>
      </c>
      <c r="JU39" s="3">
        <f>ROUND(0.0,2)</f>
        <v/>
      </c>
      <c r="JV39" s="3">
        <f>ROUND(0.0,2)</f>
        <v/>
      </c>
      <c r="JW39" s="4">
        <f>IFERROR((JQ39/JP39),0)</f>
        <v/>
      </c>
      <c r="JX39" s="4">
        <f>IFERROR(((0+JO11+JO12+JO13+JO14+JO15+JO16+JO17+JO19+JO20+JO21+JO22+JO23+JO24+JO25+JO27+JO28+JO29+JO30+JO31+JO32+JO33+JO35+JO36+JO37+JO38+JO39)/T2),0)</f>
        <v/>
      </c>
      <c r="JY39" s="5">
        <f>IFERROR(ROUND(JO39/JQ39,2),0)</f>
        <v/>
      </c>
      <c r="JZ39" s="5">
        <f>IFERROR(ROUND(JO39/JR39,2),0)</f>
        <v/>
      </c>
      <c r="KA39" s="2" t="inlineStr">
        <is>
          <t>2023-10-15</t>
        </is>
      </c>
      <c r="KB39" s="5">
        <f>ROUND(0.01,2)</f>
        <v/>
      </c>
      <c r="KC39" s="3">
        <f>ROUND(78.0,2)</f>
        <v/>
      </c>
      <c r="KD39" s="3">
        <f>ROUND(1.0,2)</f>
        <v/>
      </c>
      <c r="KE39" s="3">
        <f>ROUND(0.0,2)</f>
        <v/>
      </c>
      <c r="KF39" s="3">
        <f>ROUND(0.0,2)</f>
        <v/>
      </c>
      <c r="KG39" s="3">
        <f>ROUND(0.0,2)</f>
        <v/>
      </c>
      <c r="KH39" s="3">
        <f>ROUND(0.0,2)</f>
        <v/>
      </c>
      <c r="KI39" s="3">
        <f>ROUND(0.0,2)</f>
        <v/>
      </c>
      <c r="KJ39" s="4">
        <f>IFERROR((KD39/KC39),0)</f>
        <v/>
      </c>
      <c r="KK39" s="4">
        <f>IFERROR(((0+KB11+KB12+KB13+KB14+KB15+KB16+KB17+KB19+KB20+KB21+KB22+KB23+KB24+KB25+KB27+KB28+KB29+KB30+KB31+KB32+KB33+KB35+KB36+KB37+KB38+KB39)/T2),0)</f>
        <v/>
      </c>
      <c r="KL39" s="5">
        <f>IFERROR(ROUND(KB39/KD39,2),0)</f>
        <v/>
      </c>
      <c r="KM39" s="5">
        <f>IFERROR(ROUND(KB39/KE39,2),0)</f>
        <v/>
      </c>
      <c r="KN39" s="2" t="inlineStr">
        <is>
          <t>2023-10-15</t>
        </is>
      </c>
      <c r="KO39" s="5">
        <f>ROUND(2.1500000000000004,2)</f>
        <v/>
      </c>
      <c r="KP39" s="3">
        <f>ROUND(8368.0,2)</f>
        <v/>
      </c>
      <c r="KQ39" s="3">
        <f>ROUND(215.0,2)</f>
        <v/>
      </c>
      <c r="KR39" s="3">
        <f>ROUND(0.0,2)</f>
        <v/>
      </c>
      <c r="KS39" s="3">
        <f>ROUND(0.0,2)</f>
        <v/>
      </c>
      <c r="KT39" s="3">
        <f>ROUND(0.0,2)</f>
        <v/>
      </c>
      <c r="KU39" s="3">
        <f>ROUND(0.0,2)</f>
        <v/>
      </c>
      <c r="KV39" s="3">
        <f>ROUND(0.0,2)</f>
        <v/>
      </c>
      <c r="KW39" s="4">
        <f>IFERROR((KQ39/KP39),0)</f>
        <v/>
      </c>
      <c r="KX39" s="4">
        <f>IFERROR(((0+KO11+KO12+KO13+KO14+KO15+KO16+KO17+KO19+KO20+KO21+KO22+KO23+KO24+KO25+KO27+KO28+KO29+KO30+KO31+KO32+KO33+KO35+KO36+KO37+KO38+KO39)/T2),0)</f>
        <v/>
      </c>
      <c r="KY39" s="5">
        <f>IFERROR(ROUND(KO39/KQ39,2),0)</f>
        <v/>
      </c>
      <c r="KZ39" s="5">
        <f>IFERROR(ROUND(KO39/KR39,2),0)</f>
        <v/>
      </c>
      <c r="LA39" s="2" t="inlineStr">
        <is>
          <t>2023-10-15</t>
        </is>
      </c>
      <c r="LB39" s="5">
        <f>ROUND(4.14,2)</f>
        <v/>
      </c>
      <c r="LC39" s="3">
        <f>ROUND(7515.0,2)</f>
        <v/>
      </c>
      <c r="LD39" s="3">
        <f>ROUND(414.0,2)</f>
        <v/>
      </c>
      <c r="LE39" s="3">
        <f>ROUND(0.0,2)</f>
        <v/>
      </c>
      <c r="LF39" s="3">
        <f>ROUND(0.0,2)</f>
        <v/>
      </c>
      <c r="LG39" s="3">
        <f>ROUND(0.0,2)</f>
        <v/>
      </c>
      <c r="LH39" s="3">
        <f>ROUND(0.0,2)</f>
        <v/>
      </c>
      <c r="LI39" s="3">
        <f>ROUND(0.0,2)</f>
        <v/>
      </c>
      <c r="LJ39" s="4">
        <f>IFERROR((LD39/LC39),0)</f>
        <v/>
      </c>
      <c r="LK39" s="4">
        <f>IFERROR(((0+LB11+LB12+LB13+LB14+LB15+LB16+LB17+LB19+LB20+LB21+LB22+LB23+LB24+LB25+LB27+LB28+LB29+LB30+LB31+LB32+LB33+LB35+LB36+LB37+LB38+LB39)/T2),0)</f>
        <v/>
      </c>
      <c r="LL39" s="5">
        <f>IFERROR(ROUND(LB39/LD39,2),0)</f>
        <v/>
      </c>
      <c r="LM39" s="5">
        <f>IFERROR(ROUND(LB39/LE39,2),0)</f>
        <v/>
      </c>
      <c r="LN39" s="2" t="inlineStr">
        <is>
          <t>2023-10-15</t>
        </is>
      </c>
      <c r="LO39" s="5">
        <f>ROUND(0.51,2)</f>
        <v/>
      </c>
      <c r="LP39" s="3">
        <f>ROUND(683.0,2)</f>
        <v/>
      </c>
      <c r="LQ39" s="3">
        <f>ROUND(51.0,2)</f>
        <v/>
      </c>
      <c r="LR39" s="3">
        <f>ROUND(0.0,2)</f>
        <v/>
      </c>
      <c r="LS39" s="3">
        <f>ROUND(0.0,2)</f>
        <v/>
      </c>
      <c r="LT39" s="3">
        <f>ROUND(0.0,2)</f>
        <v/>
      </c>
      <c r="LU39" s="3">
        <f>ROUND(0.0,2)</f>
        <v/>
      </c>
      <c r="LV39" s="3">
        <f>ROUND(0.0,2)</f>
        <v/>
      </c>
      <c r="LW39" s="4">
        <f>IFERROR((LQ39/LP39),0)</f>
        <v/>
      </c>
      <c r="LX39" s="4">
        <f>IFERROR(((0+LO11+LO12+LO13+LO14+LO15+LO16+LO17+LO19+LO20+LO21+LO22+LO23+LO24+LO25+LO27+LO28+LO29+LO30+LO31+LO32+LO33+LO35+LO36+LO37+LO38+LO39)/T2),0)</f>
        <v/>
      </c>
      <c r="LY39" s="5">
        <f>IFERROR(ROUND(LO39/LQ39,2),0)</f>
        <v/>
      </c>
      <c r="LZ39" s="5">
        <f>IFERROR(ROUND(LO39/LR39,2),0)</f>
        <v/>
      </c>
      <c r="MA39" s="2" t="inlineStr">
        <is>
          <t>2023-10-15</t>
        </is>
      </c>
      <c r="MB39" s="5">
        <f>ROUND(0.67,2)</f>
        <v/>
      </c>
      <c r="MC39" s="3">
        <f>ROUND(1552.0,2)</f>
        <v/>
      </c>
      <c r="MD39" s="3">
        <f>ROUND(67.0,2)</f>
        <v/>
      </c>
      <c r="ME39" s="3">
        <f>ROUND(0.0,2)</f>
        <v/>
      </c>
      <c r="MF39" s="3">
        <f>ROUND(0.0,2)</f>
        <v/>
      </c>
      <c r="MG39" s="3">
        <f>ROUND(0.0,2)</f>
        <v/>
      </c>
      <c r="MH39" s="3">
        <f>ROUND(0.0,2)</f>
        <v/>
      </c>
      <c r="MI39" s="3">
        <f>ROUND(0.0,2)</f>
        <v/>
      </c>
      <c r="MJ39" s="4">
        <f>IFERROR((MD39/MC39),0)</f>
        <v/>
      </c>
      <c r="MK39" s="4">
        <f>IFERROR(((0+MB11+MB12+MB13+MB14+MB15+MB16+MB17+MB19+MB20+MB21+MB22+MB23+MB24+MB25+MB27+MB28+MB29+MB30+MB31+MB32+MB33+MB35+MB36+MB37+MB38+MB39)/T2),0)</f>
        <v/>
      </c>
      <c r="ML39" s="5">
        <f>IFERROR(ROUND(MB39/MD39,2),0)</f>
        <v/>
      </c>
      <c r="MM39" s="5">
        <f>IFERROR(ROUND(MB39/ME39,2),0)</f>
        <v/>
      </c>
      <c r="MN39" s="2" t="inlineStr">
        <is>
          <t>2023-10-15</t>
        </is>
      </c>
      <c r="MO39" s="5">
        <f>ROUND(1.48,2)</f>
        <v/>
      </c>
      <c r="MP39" s="3">
        <f>ROUND(3012.0,2)</f>
        <v/>
      </c>
      <c r="MQ39" s="3">
        <f>ROUND(148.0,2)</f>
        <v/>
      </c>
      <c r="MR39" s="3">
        <f>ROUND(0.0,2)</f>
        <v/>
      </c>
      <c r="MS39" s="3">
        <f>ROUND(0.0,2)</f>
        <v/>
      </c>
      <c r="MT39" s="3">
        <f>ROUND(0.0,2)</f>
        <v/>
      </c>
      <c r="MU39" s="3">
        <f>ROUND(0.0,2)</f>
        <v/>
      </c>
      <c r="MV39" s="3">
        <f>ROUND(0.0,2)</f>
        <v/>
      </c>
      <c r="MW39" s="4">
        <f>IFERROR((MQ39/MP39),0)</f>
        <v/>
      </c>
      <c r="MX39" s="4">
        <f>IFERROR(((0+MO11+MO12+MO13+MO14+MO15+MO16+MO17+MO19+MO20+MO21+MO22+MO23+MO24+MO25+MO27+MO28+MO29+MO30+MO31+MO32+MO33+MO35+MO36+MO37+MO38+MO39)/T2),0)</f>
        <v/>
      </c>
      <c r="MY39" s="5">
        <f>IFERROR(ROUND(MO39/MQ39,2),0)</f>
        <v/>
      </c>
      <c r="MZ39" s="5">
        <f>IFERROR(ROUND(MO39/MR39,2),0)</f>
        <v/>
      </c>
      <c r="NA39" s="2" t="inlineStr">
        <is>
          <t>2023-10-15</t>
        </is>
      </c>
      <c r="NB39" s="5">
        <f>ROUND(1.72,2)</f>
        <v/>
      </c>
      <c r="NC39" s="3">
        <f>ROUND(5976.0,2)</f>
        <v/>
      </c>
      <c r="ND39" s="3">
        <f>ROUND(172.0,2)</f>
        <v/>
      </c>
      <c r="NE39" s="3">
        <f>ROUND(0.0,2)</f>
        <v/>
      </c>
      <c r="NF39" s="3">
        <f>ROUND(0.0,2)</f>
        <v/>
      </c>
      <c r="NG39" s="3">
        <f>ROUND(0.0,2)</f>
        <v/>
      </c>
      <c r="NH39" s="3">
        <f>ROUND(0.0,2)</f>
        <v/>
      </c>
      <c r="NI39" s="3">
        <f>ROUND(0.0,2)</f>
        <v/>
      </c>
      <c r="NJ39" s="4">
        <f>IFERROR((ND39/NC39),0)</f>
        <v/>
      </c>
      <c r="NK39" s="4">
        <f>IFERROR(((0+NB11+NB12+NB13+NB14+NB15+NB16+NB17+NB19+NB20+NB21+NB22+NB23+NB24+NB25+NB27+NB28+NB29+NB30+NB31+NB32+NB33+NB35+NB36+NB37+NB38+NB39)/T2),0)</f>
        <v/>
      </c>
      <c r="NL39" s="5">
        <f>IFERROR(ROUND(NB39/ND39,2),0)</f>
        <v/>
      </c>
      <c r="NM39" s="5">
        <f>IFERROR(ROUND(NB39/NE39,2),0)</f>
        <v/>
      </c>
      <c r="NN39" s="2" t="inlineStr">
        <is>
          <t>2023-10-15</t>
        </is>
      </c>
      <c r="NO39" s="5">
        <f>ROUND(0.01,2)</f>
        <v/>
      </c>
      <c r="NP39" s="3">
        <f>ROUND(58.0,2)</f>
        <v/>
      </c>
      <c r="NQ39" s="3">
        <f>ROUND(1.0,2)</f>
        <v/>
      </c>
      <c r="NR39" s="3">
        <f>ROUND(0.0,2)</f>
        <v/>
      </c>
      <c r="NS39" s="3">
        <f>ROUND(0.0,2)</f>
        <v/>
      </c>
      <c r="NT39" s="3">
        <f>ROUND(0.0,2)</f>
        <v/>
      </c>
      <c r="NU39" s="3">
        <f>ROUND(0.0,2)</f>
        <v/>
      </c>
      <c r="NV39" s="3">
        <f>ROUND(0.0,2)</f>
        <v/>
      </c>
      <c r="NW39" s="4">
        <f>IFERROR((NQ39/NP39),0)</f>
        <v/>
      </c>
      <c r="NX39" s="4">
        <f>IFERROR(((0+NO11+NO12+NO13+NO14+NO15+NO16+NO17+NO19+NO20+NO21+NO22+NO23+NO24+NO25+NO27+NO28+NO29+NO30+NO31+NO32+NO33+NO35+NO36+NO37+NO38+NO39)/T2),0)</f>
        <v/>
      </c>
      <c r="NY39" s="5">
        <f>IFERROR(ROUND(NO39/NQ39,2),0)</f>
        <v/>
      </c>
      <c r="NZ39" s="5">
        <f>IFERROR(ROUND(NO39/NR39,2),0)</f>
        <v/>
      </c>
      <c r="OA39" s="2" t="inlineStr">
        <is>
          <t>2023-10-15</t>
        </is>
      </c>
      <c r="OB39" s="5">
        <f>ROUND(0.02,2)</f>
        <v/>
      </c>
      <c r="OC39" s="3">
        <f>ROUND(33.0,2)</f>
        <v/>
      </c>
      <c r="OD39" s="3">
        <f>ROUND(2.0,2)</f>
        <v/>
      </c>
      <c r="OE39" s="3">
        <f>ROUND(0.0,2)</f>
        <v/>
      </c>
      <c r="OF39" s="3">
        <f>ROUND(0.0,2)</f>
        <v/>
      </c>
      <c r="OG39" s="3">
        <f>ROUND(0.0,2)</f>
        <v/>
      </c>
      <c r="OH39" s="3">
        <f>ROUND(0.0,2)</f>
        <v/>
      </c>
      <c r="OI39" s="3">
        <f>ROUND(0.0,2)</f>
        <v/>
      </c>
      <c r="OJ39" s="4">
        <f>IFERROR((OD39/OC39),0)</f>
        <v/>
      </c>
      <c r="OK39" s="4">
        <f>IFERROR(((0+OB11+OB12+OB13+OB14+OB15+OB16+OB17+OB19+OB20+OB21+OB22+OB23+OB24+OB25+OB27+OB28+OB29+OB30+OB31+OB32+OB33+OB35+OB36+OB37+OB38+OB39)/T2),0)</f>
        <v/>
      </c>
      <c r="OL39" s="5">
        <f>IFERROR(ROUND(OB39/OD39,2),0)</f>
        <v/>
      </c>
      <c r="OM39" s="5">
        <f>IFERROR(ROUND(OB39/OE39,2),0)</f>
        <v/>
      </c>
      <c r="ON39" s="2" t="inlineStr">
        <is>
          <t>2023-10-15</t>
        </is>
      </c>
      <c r="OO39" s="5">
        <f>ROUND(0.07,2)</f>
        <v/>
      </c>
      <c r="OP39" s="3">
        <f>ROUND(89.0,2)</f>
        <v/>
      </c>
      <c r="OQ39" s="3">
        <f>ROUND(7.0,2)</f>
        <v/>
      </c>
      <c r="OR39" s="3">
        <f>ROUND(0.0,2)</f>
        <v/>
      </c>
      <c r="OS39" s="3">
        <f>ROUND(0.0,2)</f>
        <v/>
      </c>
      <c r="OT39" s="3">
        <f>ROUND(0.0,2)</f>
        <v/>
      </c>
      <c r="OU39" s="3">
        <f>ROUND(0.0,2)</f>
        <v/>
      </c>
      <c r="OV39" s="3">
        <f>ROUND(0.0,2)</f>
        <v/>
      </c>
      <c r="OW39" s="4">
        <f>IFERROR((OQ39/OP39),0)</f>
        <v/>
      </c>
      <c r="OX39" s="4">
        <f>IFERROR(((0+OO11+OO12+OO13+OO14+OO15+OO16+OO17+OO19+OO20+OO21+OO22+OO23+OO24+OO25+OO27+OO28+OO29+OO30+OO31+OO32+OO33+OO35+OO36+OO37+OO38+OO39)/T2),0)</f>
        <v/>
      </c>
      <c r="OY39" s="5">
        <f>IFERROR(ROUND(OO39/OQ39,2),0)</f>
        <v/>
      </c>
      <c r="OZ39" s="5">
        <f>IFERROR(ROUND(OO39/OR39,2),0)</f>
        <v/>
      </c>
      <c r="PA39" s="2" t="inlineStr">
        <is>
          <t>2023-10-15</t>
        </is>
      </c>
      <c r="PB39" s="5">
        <f>ROUND(0.01,2)</f>
        <v/>
      </c>
      <c r="PC39" s="3">
        <f>ROUND(53.0,2)</f>
        <v/>
      </c>
      <c r="PD39" s="3">
        <f>ROUND(1.0,2)</f>
        <v/>
      </c>
      <c r="PE39" s="3">
        <f>ROUND(0.0,2)</f>
        <v/>
      </c>
      <c r="PF39" s="3">
        <f>ROUND(0.0,2)</f>
        <v/>
      </c>
      <c r="PG39" s="3">
        <f>ROUND(0.0,2)</f>
        <v/>
      </c>
      <c r="PH39" s="3">
        <f>ROUND(0.0,2)</f>
        <v/>
      </c>
      <c r="PI39" s="3">
        <f>ROUND(0.0,2)</f>
        <v/>
      </c>
      <c r="PJ39" s="4">
        <f>IFERROR((PD39/PC39),0)</f>
        <v/>
      </c>
      <c r="PK39" s="4">
        <f>IFERROR(((0+PB11+PB12+PB13+PB14+PB15+PB16+PB17+PB19+PB20+PB21+PB22+PB23+PB24+PB25+PB27+PB28+PB29+PB30+PB31+PB32+PB33+PB35+PB36+PB37+PB38+PB39)/T2),0)</f>
        <v/>
      </c>
      <c r="PL39" s="5">
        <f>IFERROR(ROUND(PB39/PD39,2),0)</f>
        <v/>
      </c>
      <c r="PM39" s="5">
        <f>IFERROR(ROUND(PB39/PE39,2),0)</f>
        <v/>
      </c>
      <c r="PN39" s="2" t="inlineStr">
        <is>
          <t>2023-10-15</t>
        </is>
      </c>
      <c r="PO39" s="5">
        <f>ROUND(3.55,2)</f>
        <v/>
      </c>
      <c r="PP39" s="3">
        <f>ROUND(4809.0,2)</f>
        <v/>
      </c>
      <c r="PQ39" s="3">
        <f>ROUND(355.0,2)</f>
        <v/>
      </c>
      <c r="PR39" s="3">
        <f>ROUND(0.0,2)</f>
        <v/>
      </c>
      <c r="PS39" s="3">
        <f>ROUND(0.0,2)</f>
        <v/>
      </c>
      <c r="PT39" s="3">
        <f>ROUND(0.0,2)</f>
        <v/>
      </c>
      <c r="PU39" s="3">
        <f>ROUND(0.0,2)</f>
        <v/>
      </c>
      <c r="PV39" s="3">
        <f>ROUND(0.0,2)</f>
        <v/>
      </c>
      <c r="PW39" s="4">
        <f>IFERROR((PQ39/PP39),0)</f>
        <v/>
      </c>
      <c r="PX39" s="4">
        <f>IFERROR(((0+PO11+PO12+PO13+PO14+PO15+PO16+PO17+PO19+PO20+PO21+PO22+PO23+PO24+PO25+PO27+PO28+PO29+PO30+PO31+PO32+PO33+PO35+PO36+PO37+PO38+PO39)/T2),0)</f>
        <v/>
      </c>
      <c r="PY39" s="5">
        <f>IFERROR(ROUND(PO39/PQ39,2),0)</f>
        <v/>
      </c>
      <c r="PZ39" s="5">
        <f>IFERROR(ROUND(PO39/PR39,2),0)</f>
        <v/>
      </c>
      <c r="QA39" s="2" t="inlineStr">
        <is>
          <t>2023-10-15</t>
        </is>
      </c>
      <c r="QB39" s="5">
        <f>ROUND(0.02,2)</f>
        <v/>
      </c>
      <c r="QC39" s="3">
        <f>ROUND(51.0,2)</f>
        <v/>
      </c>
      <c r="QD39" s="3">
        <f>ROUND(2.0,2)</f>
        <v/>
      </c>
      <c r="QE39" s="3">
        <f>ROUND(0.0,2)</f>
        <v/>
      </c>
      <c r="QF39" s="3">
        <f>ROUND(0.0,2)</f>
        <v/>
      </c>
      <c r="QG39" s="3">
        <f>ROUND(0.0,2)</f>
        <v/>
      </c>
      <c r="QH39" s="3">
        <f>ROUND(0.0,2)</f>
        <v/>
      </c>
      <c r="QI39" s="3">
        <f>ROUND(0.0,2)</f>
        <v/>
      </c>
      <c r="QJ39" s="4">
        <f>IFERROR((QD39/QC39),0)</f>
        <v/>
      </c>
      <c r="QK39" s="4">
        <f>IFERROR(((0+QB11+QB12+QB13+QB14+QB15+QB16+QB17+QB19+QB20+QB21+QB22+QB23+QB24+QB25+QB27+QB28+QB29+QB30+QB31+QB32+QB33+QB35+QB36+QB37+QB38+QB39)/T2),0)</f>
        <v/>
      </c>
      <c r="QL39" s="5">
        <f>IFERROR(ROUND(QB39/QD39,2),0)</f>
        <v/>
      </c>
      <c r="QM39" s="5">
        <f>IFERROR(ROUND(QB39/QE39,2),0)</f>
        <v/>
      </c>
      <c r="QN39" s="2" t="inlineStr">
        <is>
          <t>2023-10-15</t>
        </is>
      </c>
      <c r="QO39" s="5">
        <f>ROUND(0.06,2)</f>
        <v/>
      </c>
      <c r="QP39" s="3">
        <f>ROUND(174.0,2)</f>
        <v/>
      </c>
      <c r="QQ39" s="3">
        <f>ROUND(6.0,2)</f>
        <v/>
      </c>
      <c r="QR39" s="3">
        <f>ROUND(0.0,2)</f>
        <v/>
      </c>
      <c r="QS39" s="3">
        <f>ROUND(0.0,2)</f>
        <v/>
      </c>
      <c r="QT39" s="3">
        <f>ROUND(0.0,2)</f>
        <v/>
      </c>
      <c r="QU39" s="3">
        <f>ROUND(0.0,2)</f>
        <v/>
      </c>
      <c r="QV39" s="3">
        <f>ROUND(0.0,2)</f>
        <v/>
      </c>
      <c r="QW39" s="4">
        <f>IFERROR((QQ39/QP39),0)</f>
        <v/>
      </c>
      <c r="QX39" s="4">
        <f>IFERROR(((0+QO11+QO12+QO13+QO14+QO15+QO16+QO17+QO19+QO20+QO21+QO22+QO23+QO24+QO25+QO27+QO28+QO29+QO30+QO31+QO32+QO33+QO35+QO36+QO37+QO38+QO39)/T2),0)</f>
        <v/>
      </c>
      <c r="QY39" s="5">
        <f>IFERROR(ROUND(QO39/QQ39,2),0)</f>
        <v/>
      </c>
      <c r="QZ39" s="5">
        <f>IFERROR(ROUND(QO39/QR39,2),0)</f>
        <v/>
      </c>
      <c r="RA39" s="2" t="inlineStr">
        <is>
          <t>2023-10-15</t>
        </is>
      </c>
      <c r="RB39" s="5">
        <f>ROUND(0.05,2)</f>
        <v/>
      </c>
      <c r="RC39" s="3">
        <f>ROUND(48.0,2)</f>
        <v/>
      </c>
      <c r="RD39" s="3">
        <f>ROUND(5.0,2)</f>
        <v/>
      </c>
      <c r="RE39" s="3">
        <f>ROUND(0.0,2)</f>
        <v/>
      </c>
      <c r="RF39" s="3">
        <f>ROUND(0.0,2)</f>
        <v/>
      </c>
      <c r="RG39" s="3">
        <f>ROUND(0.0,2)</f>
        <v/>
      </c>
      <c r="RH39" s="3">
        <f>ROUND(0.0,2)</f>
        <v/>
      </c>
      <c r="RI39" s="3">
        <f>ROUND(0.0,2)</f>
        <v/>
      </c>
      <c r="RJ39" s="4">
        <f>IFERROR((RD39/RC39),0)</f>
        <v/>
      </c>
      <c r="RK39" s="4">
        <f>IFERROR(((0+RB11+RB12+RB13+RB14+RB15+RB16+RB17+RB19+RB20+RB21+RB22+RB23+RB24+RB25+RB27+RB28+RB29+RB30+RB31+RB32+RB33+RB35+RB36+RB37+RB38+RB39)/T2),0)</f>
        <v/>
      </c>
      <c r="RL39" s="5">
        <f>IFERROR(ROUND(RB39/RD39,2),0)</f>
        <v/>
      </c>
      <c r="RM39" s="5">
        <f>IFERROR(ROUND(RB39/RE39,2),0)</f>
        <v/>
      </c>
      <c r="RN39" s="2" t="inlineStr">
        <is>
          <t>2023-10-15</t>
        </is>
      </c>
      <c r="RO39" s="5">
        <f>ROUND(0.07,2)</f>
        <v/>
      </c>
      <c r="RP39" s="3">
        <f>ROUND(68.0,2)</f>
        <v/>
      </c>
      <c r="RQ39" s="3">
        <f>ROUND(7.0,2)</f>
        <v/>
      </c>
      <c r="RR39" s="3">
        <f>ROUND(0.0,2)</f>
        <v/>
      </c>
      <c r="RS39" s="3">
        <f>ROUND(0.0,2)</f>
        <v/>
      </c>
      <c r="RT39" s="3">
        <f>ROUND(0.0,2)</f>
        <v/>
      </c>
      <c r="RU39" s="3">
        <f>ROUND(0.0,2)</f>
        <v/>
      </c>
      <c r="RV39" s="3">
        <f>ROUND(0.0,2)</f>
        <v/>
      </c>
      <c r="RW39" s="4">
        <f>IFERROR((RQ39/RP39),0)</f>
        <v/>
      </c>
      <c r="RX39" s="4">
        <f>IFERROR(((0+RO11+RO12+RO13+RO14+RO15+RO16+RO17+RO19+RO20+RO21+RO22+RO23+RO24+RO25+RO27+RO28+RO29+RO30+RO31+RO32+RO33+RO35+RO36+RO37+RO38+RO39)/T2),0)</f>
        <v/>
      </c>
      <c r="RY39" s="5">
        <f>IFERROR(ROUND(RO39/RQ39,2),0)</f>
        <v/>
      </c>
      <c r="RZ39" s="5">
        <f>IFERROR(ROUND(RO39/RR39,2),0)</f>
        <v/>
      </c>
      <c r="SA39" s="2" t="inlineStr">
        <is>
          <t>2023-10-15</t>
        </is>
      </c>
      <c r="SB39" s="5">
        <f>ROUND(0.56,2)</f>
        <v/>
      </c>
      <c r="SC39" s="3">
        <f>ROUND(737.0,2)</f>
        <v/>
      </c>
      <c r="SD39" s="3">
        <f>ROUND(56.0,2)</f>
        <v/>
      </c>
      <c r="SE39" s="3">
        <f>ROUND(0.0,2)</f>
        <v/>
      </c>
      <c r="SF39" s="3">
        <f>ROUND(0.0,2)</f>
        <v/>
      </c>
      <c r="SG39" s="3">
        <f>ROUND(0.0,2)</f>
        <v/>
      </c>
      <c r="SH39" s="3">
        <f>ROUND(0.0,2)</f>
        <v/>
      </c>
      <c r="SI39" s="3">
        <f>ROUND(0.0,2)</f>
        <v/>
      </c>
      <c r="SJ39" s="4">
        <f>IFERROR((SD39/SC39),0)</f>
        <v/>
      </c>
      <c r="SK39" s="4">
        <f>IFERROR(((0+SB11+SB12+SB13+SB14+SB15+SB16+SB17+SB19+SB20+SB21+SB22+SB23+SB24+SB25+SB27+SB28+SB29+SB30+SB31+SB32+SB33+SB35+SB36+SB37+SB38+SB39)/T2),0)</f>
        <v/>
      </c>
      <c r="SL39" s="5">
        <f>IFERROR(ROUND(SB39/SD39,2),0)</f>
        <v/>
      </c>
      <c r="SM39" s="5">
        <f>IFERROR(ROUND(SB39/SE39,2),0)</f>
        <v/>
      </c>
      <c r="SN39" s="2" t="inlineStr">
        <is>
          <t>2023-10-15</t>
        </is>
      </c>
      <c r="SO39" s="5">
        <f>ROUND(0.06,2)</f>
        <v/>
      </c>
      <c r="SP39" s="3">
        <f>ROUND(62.0,2)</f>
        <v/>
      </c>
      <c r="SQ39" s="3">
        <f>ROUND(6.0,2)</f>
        <v/>
      </c>
      <c r="SR39" s="3">
        <f>ROUND(0.0,2)</f>
        <v/>
      </c>
      <c r="SS39" s="3">
        <f>ROUND(0.0,2)</f>
        <v/>
      </c>
      <c r="ST39" s="3">
        <f>ROUND(0.0,2)</f>
        <v/>
      </c>
      <c r="SU39" s="3">
        <f>ROUND(0.0,2)</f>
        <v/>
      </c>
      <c r="SV39" s="3">
        <f>ROUND(0.0,2)</f>
        <v/>
      </c>
      <c r="SW39" s="4">
        <f>IFERROR((SQ39/SP39),0)</f>
        <v/>
      </c>
      <c r="SX39" s="4">
        <f>IFERROR(((0+SO11+SO12+SO13+SO14+SO15+SO16+SO17+SO19+SO20+SO21+SO22+SO23+SO24+SO25+SO27+SO28+SO29+SO30+SO31+SO32+SO33+SO35+SO36+SO37+SO38+SO39)/T2),0)</f>
        <v/>
      </c>
      <c r="SY39" s="5">
        <f>IFERROR(ROUND(SO39/SQ39,2),0)</f>
        <v/>
      </c>
      <c r="SZ39" s="5">
        <f>IFERROR(ROUND(SO39/SR39,2),0)</f>
        <v/>
      </c>
    </row>
    <row r="40">
      <c r="A40" s="2" t="inlineStr">
        <is>
          <t>2023-10-16</t>
        </is>
      </c>
      <c r="B40" s="5">
        <f>ROUND(41.18,2)</f>
        <v/>
      </c>
      <c r="C40" s="3">
        <f>ROUND(92866.0,2)</f>
        <v/>
      </c>
      <c r="D40" s="3">
        <f>ROUND(4118.0,2)</f>
        <v/>
      </c>
      <c r="E40" s="3">
        <f>ROUND(0.0,2)</f>
        <v/>
      </c>
      <c r="F40" s="3">
        <f>ROUND(0.0,2)</f>
        <v/>
      </c>
      <c r="G40" s="3">
        <f>ROUND(0.0,2)</f>
        <v/>
      </c>
      <c r="H40" s="3">
        <f>ROUND(0.0,2)</f>
        <v/>
      </c>
      <c r="I40" s="3">
        <f>ROUND(0.0,2)</f>
        <v/>
      </c>
      <c r="J40" s="4">
        <f>IFERROR((D40/C40),0)</f>
        <v/>
      </c>
      <c r="K40" s="4">
        <f>IFERROR(((0+B11+B12+B13+B14+B15+B16+B17+B19+B20+B21+B22+B23+B24+B25+B27+B28+B29+B30+B31+B32+B33+B35+B36+B37+B38+B39+B40)/T2),0)</f>
        <v/>
      </c>
      <c r="L40" s="5">
        <f>IFERROR(ROUND(B40/D40,2),0)</f>
        <v/>
      </c>
      <c r="M40" s="5">
        <f>IFERROR(ROUND(B40/E40,2),0)</f>
        <v/>
      </c>
      <c r="N40" s="2" t="inlineStr">
        <is>
          <t>2023-10-16</t>
        </is>
      </c>
      <c r="O40" s="5">
        <f>ROUND(8.1,2)</f>
        <v/>
      </c>
      <c r="P40" s="3">
        <f>ROUND(10550.0,2)</f>
        <v/>
      </c>
      <c r="Q40" s="3">
        <f>ROUND(810.0,2)</f>
        <v/>
      </c>
      <c r="R40" s="3">
        <f>ROUND(0.0,2)</f>
        <v/>
      </c>
      <c r="S40" s="3">
        <f>ROUND(0.0,2)</f>
        <v/>
      </c>
      <c r="T40" s="3">
        <f>ROUND(0.0,2)</f>
        <v/>
      </c>
      <c r="U40" s="3">
        <f>ROUND(0.0,2)</f>
        <v/>
      </c>
      <c r="V40" s="3">
        <f>ROUND(0.0,2)</f>
        <v/>
      </c>
      <c r="W40" s="4">
        <f>IFERROR((Q40/P40),0)</f>
        <v/>
      </c>
      <c r="X40" s="4">
        <f>IFERROR(((0+O11+O12+O13+O14+O15+O16+O17+O19+O20+O21+O22+O23+O24+O25+O27+O28+O29+O30+O31+O32+O33+O35+O36+O37+O38+O39+O40)/T2),0)</f>
        <v/>
      </c>
      <c r="Y40" s="5">
        <f>IFERROR(ROUND(O40/Q40,2),0)</f>
        <v/>
      </c>
      <c r="Z40" s="5">
        <f>IFERROR(ROUND(O40/R40,2),0)</f>
        <v/>
      </c>
      <c r="AA40" s="2" t="inlineStr">
        <is>
          <t>2023-10-16</t>
        </is>
      </c>
      <c r="AB40" s="5">
        <f>ROUND(0.02,2)</f>
        <v/>
      </c>
      <c r="AC40" s="3">
        <f>ROUND(49.0,2)</f>
        <v/>
      </c>
      <c r="AD40" s="3">
        <f>ROUND(2.0,2)</f>
        <v/>
      </c>
      <c r="AE40" s="3">
        <f>ROUND(0.0,2)</f>
        <v/>
      </c>
      <c r="AF40" s="3">
        <f>ROUND(0.0,2)</f>
        <v/>
      </c>
      <c r="AG40" s="3">
        <f>ROUND(0.0,2)</f>
        <v/>
      </c>
      <c r="AH40" s="3">
        <f>ROUND(0.0,2)</f>
        <v/>
      </c>
      <c r="AI40" s="3">
        <f>ROUND(0.0,2)</f>
        <v/>
      </c>
      <c r="AJ40" s="4">
        <f>IFERROR((AD40/AC40),0)</f>
        <v/>
      </c>
      <c r="AK40" s="4">
        <f>IFERROR(((0+AB11+AB12+AB13+AB14+AB15+AB16+AB17+AB19+AB20+AB21+AB22+AB23+AB24+AB25+AB27+AB28+AB29+AB30+AB31+AB32+AB33+AB35+AB36+AB37+AB38+AB39+AB40)/T2),0)</f>
        <v/>
      </c>
      <c r="AL40" s="5">
        <f>IFERROR(ROUND(AB40/AD40,2),0)</f>
        <v/>
      </c>
      <c r="AM40" s="5">
        <f>IFERROR(ROUND(AB40/AE40,2),0)</f>
        <v/>
      </c>
      <c r="AN40" s="2" t="inlineStr">
        <is>
          <t>2023-10-16</t>
        </is>
      </c>
      <c r="AO40" s="5">
        <f>ROUND(3.42,2)</f>
        <v/>
      </c>
      <c r="AP40" s="3">
        <f>ROUND(14267.0,2)</f>
        <v/>
      </c>
      <c r="AQ40" s="3">
        <f>ROUND(342.0,2)</f>
        <v/>
      </c>
      <c r="AR40" s="3">
        <f>ROUND(0.0,2)</f>
        <v/>
      </c>
      <c r="AS40" s="3">
        <f>ROUND(0.0,2)</f>
        <v/>
      </c>
      <c r="AT40" s="3">
        <f>ROUND(0.0,2)</f>
        <v/>
      </c>
      <c r="AU40" s="3">
        <f>ROUND(0.0,2)</f>
        <v/>
      </c>
      <c r="AV40" s="3">
        <f>ROUND(0.0,2)</f>
        <v/>
      </c>
      <c r="AW40" s="4">
        <f>IFERROR((AQ40/AP40),0)</f>
        <v/>
      </c>
      <c r="AX40" s="4">
        <f>IFERROR(((0+AO11+AO12+AO13+AO14+AO15+AO16+AO17+AO19+AO20+AO21+AO22+AO23+AO24+AO25+AO27+AO28+AO29+AO30+AO31+AO32+AO33+AO35+AO36+AO37+AO38+AO39+AO40)/T2),0)</f>
        <v/>
      </c>
      <c r="AY40" s="5">
        <f>IFERROR(ROUND(AO40/AQ40,2),0)</f>
        <v/>
      </c>
      <c r="AZ40" s="5">
        <f>IFERROR(ROUND(AO40/AR40,2),0)</f>
        <v/>
      </c>
      <c r="BA40" s="2" t="inlineStr">
        <is>
          <t>2023-10-16</t>
        </is>
      </c>
      <c r="BB40" s="5">
        <f>ROUND(0.01,2)</f>
        <v/>
      </c>
      <c r="BC40" s="3">
        <f>ROUND(43.0,2)</f>
        <v/>
      </c>
      <c r="BD40" s="3">
        <f>ROUND(1.0,2)</f>
        <v/>
      </c>
      <c r="BE40" s="3">
        <f>ROUND(0.0,2)</f>
        <v/>
      </c>
      <c r="BF40" s="3">
        <f>ROUND(0.0,2)</f>
        <v/>
      </c>
      <c r="BG40" s="3">
        <f>ROUND(0.0,2)</f>
        <v/>
      </c>
      <c r="BH40" s="3">
        <f>ROUND(0.0,2)</f>
        <v/>
      </c>
      <c r="BI40" s="3">
        <f>ROUND(0.0,2)</f>
        <v/>
      </c>
      <c r="BJ40" s="4">
        <f>IFERROR((BD40/BC40),0)</f>
        <v/>
      </c>
      <c r="BK40" s="4">
        <f>IFERROR(((0+BB11+BB12+BB13+BB14+BB15+BB16+BB17+BB19+BB20+BB21+BB22+BB23+BB24+BB25+BB27+BB28+BB29+BB30+BB31+BB32+BB33+BB35+BB36+BB37+BB38+BB39+BB40)/T2),0)</f>
        <v/>
      </c>
      <c r="BL40" s="5">
        <f>IFERROR(ROUND(BB40/BD40,2),0)</f>
        <v/>
      </c>
      <c r="BM40" s="5">
        <f>IFERROR(ROUND(BB40/BE40,2),0)</f>
        <v/>
      </c>
      <c r="BN40" s="2" t="inlineStr">
        <is>
          <t>2023-10-16</t>
        </is>
      </c>
      <c r="BO40" s="5">
        <f>ROUND(0.61,2)</f>
        <v/>
      </c>
      <c r="BP40" s="3">
        <f>ROUND(621.0,2)</f>
        <v/>
      </c>
      <c r="BQ40" s="3">
        <f>ROUND(61.0,2)</f>
        <v/>
      </c>
      <c r="BR40" s="3">
        <f>ROUND(0.0,2)</f>
        <v/>
      </c>
      <c r="BS40" s="3">
        <f>ROUND(0.0,2)</f>
        <v/>
      </c>
      <c r="BT40" s="3">
        <f>ROUND(0.0,2)</f>
        <v/>
      </c>
      <c r="BU40" s="3">
        <f>ROUND(0.0,2)</f>
        <v/>
      </c>
      <c r="BV40" s="3">
        <f>ROUND(0.0,2)</f>
        <v/>
      </c>
      <c r="BW40" s="4">
        <f>IFERROR((BQ40/BP40),0)</f>
        <v/>
      </c>
      <c r="BX40" s="4">
        <f>IFERROR(((0+BO11+BO12+BO13+BO14+BO15+BO16+BO17+BO19+BO20+BO21+BO22+BO23+BO24+BO25+BO27+BO28+BO29+BO30+BO31+BO32+BO33+BO35+BO36+BO37+BO38+BO39+BO40)/T2),0)</f>
        <v/>
      </c>
      <c r="BY40" s="5">
        <f>IFERROR(ROUND(BO40/BQ40,2),0)</f>
        <v/>
      </c>
      <c r="BZ40" s="5">
        <f>IFERROR(ROUND(BO40/BR40,2),0)</f>
        <v/>
      </c>
      <c r="CA40" s="2" t="inlineStr">
        <is>
          <t>2023-10-16</t>
        </is>
      </c>
      <c r="CB40" s="5">
        <f>ROUND(0.02,2)</f>
        <v/>
      </c>
      <c r="CC40" s="3">
        <f>ROUND(27.0,2)</f>
        <v/>
      </c>
      <c r="CD40" s="3">
        <f>ROUND(2.0,2)</f>
        <v/>
      </c>
      <c r="CE40" s="3">
        <f>ROUND(0.0,2)</f>
        <v/>
      </c>
      <c r="CF40" s="3">
        <f>ROUND(0.0,2)</f>
        <v/>
      </c>
      <c r="CG40" s="3">
        <f>ROUND(0.0,2)</f>
        <v/>
      </c>
      <c r="CH40" s="3">
        <f>ROUND(0.0,2)</f>
        <v/>
      </c>
      <c r="CI40" s="3">
        <f>ROUND(0.0,2)</f>
        <v/>
      </c>
      <c r="CJ40" s="4">
        <f>IFERROR((CD40/CC40),0)</f>
        <v/>
      </c>
      <c r="CK40" s="4">
        <f>IFERROR(((0+CB11+CB12+CB13+CB14+CB15+CB16+CB17+CB19+CB20+CB21+CB22+CB23+CB24+CB25+CB27+CB28+CB29+CB30+CB31+CB32+CB33+CB35+CB36+CB37+CB38+CB39+CB40)/T2),0)</f>
        <v/>
      </c>
      <c r="CL40" s="5">
        <f>IFERROR(ROUND(CB40/CD40,2),0)</f>
        <v/>
      </c>
      <c r="CM40" s="5">
        <f>IFERROR(ROUND(CB40/CE40,2),0)</f>
        <v/>
      </c>
      <c r="CN40" s="2" t="inlineStr">
        <is>
          <t>2023-10-16</t>
        </is>
      </c>
      <c r="CO40" s="5">
        <f>ROUND(0.28,2)</f>
        <v/>
      </c>
      <c r="CP40" s="3">
        <f>ROUND(952.0,2)</f>
        <v/>
      </c>
      <c r="CQ40" s="3">
        <f>ROUND(28.0,2)</f>
        <v/>
      </c>
      <c r="CR40" s="3">
        <f>ROUND(0.0,2)</f>
        <v/>
      </c>
      <c r="CS40" s="3">
        <f>ROUND(0.0,2)</f>
        <v/>
      </c>
      <c r="CT40" s="3">
        <f>ROUND(0.0,2)</f>
        <v/>
      </c>
      <c r="CU40" s="3">
        <f>ROUND(0.0,2)</f>
        <v/>
      </c>
      <c r="CV40" s="3">
        <f>ROUND(0.0,2)</f>
        <v/>
      </c>
      <c r="CW40" s="4">
        <f>IFERROR((CQ40/CP40),0)</f>
        <v/>
      </c>
      <c r="CX40" s="4">
        <f>IFERROR(((0+CO11+CO12+CO13+CO14+CO15+CO16+CO17+CO19+CO20+CO21+CO22+CO23+CO24+CO25+CO27+CO28+CO29+CO30+CO31+CO32+CO33+CO35+CO36+CO37+CO38+CO39+CO40)/T2),0)</f>
        <v/>
      </c>
      <c r="CY40" s="5">
        <f>IFERROR(ROUND(CO40/CQ40,2),0)</f>
        <v/>
      </c>
      <c r="CZ40" s="5">
        <f>IFERROR(ROUND(CO40/CR40,2),0)</f>
        <v/>
      </c>
      <c r="DA40" s="2" t="inlineStr">
        <is>
          <t>2023-10-16</t>
        </is>
      </c>
      <c r="DB40" s="5">
        <f>ROUND(1.53,2)</f>
        <v/>
      </c>
      <c r="DC40" s="3">
        <f>ROUND(4245.0,2)</f>
        <v/>
      </c>
      <c r="DD40" s="3">
        <f>ROUND(153.0,2)</f>
        <v/>
      </c>
      <c r="DE40" s="3">
        <f>ROUND(0.0,2)</f>
        <v/>
      </c>
      <c r="DF40" s="3">
        <f>ROUND(0.0,2)</f>
        <v/>
      </c>
      <c r="DG40" s="3">
        <f>ROUND(0.0,2)</f>
        <v/>
      </c>
      <c r="DH40" s="3">
        <f>ROUND(0.0,2)</f>
        <v/>
      </c>
      <c r="DI40" s="3">
        <f>ROUND(0.0,2)</f>
        <v/>
      </c>
      <c r="DJ40" s="4">
        <f>IFERROR((DD40/DC40),0)</f>
        <v/>
      </c>
      <c r="DK40" s="4">
        <f>IFERROR(((0+DB11+DB12+DB13+DB14+DB15+DB16+DB17+DB19+DB20+DB21+DB22+DB23+DB24+DB25+DB27+DB28+DB29+DB30+DB31+DB32+DB33+DB35+DB36+DB37+DB38+DB39+DB40)/T2),0)</f>
        <v/>
      </c>
      <c r="DL40" s="5">
        <f>IFERROR(ROUND(DB40/DD40,2),0)</f>
        <v/>
      </c>
      <c r="DM40" s="5">
        <f>IFERROR(ROUND(DB40/DE40,2),0)</f>
        <v/>
      </c>
      <c r="DN40" s="2" t="inlineStr">
        <is>
          <t>2023-10-16</t>
        </is>
      </c>
      <c r="DO40" s="5">
        <f>ROUND(0.0,2)</f>
        <v/>
      </c>
      <c r="DP40" s="3">
        <f>ROUND(15.0,2)</f>
        <v/>
      </c>
      <c r="DQ40" s="3">
        <f>ROUND(0.0,2)</f>
        <v/>
      </c>
      <c r="DR40" s="3">
        <f>ROUND(0.0,2)</f>
        <v/>
      </c>
      <c r="DS40" s="3">
        <f>ROUND(0.0,2)</f>
        <v/>
      </c>
      <c r="DT40" s="3">
        <f>ROUND(0.0,2)</f>
        <v/>
      </c>
      <c r="DU40" s="3">
        <f>ROUND(0.0,2)</f>
        <v/>
      </c>
      <c r="DV40" s="3">
        <f>ROUND(0.0,2)</f>
        <v/>
      </c>
      <c r="DW40" s="4">
        <f>IFERROR((DQ40/DP40),0)</f>
        <v/>
      </c>
      <c r="DX40" s="4">
        <f>IFERROR(((0+DO11+DO12+DO13+DO14+DO15+DO16+DO17+DO19+DO20+DO21+DO22+DO23+DO24+DO25+DO27+DO28+DO29+DO30+DO31+DO32+DO33+DO35+DO36+DO37+DO38+DO39+DO40)/T2),0)</f>
        <v/>
      </c>
      <c r="DY40" s="5">
        <f>IFERROR(ROUND(DO40/DQ40,2),0)</f>
        <v/>
      </c>
      <c r="DZ40" s="5">
        <f>IFERROR(ROUND(DO40/DR40,2),0)</f>
        <v/>
      </c>
      <c r="EA40" s="2" t="inlineStr">
        <is>
          <t>2023-10-16</t>
        </is>
      </c>
      <c r="EB40" s="5">
        <f>ROUND(2.91,2)</f>
        <v/>
      </c>
      <c r="EC40" s="3">
        <f>ROUND(11608.0,2)</f>
        <v/>
      </c>
      <c r="ED40" s="3">
        <f>ROUND(291.0,2)</f>
        <v/>
      </c>
      <c r="EE40" s="3">
        <f>ROUND(0.0,2)</f>
        <v/>
      </c>
      <c r="EF40" s="3">
        <f>ROUND(0.0,2)</f>
        <v/>
      </c>
      <c r="EG40" s="3">
        <f>ROUND(0.0,2)</f>
        <v/>
      </c>
      <c r="EH40" s="3">
        <f>ROUND(0.0,2)</f>
        <v/>
      </c>
      <c r="EI40" s="3">
        <f>ROUND(0.0,2)</f>
        <v/>
      </c>
      <c r="EJ40" s="4">
        <f>IFERROR((ED40/EC40),0)</f>
        <v/>
      </c>
      <c r="EK40" s="4">
        <f>IFERROR(((0+EB11+EB12+EB13+EB14+EB15+EB16+EB17+EB19+EB20+EB21+EB22+EB23+EB24+EB25+EB27+EB28+EB29+EB30+EB31+EB32+EB33+EB35+EB36+EB37+EB38+EB39+EB40)/T2),0)</f>
        <v/>
      </c>
      <c r="EL40" s="5">
        <f>IFERROR(ROUND(EB40/ED40,2),0)</f>
        <v/>
      </c>
      <c r="EM40" s="5">
        <f>IFERROR(ROUND(EB40/EE40,2),0)</f>
        <v/>
      </c>
      <c r="EN40" s="2" t="inlineStr">
        <is>
          <t>2023-10-16</t>
        </is>
      </c>
      <c r="EO40" s="5">
        <f>ROUND(0.03,2)</f>
        <v/>
      </c>
      <c r="EP40" s="3">
        <f>ROUND(92.0,2)</f>
        <v/>
      </c>
      <c r="EQ40" s="3">
        <f>ROUND(3.0,2)</f>
        <v/>
      </c>
      <c r="ER40" s="3">
        <f>ROUND(0.0,2)</f>
        <v/>
      </c>
      <c r="ES40" s="3">
        <f>ROUND(0.0,2)</f>
        <v/>
      </c>
      <c r="ET40" s="3">
        <f>ROUND(0.0,2)</f>
        <v/>
      </c>
      <c r="EU40" s="3">
        <f>ROUND(0.0,2)</f>
        <v/>
      </c>
      <c r="EV40" s="3">
        <f>ROUND(0.0,2)</f>
        <v/>
      </c>
      <c r="EW40" s="4">
        <f>IFERROR((EQ40/EP40),0)</f>
        <v/>
      </c>
      <c r="EX40" s="4">
        <f>IFERROR(((0+EO11+EO12+EO13+EO14+EO15+EO16+EO17+EO19+EO20+EO21+EO22+EO23+EO24+EO25+EO27+EO28+EO29+EO30+EO31+EO32+EO33+EO35+EO36+EO37+EO38+EO39+EO40)/T2),0)</f>
        <v/>
      </c>
      <c r="EY40" s="5">
        <f>IFERROR(ROUND(EO40/EQ40,2),0)</f>
        <v/>
      </c>
      <c r="EZ40" s="5">
        <f>IFERROR(ROUND(EO40/ER40,2),0)</f>
        <v/>
      </c>
      <c r="FA40" s="2" t="inlineStr">
        <is>
          <t>2023-10-16</t>
        </is>
      </c>
      <c r="FB40" s="5">
        <f>ROUND(0.25,2)</f>
        <v/>
      </c>
      <c r="FC40" s="3">
        <f>ROUND(1081.0,2)</f>
        <v/>
      </c>
      <c r="FD40" s="3">
        <f>ROUND(25.0,2)</f>
        <v/>
      </c>
      <c r="FE40" s="3">
        <f>ROUND(0.0,2)</f>
        <v/>
      </c>
      <c r="FF40" s="3">
        <f>ROUND(0.0,2)</f>
        <v/>
      </c>
      <c r="FG40" s="3">
        <f>ROUND(0.0,2)</f>
        <v/>
      </c>
      <c r="FH40" s="3">
        <f>ROUND(0.0,2)</f>
        <v/>
      </c>
      <c r="FI40" s="3">
        <f>ROUND(0.0,2)</f>
        <v/>
      </c>
      <c r="FJ40" s="4">
        <f>IFERROR((FD40/FC40),0)</f>
        <v/>
      </c>
      <c r="FK40" s="4">
        <f>IFERROR(((0+FB11+FB12+FB13+FB14+FB15+FB16+FB17+FB19+FB20+FB21+FB22+FB23+FB24+FB25+FB27+FB28+FB29+FB30+FB31+FB32+FB33+FB35+FB36+FB37+FB38+FB39+FB40)/T2),0)</f>
        <v/>
      </c>
      <c r="FL40" s="5">
        <f>IFERROR(ROUND(FB40/FD40,2),0)</f>
        <v/>
      </c>
      <c r="FM40" s="5">
        <f>IFERROR(ROUND(FB40/FE40,2),0)</f>
        <v/>
      </c>
      <c r="FN40" s="2" t="inlineStr">
        <is>
          <t>2023-10-16</t>
        </is>
      </c>
      <c r="FO40" s="5">
        <f>ROUND(0.18,2)</f>
        <v/>
      </c>
      <c r="FP40" s="3">
        <f>ROUND(379.0,2)</f>
        <v/>
      </c>
      <c r="FQ40" s="3">
        <f>ROUND(18.0,2)</f>
        <v/>
      </c>
      <c r="FR40" s="3">
        <f>ROUND(0.0,2)</f>
        <v/>
      </c>
      <c r="FS40" s="3">
        <f>ROUND(0.0,2)</f>
        <v/>
      </c>
      <c r="FT40" s="3">
        <f>ROUND(0.0,2)</f>
        <v/>
      </c>
      <c r="FU40" s="3">
        <f>ROUND(0.0,2)</f>
        <v/>
      </c>
      <c r="FV40" s="3">
        <f>ROUND(0.0,2)</f>
        <v/>
      </c>
      <c r="FW40" s="4">
        <f>IFERROR((FQ40/FP40),0)</f>
        <v/>
      </c>
      <c r="FX40" s="4">
        <f>IFERROR(((0+FO11+FO12+FO13+FO14+FO15+FO16+FO17+FO19+FO20+FO21+FO22+FO23+FO24+FO25+FO27+FO28+FO29+FO30+FO31+FO32+FO33+FO35+FO36+FO37+FO38+FO39+FO40)/T2),0)</f>
        <v/>
      </c>
      <c r="FY40" s="5">
        <f>IFERROR(ROUND(FO40/FQ40,2),0)</f>
        <v/>
      </c>
      <c r="FZ40" s="5">
        <f>IFERROR(ROUND(FO40/FR40,2),0)</f>
        <v/>
      </c>
      <c r="GA40" s="2" t="inlineStr">
        <is>
          <t>2023-10-16</t>
        </is>
      </c>
      <c r="GB40" s="5">
        <f>ROUND(0.0,2)</f>
        <v/>
      </c>
      <c r="GC40" s="3">
        <f>ROUND(27.0,2)</f>
        <v/>
      </c>
      <c r="GD40" s="3">
        <f>ROUND(0.0,2)</f>
        <v/>
      </c>
      <c r="GE40" s="3">
        <f>ROUND(0.0,2)</f>
        <v/>
      </c>
      <c r="GF40" s="3">
        <f>ROUND(0.0,2)</f>
        <v/>
      </c>
      <c r="GG40" s="3">
        <f>ROUND(0.0,2)</f>
        <v/>
      </c>
      <c r="GH40" s="3">
        <f>ROUND(0.0,2)</f>
        <v/>
      </c>
      <c r="GI40" s="3">
        <f>ROUND(0.0,2)</f>
        <v/>
      </c>
      <c r="GJ40" s="4">
        <f>IFERROR((GD40/GC40),0)</f>
        <v/>
      </c>
      <c r="GK40" s="4">
        <f>IFERROR(((0+GB11+GB12+GB13+GB14+GB15+GB16+GB17+GB19+GB20+GB21+GB22+GB23+GB24+GB25+GB27+GB28+GB29+GB30+GB31+GB32+GB33+GB35+GB36+GB37+GB38+GB39+GB40)/T2),0)</f>
        <v/>
      </c>
      <c r="GL40" s="5">
        <f>IFERROR(ROUND(GB40/GD40,2),0)</f>
        <v/>
      </c>
      <c r="GM40" s="5">
        <f>IFERROR(ROUND(GB40/GE40,2),0)</f>
        <v/>
      </c>
      <c r="GN40" s="2" t="inlineStr">
        <is>
          <t>2023-10-16</t>
        </is>
      </c>
      <c r="GO40" s="5">
        <f>ROUND(0.05,2)</f>
        <v/>
      </c>
      <c r="GP40" s="3">
        <f>ROUND(129.0,2)</f>
        <v/>
      </c>
      <c r="GQ40" s="3">
        <f>ROUND(5.0,2)</f>
        <v/>
      </c>
      <c r="GR40" s="3">
        <f>ROUND(0.0,2)</f>
        <v/>
      </c>
      <c r="GS40" s="3">
        <f>ROUND(0.0,2)</f>
        <v/>
      </c>
      <c r="GT40" s="3">
        <f>ROUND(0.0,2)</f>
        <v/>
      </c>
      <c r="GU40" s="3">
        <f>ROUND(0.0,2)</f>
        <v/>
      </c>
      <c r="GV40" s="3">
        <f>ROUND(0.0,2)</f>
        <v/>
      </c>
      <c r="GW40" s="4">
        <f>IFERROR((GQ40/GP40),0)</f>
        <v/>
      </c>
      <c r="GX40" s="4">
        <f>IFERROR(((0+GO11+GO12+GO13+GO14+GO15+GO16+GO17+GO19+GO20+GO21+GO22+GO23+GO24+GO25+GO27+GO28+GO29+GO30+GO31+GO32+GO33+GO35+GO36+GO37+GO38+GO39+GO40)/T2),0)</f>
        <v/>
      </c>
      <c r="GY40" s="5">
        <f>IFERROR(ROUND(GO40/GQ40,2),0)</f>
        <v/>
      </c>
      <c r="GZ40" s="5">
        <f>IFERROR(ROUND(GO40/GR40,2),0)</f>
        <v/>
      </c>
      <c r="HA40" s="2" t="inlineStr">
        <is>
          <t>2023-10-16</t>
        </is>
      </c>
      <c r="HB40" s="5">
        <f>ROUND(7.17,2)</f>
        <v/>
      </c>
      <c r="HC40" s="3">
        <f>ROUND(10403.0,2)</f>
        <v/>
      </c>
      <c r="HD40" s="3">
        <f>ROUND(717.0,2)</f>
        <v/>
      </c>
      <c r="HE40" s="3">
        <f>ROUND(0.0,2)</f>
        <v/>
      </c>
      <c r="HF40" s="3">
        <f>ROUND(0.0,2)</f>
        <v/>
      </c>
      <c r="HG40" s="3">
        <f>ROUND(0.0,2)</f>
        <v/>
      </c>
      <c r="HH40" s="3">
        <f>ROUND(0.0,2)</f>
        <v/>
      </c>
      <c r="HI40" s="3">
        <f>ROUND(0.0,2)</f>
        <v/>
      </c>
      <c r="HJ40" s="4">
        <f>IFERROR((HD40/HC40),0)</f>
        <v/>
      </c>
      <c r="HK40" s="4">
        <f>IFERROR(((0+HB11+HB12+HB13+HB14+HB15+HB16+HB17+HB19+HB20+HB21+HB22+HB23+HB24+HB25+HB27+HB28+HB29+HB30+HB31+HB32+HB33+HB35+HB36+HB37+HB38+HB39+HB40)/T2),0)</f>
        <v/>
      </c>
      <c r="HL40" s="5">
        <f>IFERROR(ROUND(HB40/HD40,2),0)</f>
        <v/>
      </c>
      <c r="HM40" s="5">
        <f>IFERROR(ROUND(HB40/HE40,2),0)</f>
        <v/>
      </c>
      <c r="HN40" s="2" t="inlineStr">
        <is>
          <t>2023-10-16</t>
        </is>
      </c>
      <c r="HO40" s="5">
        <f>ROUND(0.01,2)</f>
        <v/>
      </c>
      <c r="HP40" s="3">
        <f>ROUND(24.0,2)</f>
        <v/>
      </c>
      <c r="HQ40" s="3">
        <f>ROUND(1.0,2)</f>
        <v/>
      </c>
      <c r="HR40" s="3">
        <f>ROUND(0.0,2)</f>
        <v/>
      </c>
      <c r="HS40" s="3">
        <f>ROUND(0.0,2)</f>
        <v/>
      </c>
      <c r="HT40" s="3">
        <f>ROUND(0.0,2)</f>
        <v/>
      </c>
      <c r="HU40" s="3">
        <f>ROUND(0.0,2)</f>
        <v/>
      </c>
      <c r="HV40" s="3">
        <f>ROUND(0.0,2)</f>
        <v/>
      </c>
      <c r="HW40" s="4">
        <f>IFERROR((HQ40/HP40),0)</f>
        <v/>
      </c>
      <c r="HX40" s="4">
        <f>IFERROR(((0+HO11+HO12+HO13+HO14+HO15+HO16+HO17+HO19+HO20+HO21+HO22+HO23+HO24+HO25+HO27+HO28+HO29+HO30+HO31+HO32+HO33+HO35+HO36+HO37+HO38+HO39+HO40)/T2),0)</f>
        <v/>
      </c>
      <c r="HY40" s="5">
        <f>IFERROR(ROUND(HO40/HQ40,2),0)</f>
        <v/>
      </c>
      <c r="HZ40" s="5">
        <f>IFERROR(ROUND(HO40/HR40,2),0)</f>
        <v/>
      </c>
      <c r="IA40" s="2" t="inlineStr">
        <is>
          <t>2023-10-16</t>
        </is>
      </c>
      <c r="IB40" s="5">
        <f>ROUND(0.14,2)</f>
        <v/>
      </c>
      <c r="IC40" s="3">
        <f>ROUND(79.0,2)</f>
        <v/>
      </c>
      <c r="ID40" s="3">
        <f>ROUND(14.0,2)</f>
        <v/>
      </c>
      <c r="IE40" s="3">
        <f>ROUND(0.0,2)</f>
        <v/>
      </c>
      <c r="IF40" s="3">
        <f>ROUND(0.0,2)</f>
        <v/>
      </c>
      <c r="IG40" s="3">
        <f>ROUND(0.0,2)</f>
        <v/>
      </c>
      <c r="IH40" s="3">
        <f>ROUND(0.0,2)</f>
        <v/>
      </c>
      <c r="II40" s="3">
        <f>ROUND(0.0,2)</f>
        <v/>
      </c>
      <c r="IJ40" s="4">
        <f>IFERROR((ID40/IC40),0)</f>
        <v/>
      </c>
      <c r="IK40" s="4">
        <f>IFERROR(((0+IB11+IB12+IB13+IB14+IB15+IB16+IB17+IB19+IB20+IB21+IB22+IB23+IB24+IB25+IB27+IB28+IB29+IB30+IB31+IB32+IB33+IB35+IB36+IB37+IB38+IB39+IB40)/T2),0)</f>
        <v/>
      </c>
      <c r="IL40" s="5">
        <f>IFERROR(ROUND(IB40/ID40,2),0)</f>
        <v/>
      </c>
      <c r="IM40" s="5">
        <f>IFERROR(ROUND(IB40/IE40,2),0)</f>
        <v/>
      </c>
      <c r="IN40" s="2" t="inlineStr">
        <is>
          <t>2023-10-16</t>
        </is>
      </c>
      <c r="IO40" s="5">
        <f>ROUND(1.03,2)</f>
        <v/>
      </c>
      <c r="IP40" s="3">
        <f>ROUND(3409.0,2)</f>
        <v/>
      </c>
      <c r="IQ40" s="3">
        <f>ROUND(103.0,2)</f>
        <v/>
      </c>
      <c r="IR40" s="3">
        <f>ROUND(0.0,2)</f>
        <v/>
      </c>
      <c r="IS40" s="3">
        <f>ROUND(0.0,2)</f>
        <v/>
      </c>
      <c r="IT40" s="3">
        <f>ROUND(0.0,2)</f>
        <v/>
      </c>
      <c r="IU40" s="3">
        <f>ROUND(0.0,2)</f>
        <v/>
      </c>
      <c r="IV40" s="3">
        <f>ROUND(0.0,2)</f>
        <v/>
      </c>
      <c r="IW40" s="4">
        <f>IFERROR((IQ40/IP40),0)</f>
        <v/>
      </c>
      <c r="IX40" s="4">
        <f>IFERROR(((0+IO11+IO12+IO13+IO14+IO15+IO16+IO17+IO19+IO20+IO21+IO22+IO23+IO24+IO25+IO27+IO28+IO29+IO30+IO31+IO32+IO33+IO35+IO36+IO37+IO38+IO39+IO40)/T2),0)</f>
        <v/>
      </c>
      <c r="IY40" s="5">
        <f>IFERROR(ROUND(IO40/IQ40,2),0)</f>
        <v/>
      </c>
      <c r="IZ40" s="5">
        <f>IFERROR(ROUND(IO40/IR40,2),0)</f>
        <v/>
      </c>
      <c r="JA40" s="2" t="inlineStr">
        <is>
          <t>2023-10-16</t>
        </is>
      </c>
      <c r="JB40" s="5">
        <f>ROUND(0.05,2)</f>
        <v/>
      </c>
      <c r="JC40" s="3">
        <f>ROUND(119.0,2)</f>
        <v/>
      </c>
      <c r="JD40" s="3">
        <f>ROUND(5.0,2)</f>
        <v/>
      </c>
      <c r="JE40" s="3">
        <f>ROUND(0.0,2)</f>
        <v/>
      </c>
      <c r="JF40" s="3">
        <f>ROUND(0.0,2)</f>
        <v/>
      </c>
      <c r="JG40" s="3">
        <f>ROUND(0.0,2)</f>
        <v/>
      </c>
      <c r="JH40" s="3">
        <f>ROUND(0.0,2)</f>
        <v/>
      </c>
      <c r="JI40" s="3">
        <f>ROUND(0.0,2)</f>
        <v/>
      </c>
      <c r="JJ40" s="4">
        <f>IFERROR((JD40/JC40),0)</f>
        <v/>
      </c>
      <c r="JK40" s="4">
        <f>IFERROR(((0+JB11+JB12+JB13+JB14+JB15+JB16+JB17+JB19+JB20+JB21+JB22+JB23+JB24+JB25+JB27+JB28+JB29+JB30+JB31+JB32+JB33+JB35+JB36+JB37+JB38+JB39+JB40)/T2),0)</f>
        <v/>
      </c>
      <c r="JL40" s="5">
        <f>IFERROR(ROUND(JB40/JD40,2),0)</f>
        <v/>
      </c>
      <c r="JM40" s="5">
        <f>IFERROR(ROUND(JB40/JE40,2),0)</f>
        <v/>
      </c>
      <c r="JN40" s="2" t="inlineStr">
        <is>
          <t>2023-10-16</t>
        </is>
      </c>
      <c r="JO40" s="5">
        <f>ROUND(0.04,2)</f>
        <v/>
      </c>
      <c r="JP40" s="3">
        <f>ROUND(69.0,2)</f>
        <v/>
      </c>
      <c r="JQ40" s="3">
        <f>ROUND(4.0,2)</f>
        <v/>
      </c>
      <c r="JR40" s="3">
        <f>ROUND(0.0,2)</f>
        <v/>
      </c>
      <c r="JS40" s="3">
        <f>ROUND(0.0,2)</f>
        <v/>
      </c>
      <c r="JT40" s="3">
        <f>ROUND(0.0,2)</f>
        <v/>
      </c>
      <c r="JU40" s="3">
        <f>ROUND(0.0,2)</f>
        <v/>
      </c>
      <c r="JV40" s="3">
        <f>ROUND(0.0,2)</f>
        <v/>
      </c>
      <c r="JW40" s="4">
        <f>IFERROR((JQ40/JP40),0)</f>
        <v/>
      </c>
      <c r="JX40" s="4">
        <f>IFERROR(((0+JO11+JO12+JO13+JO14+JO15+JO16+JO17+JO19+JO20+JO21+JO22+JO23+JO24+JO25+JO27+JO28+JO29+JO30+JO31+JO32+JO33+JO35+JO36+JO37+JO38+JO39+JO40)/T2),0)</f>
        <v/>
      </c>
      <c r="JY40" s="5">
        <f>IFERROR(ROUND(JO40/JQ40,2),0)</f>
        <v/>
      </c>
      <c r="JZ40" s="5">
        <f>IFERROR(ROUND(JO40/JR40,2),0)</f>
        <v/>
      </c>
      <c r="KA40" s="2" t="inlineStr">
        <is>
          <t>2023-10-16</t>
        </is>
      </c>
      <c r="KB40" s="5">
        <f>ROUND(0.04,2)</f>
        <v/>
      </c>
      <c r="KC40" s="3">
        <f>ROUND(68.0,2)</f>
        <v/>
      </c>
      <c r="KD40" s="3">
        <f>ROUND(4.0,2)</f>
        <v/>
      </c>
      <c r="KE40" s="3">
        <f>ROUND(0.0,2)</f>
        <v/>
      </c>
      <c r="KF40" s="3">
        <f>ROUND(0.0,2)</f>
        <v/>
      </c>
      <c r="KG40" s="3">
        <f>ROUND(0.0,2)</f>
        <v/>
      </c>
      <c r="KH40" s="3">
        <f>ROUND(0.0,2)</f>
        <v/>
      </c>
      <c r="KI40" s="3">
        <f>ROUND(0.0,2)</f>
        <v/>
      </c>
      <c r="KJ40" s="4">
        <f>IFERROR((KD40/KC40),0)</f>
        <v/>
      </c>
      <c r="KK40" s="4">
        <f>IFERROR(((0+KB11+KB12+KB13+KB14+KB15+KB16+KB17+KB19+KB20+KB21+KB22+KB23+KB24+KB25+KB27+KB28+KB29+KB30+KB31+KB32+KB33+KB35+KB36+KB37+KB38+KB39+KB40)/T2),0)</f>
        <v/>
      </c>
      <c r="KL40" s="5">
        <f>IFERROR(ROUND(KB40/KD40,2),0)</f>
        <v/>
      </c>
      <c r="KM40" s="5">
        <f>IFERROR(ROUND(KB40/KE40,2),0)</f>
        <v/>
      </c>
      <c r="KN40" s="2" t="inlineStr">
        <is>
          <t>2023-10-16</t>
        </is>
      </c>
      <c r="KO40" s="5">
        <f>ROUND(1.87,2)</f>
        <v/>
      </c>
      <c r="KP40" s="3">
        <f>ROUND(8719.0,2)</f>
        <v/>
      </c>
      <c r="KQ40" s="3">
        <f>ROUND(187.0,2)</f>
        <v/>
      </c>
      <c r="KR40" s="3">
        <f>ROUND(0.0,2)</f>
        <v/>
      </c>
      <c r="KS40" s="3">
        <f>ROUND(0.0,2)</f>
        <v/>
      </c>
      <c r="KT40" s="3">
        <f>ROUND(0.0,2)</f>
        <v/>
      </c>
      <c r="KU40" s="3">
        <f>ROUND(0.0,2)</f>
        <v/>
      </c>
      <c r="KV40" s="3">
        <f>ROUND(0.0,2)</f>
        <v/>
      </c>
      <c r="KW40" s="4">
        <f>IFERROR((KQ40/KP40),0)</f>
        <v/>
      </c>
      <c r="KX40" s="4">
        <f>IFERROR(((0+KO11+KO12+KO13+KO14+KO15+KO16+KO17+KO19+KO20+KO21+KO22+KO23+KO24+KO25+KO27+KO28+KO29+KO30+KO31+KO32+KO33+KO35+KO36+KO37+KO38+KO39+KO40)/T2),0)</f>
        <v/>
      </c>
      <c r="KY40" s="5">
        <f>IFERROR(ROUND(KO40/KQ40,2),0)</f>
        <v/>
      </c>
      <c r="KZ40" s="5">
        <f>IFERROR(ROUND(KO40/KR40,2),0)</f>
        <v/>
      </c>
      <c r="LA40" s="2" t="inlineStr">
        <is>
          <t>2023-10-16</t>
        </is>
      </c>
      <c r="LB40" s="5">
        <f>ROUND(0.91,2)</f>
        <v/>
      </c>
      <c r="LC40" s="3">
        <f>ROUND(3111.0,2)</f>
        <v/>
      </c>
      <c r="LD40" s="3">
        <f>ROUND(91.0,2)</f>
        <v/>
      </c>
      <c r="LE40" s="3">
        <f>ROUND(0.0,2)</f>
        <v/>
      </c>
      <c r="LF40" s="3">
        <f>ROUND(0.0,2)</f>
        <v/>
      </c>
      <c r="LG40" s="3">
        <f>ROUND(0.0,2)</f>
        <v/>
      </c>
      <c r="LH40" s="3">
        <f>ROUND(0.0,2)</f>
        <v/>
      </c>
      <c r="LI40" s="3">
        <f>ROUND(0.0,2)</f>
        <v/>
      </c>
      <c r="LJ40" s="4">
        <f>IFERROR((LD40/LC40),0)</f>
        <v/>
      </c>
      <c r="LK40" s="4">
        <f>IFERROR(((0+LB11+LB12+LB13+LB14+LB15+LB16+LB17+LB19+LB20+LB21+LB22+LB23+LB24+LB25+LB27+LB28+LB29+LB30+LB31+LB32+LB33+LB35+LB36+LB37+LB38+LB39+LB40)/T2),0)</f>
        <v/>
      </c>
      <c r="LL40" s="5">
        <f>IFERROR(ROUND(LB40/LD40,2),0)</f>
        <v/>
      </c>
      <c r="LM40" s="5">
        <f>IFERROR(ROUND(LB40/LE40,2),0)</f>
        <v/>
      </c>
      <c r="LN40" s="2" t="inlineStr">
        <is>
          <t>2023-10-16</t>
        </is>
      </c>
      <c r="LO40" s="5">
        <f>ROUND(0.47,2)</f>
        <v/>
      </c>
      <c r="LP40" s="3">
        <f>ROUND(715.0,2)</f>
        <v/>
      </c>
      <c r="LQ40" s="3">
        <f>ROUND(47.0,2)</f>
        <v/>
      </c>
      <c r="LR40" s="3">
        <f>ROUND(0.0,2)</f>
        <v/>
      </c>
      <c r="LS40" s="3">
        <f>ROUND(0.0,2)</f>
        <v/>
      </c>
      <c r="LT40" s="3">
        <f>ROUND(0.0,2)</f>
        <v/>
      </c>
      <c r="LU40" s="3">
        <f>ROUND(0.0,2)</f>
        <v/>
      </c>
      <c r="LV40" s="3">
        <f>ROUND(0.0,2)</f>
        <v/>
      </c>
      <c r="LW40" s="4">
        <f>IFERROR((LQ40/LP40),0)</f>
        <v/>
      </c>
      <c r="LX40" s="4">
        <f>IFERROR(((0+LO11+LO12+LO13+LO14+LO15+LO16+LO17+LO19+LO20+LO21+LO22+LO23+LO24+LO25+LO27+LO28+LO29+LO30+LO31+LO32+LO33+LO35+LO36+LO37+LO38+LO39+LO40)/T2),0)</f>
        <v/>
      </c>
      <c r="LY40" s="5">
        <f>IFERROR(ROUND(LO40/LQ40,2),0)</f>
        <v/>
      </c>
      <c r="LZ40" s="5">
        <f>IFERROR(ROUND(LO40/LR40,2),0)</f>
        <v/>
      </c>
      <c r="MA40" s="2" t="inlineStr">
        <is>
          <t>2023-10-16</t>
        </is>
      </c>
      <c r="MB40" s="5">
        <f>ROUND(0.54,2)</f>
        <v/>
      </c>
      <c r="MC40" s="3">
        <f>ROUND(2075.0,2)</f>
        <v/>
      </c>
      <c r="MD40" s="3">
        <f>ROUND(54.0,2)</f>
        <v/>
      </c>
      <c r="ME40" s="3">
        <f>ROUND(0.0,2)</f>
        <v/>
      </c>
      <c r="MF40" s="3">
        <f>ROUND(0.0,2)</f>
        <v/>
      </c>
      <c r="MG40" s="3">
        <f>ROUND(0.0,2)</f>
        <v/>
      </c>
      <c r="MH40" s="3">
        <f>ROUND(0.0,2)</f>
        <v/>
      </c>
      <c r="MI40" s="3">
        <f>ROUND(0.0,2)</f>
        <v/>
      </c>
      <c r="MJ40" s="4">
        <f>IFERROR((MD40/MC40),0)</f>
        <v/>
      </c>
      <c r="MK40" s="4">
        <f>IFERROR(((0+MB11+MB12+MB13+MB14+MB15+MB16+MB17+MB19+MB20+MB21+MB22+MB23+MB24+MB25+MB27+MB28+MB29+MB30+MB31+MB32+MB33+MB35+MB36+MB37+MB38+MB39+MB40)/T2),0)</f>
        <v/>
      </c>
      <c r="ML40" s="5">
        <f>IFERROR(ROUND(MB40/MD40,2),0)</f>
        <v/>
      </c>
      <c r="MM40" s="5">
        <f>IFERROR(ROUND(MB40/ME40,2),0)</f>
        <v/>
      </c>
      <c r="MN40" s="2" t="inlineStr">
        <is>
          <t>2023-10-16</t>
        </is>
      </c>
      <c r="MO40" s="5">
        <f>ROUND(4.109999999999999,2)</f>
        <v/>
      </c>
      <c r="MP40" s="3">
        <f>ROUND(6366.0,2)</f>
        <v/>
      </c>
      <c r="MQ40" s="3">
        <f>ROUND(411.0,2)</f>
        <v/>
      </c>
      <c r="MR40" s="3">
        <f>ROUND(0.0,2)</f>
        <v/>
      </c>
      <c r="MS40" s="3">
        <f>ROUND(0.0,2)</f>
        <v/>
      </c>
      <c r="MT40" s="3">
        <f>ROUND(0.0,2)</f>
        <v/>
      </c>
      <c r="MU40" s="3">
        <f>ROUND(0.0,2)</f>
        <v/>
      </c>
      <c r="MV40" s="3">
        <f>ROUND(0.0,2)</f>
        <v/>
      </c>
      <c r="MW40" s="4">
        <f>IFERROR((MQ40/MP40),0)</f>
        <v/>
      </c>
      <c r="MX40" s="4">
        <f>IFERROR(((0+MO11+MO12+MO13+MO14+MO15+MO16+MO17+MO19+MO20+MO21+MO22+MO23+MO24+MO25+MO27+MO28+MO29+MO30+MO31+MO32+MO33+MO35+MO36+MO37+MO38+MO39+MO40)/T2),0)</f>
        <v/>
      </c>
      <c r="MY40" s="5">
        <f>IFERROR(ROUND(MO40/MQ40,2),0)</f>
        <v/>
      </c>
      <c r="MZ40" s="5">
        <f>IFERROR(ROUND(MO40/MR40,2),0)</f>
        <v/>
      </c>
      <c r="NA40" s="2" t="inlineStr">
        <is>
          <t>2023-10-16</t>
        </is>
      </c>
      <c r="NB40" s="5">
        <f>ROUND(1.55,2)</f>
        <v/>
      </c>
      <c r="NC40" s="3">
        <f>ROUND(6246.0,2)</f>
        <v/>
      </c>
      <c r="ND40" s="3">
        <f>ROUND(155.0,2)</f>
        <v/>
      </c>
      <c r="NE40" s="3">
        <f>ROUND(0.0,2)</f>
        <v/>
      </c>
      <c r="NF40" s="3">
        <f>ROUND(0.0,2)</f>
        <v/>
      </c>
      <c r="NG40" s="3">
        <f>ROUND(0.0,2)</f>
        <v/>
      </c>
      <c r="NH40" s="3">
        <f>ROUND(0.0,2)</f>
        <v/>
      </c>
      <c r="NI40" s="3">
        <f>ROUND(0.0,2)</f>
        <v/>
      </c>
      <c r="NJ40" s="4">
        <f>IFERROR((ND40/NC40),0)</f>
        <v/>
      </c>
      <c r="NK40" s="4">
        <f>IFERROR(((0+NB11+NB12+NB13+NB14+NB15+NB16+NB17+NB19+NB20+NB21+NB22+NB23+NB24+NB25+NB27+NB28+NB29+NB30+NB31+NB32+NB33+NB35+NB36+NB37+NB38+NB39+NB40)/T2),0)</f>
        <v/>
      </c>
      <c r="NL40" s="5">
        <f>IFERROR(ROUND(NB40/ND40,2),0)</f>
        <v/>
      </c>
      <c r="NM40" s="5">
        <f>IFERROR(ROUND(NB40/NE40,2),0)</f>
        <v/>
      </c>
      <c r="NN40" s="2" t="inlineStr">
        <is>
          <t>2023-10-16</t>
        </is>
      </c>
      <c r="NO40" s="5">
        <f>ROUND(0.0,2)</f>
        <v/>
      </c>
      <c r="NP40" s="3">
        <f>ROUND(59.0,2)</f>
        <v/>
      </c>
      <c r="NQ40" s="3">
        <f>ROUND(0.0,2)</f>
        <v/>
      </c>
      <c r="NR40" s="3">
        <f>ROUND(0.0,2)</f>
        <v/>
      </c>
      <c r="NS40" s="3">
        <f>ROUND(0.0,2)</f>
        <v/>
      </c>
      <c r="NT40" s="3">
        <f>ROUND(0.0,2)</f>
        <v/>
      </c>
      <c r="NU40" s="3">
        <f>ROUND(0.0,2)</f>
        <v/>
      </c>
      <c r="NV40" s="3">
        <f>ROUND(0.0,2)</f>
        <v/>
      </c>
      <c r="NW40" s="4">
        <f>IFERROR((NQ40/NP40),0)</f>
        <v/>
      </c>
      <c r="NX40" s="4">
        <f>IFERROR(((0+NO11+NO12+NO13+NO14+NO15+NO16+NO17+NO19+NO20+NO21+NO22+NO23+NO24+NO25+NO27+NO28+NO29+NO30+NO31+NO32+NO33+NO35+NO36+NO37+NO38+NO39+NO40)/T2),0)</f>
        <v/>
      </c>
      <c r="NY40" s="5">
        <f>IFERROR(ROUND(NO40/NQ40,2),0)</f>
        <v/>
      </c>
      <c r="NZ40" s="5">
        <f>IFERROR(ROUND(NO40/NR40,2),0)</f>
        <v/>
      </c>
      <c r="OA40" s="2" t="inlineStr">
        <is>
          <t>2023-10-16</t>
        </is>
      </c>
      <c r="OB40" s="5">
        <f>ROUND(0.01,2)</f>
        <v/>
      </c>
      <c r="OC40" s="3">
        <f>ROUND(12.0,2)</f>
        <v/>
      </c>
      <c r="OD40" s="3">
        <f>ROUND(1.0,2)</f>
        <v/>
      </c>
      <c r="OE40" s="3">
        <f>ROUND(0.0,2)</f>
        <v/>
      </c>
      <c r="OF40" s="3">
        <f>ROUND(0.0,2)</f>
        <v/>
      </c>
      <c r="OG40" s="3">
        <f>ROUND(0.0,2)</f>
        <v/>
      </c>
      <c r="OH40" s="3">
        <f>ROUND(0.0,2)</f>
        <v/>
      </c>
      <c r="OI40" s="3">
        <f>ROUND(0.0,2)</f>
        <v/>
      </c>
      <c r="OJ40" s="4">
        <f>IFERROR((OD40/OC40),0)</f>
        <v/>
      </c>
      <c r="OK40" s="4">
        <f>IFERROR(((0+OB11+OB12+OB13+OB14+OB15+OB16+OB17+OB19+OB20+OB21+OB22+OB23+OB24+OB25+OB27+OB28+OB29+OB30+OB31+OB32+OB33+OB35+OB36+OB37+OB38+OB39+OB40)/T2),0)</f>
        <v/>
      </c>
      <c r="OL40" s="5">
        <f>IFERROR(ROUND(OB40/OD40,2),0)</f>
        <v/>
      </c>
      <c r="OM40" s="5">
        <f>IFERROR(ROUND(OB40/OE40,2),0)</f>
        <v/>
      </c>
      <c r="ON40" s="2" t="inlineStr">
        <is>
          <t>2023-10-16</t>
        </is>
      </c>
      <c r="OO40" s="5">
        <f>ROUND(0.09000000000000001,2)</f>
        <v/>
      </c>
      <c r="OP40" s="3">
        <f>ROUND(86.0,2)</f>
        <v/>
      </c>
      <c r="OQ40" s="3">
        <f>ROUND(9.0,2)</f>
        <v/>
      </c>
      <c r="OR40" s="3">
        <f>ROUND(0.0,2)</f>
        <v/>
      </c>
      <c r="OS40" s="3">
        <f>ROUND(0.0,2)</f>
        <v/>
      </c>
      <c r="OT40" s="3">
        <f>ROUND(0.0,2)</f>
        <v/>
      </c>
      <c r="OU40" s="3">
        <f>ROUND(0.0,2)</f>
        <v/>
      </c>
      <c r="OV40" s="3">
        <f>ROUND(0.0,2)</f>
        <v/>
      </c>
      <c r="OW40" s="4">
        <f>IFERROR((OQ40/OP40),0)</f>
        <v/>
      </c>
      <c r="OX40" s="4">
        <f>IFERROR(((0+OO11+OO12+OO13+OO14+OO15+OO16+OO17+OO19+OO20+OO21+OO22+OO23+OO24+OO25+OO27+OO28+OO29+OO30+OO31+OO32+OO33+OO35+OO36+OO37+OO38+OO39+OO40)/T2),0)</f>
        <v/>
      </c>
      <c r="OY40" s="5">
        <f>IFERROR(ROUND(OO40/OQ40,2),0)</f>
        <v/>
      </c>
      <c r="OZ40" s="5">
        <f>IFERROR(ROUND(OO40/OR40,2),0)</f>
        <v/>
      </c>
      <c r="PA40" s="2" t="inlineStr">
        <is>
          <t>2023-10-16</t>
        </is>
      </c>
      <c r="PB40" s="5">
        <f>ROUND(0.73,2)</f>
        <v/>
      </c>
      <c r="PC40" s="3">
        <f>ROUND(723.0,2)</f>
        <v/>
      </c>
      <c r="PD40" s="3">
        <f>ROUND(73.0,2)</f>
        <v/>
      </c>
      <c r="PE40" s="3">
        <f>ROUND(0.0,2)</f>
        <v/>
      </c>
      <c r="PF40" s="3">
        <f>ROUND(0.0,2)</f>
        <v/>
      </c>
      <c r="PG40" s="3">
        <f>ROUND(0.0,2)</f>
        <v/>
      </c>
      <c r="PH40" s="3">
        <f>ROUND(0.0,2)</f>
        <v/>
      </c>
      <c r="PI40" s="3">
        <f>ROUND(0.0,2)</f>
        <v/>
      </c>
      <c r="PJ40" s="4">
        <f>IFERROR((PD40/PC40),0)</f>
        <v/>
      </c>
      <c r="PK40" s="4">
        <f>IFERROR(((0+PB11+PB12+PB13+PB14+PB15+PB16+PB17+PB19+PB20+PB21+PB22+PB23+PB24+PB25+PB27+PB28+PB29+PB30+PB31+PB32+PB33+PB35+PB36+PB37+PB38+PB39+PB40)/T2),0)</f>
        <v/>
      </c>
      <c r="PL40" s="5">
        <f>IFERROR(ROUND(PB40/PD40,2),0)</f>
        <v/>
      </c>
      <c r="PM40" s="5">
        <f>IFERROR(ROUND(PB40/PE40,2),0)</f>
        <v/>
      </c>
      <c r="PN40" s="2" t="inlineStr">
        <is>
          <t>2023-10-16</t>
        </is>
      </c>
      <c r="PO40" s="5">
        <f>ROUND(4.0,2)</f>
        <v/>
      </c>
      <c r="PP40" s="3">
        <f>ROUND(4865.0,2)</f>
        <v/>
      </c>
      <c r="PQ40" s="3">
        <f>ROUND(400.0,2)</f>
        <v/>
      </c>
      <c r="PR40" s="3">
        <f>ROUND(0.0,2)</f>
        <v/>
      </c>
      <c r="PS40" s="3">
        <f>ROUND(0.0,2)</f>
        <v/>
      </c>
      <c r="PT40" s="3">
        <f>ROUND(0.0,2)</f>
        <v/>
      </c>
      <c r="PU40" s="3">
        <f>ROUND(0.0,2)</f>
        <v/>
      </c>
      <c r="PV40" s="3">
        <f>ROUND(0.0,2)</f>
        <v/>
      </c>
      <c r="PW40" s="4">
        <f>IFERROR((PQ40/PP40),0)</f>
        <v/>
      </c>
      <c r="PX40" s="4">
        <f>IFERROR(((0+PO11+PO12+PO13+PO14+PO15+PO16+PO17+PO19+PO20+PO21+PO22+PO23+PO24+PO25+PO27+PO28+PO29+PO30+PO31+PO32+PO33+PO35+PO36+PO37+PO38+PO39+PO40)/T2),0)</f>
        <v/>
      </c>
      <c r="PY40" s="5">
        <f>IFERROR(ROUND(PO40/PQ40,2),0)</f>
        <v/>
      </c>
      <c r="PZ40" s="5">
        <f>IFERROR(ROUND(PO40/PR40,2),0)</f>
        <v/>
      </c>
      <c r="QA40" s="2" t="inlineStr">
        <is>
          <t>2023-10-16</t>
        </is>
      </c>
      <c r="QB40" s="5">
        <f>ROUND(0.01,2)</f>
        <v/>
      </c>
      <c r="QC40" s="3">
        <f>ROUND(42.0,2)</f>
        <v/>
      </c>
      <c r="QD40" s="3">
        <f>ROUND(1.0,2)</f>
        <v/>
      </c>
      <c r="QE40" s="3">
        <f>ROUND(0.0,2)</f>
        <v/>
      </c>
      <c r="QF40" s="3">
        <f>ROUND(0.0,2)</f>
        <v/>
      </c>
      <c r="QG40" s="3">
        <f>ROUND(0.0,2)</f>
        <v/>
      </c>
      <c r="QH40" s="3">
        <f>ROUND(0.0,2)</f>
        <v/>
      </c>
      <c r="QI40" s="3">
        <f>ROUND(0.0,2)</f>
        <v/>
      </c>
      <c r="QJ40" s="4">
        <f>IFERROR((QD40/QC40),0)</f>
        <v/>
      </c>
      <c r="QK40" s="4">
        <f>IFERROR(((0+QB11+QB12+QB13+QB14+QB15+QB16+QB17+QB19+QB20+QB21+QB22+QB23+QB24+QB25+QB27+QB28+QB29+QB30+QB31+QB32+QB33+QB35+QB36+QB37+QB38+QB39+QB40)/T2),0)</f>
        <v/>
      </c>
      <c r="QL40" s="5">
        <f>IFERROR(ROUND(QB40/QD40,2),0)</f>
        <v/>
      </c>
      <c r="QM40" s="5">
        <f>IFERROR(ROUND(QB40/QE40,2),0)</f>
        <v/>
      </c>
      <c r="QN40" s="2" t="inlineStr">
        <is>
          <t>2023-10-16</t>
        </is>
      </c>
      <c r="QO40" s="5">
        <f>ROUND(0.08,2)</f>
        <v/>
      </c>
      <c r="QP40" s="3">
        <f>ROUND(141.0,2)</f>
        <v/>
      </c>
      <c r="QQ40" s="3">
        <f>ROUND(8.0,2)</f>
        <v/>
      </c>
      <c r="QR40" s="3">
        <f>ROUND(0.0,2)</f>
        <v/>
      </c>
      <c r="QS40" s="3">
        <f>ROUND(0.0,2)</f>
        <v/>
      </c>
      <c r="QT40" s="3">
        <f>ROUND(0.0,2)</f>
        <v/>
      </c>
      <c r="QU40" s="3">
        <f>ROUND(0.0,2)</f>
        <v/>
      </c>
      <c r="QV40" s="3">
        <f>ROUND(0.0,2)</f>
        <v/>
      </c>
      <c r="QW40" s="4">
        <f>IFERROR((QQ40/QP40),0)</f>
        <v/>
      </c>
      <c r="QX40" s="4">
        <f>IFERROR(((0+QO11+QO12+QO13+QO14+QO15+QO16+QO17+QO19+QO20+QO21+QO22+QO23+QO24+QO25+QO27+QO28+QO29+QO30+QO31+QO32+QO33+QO35+QO36+QO37+QO38+QO39+QO40)/T2),0)</f>
        <v/>
      </c>
      <c r="QY40" s="5">
        <f>IFERROR(ROUND(QO40/QQ40,2),0)</f>
        <v/>
      </c>
      <c r="QZ40" s="5">
        <f>IFERROR(ROUND(QO40/QR40,2),0)</f>
        <v/>
      </c>
      <c r="RA40" s="2" t="inlineStr">
        <is>
          <t>2023-10-16</t>
        </is>
      </c>
      <c r="RB40" s="5">
        <f>ROUND(0.05,2)</f>
        <v/>
      </c>
      <c r="RC40" s="3">
        <f>ROUND(50.0,2)</f>
        <v/>
      </c>
      <c r="RD40" s="3">
        <f>ROUND(5.0,2)</f>
        <v/>
      </c>
      <c r="RE40" s="3">
        <f>ROUND(0.0,2)</f>
        <v/>
      </c>
      <c r="RF40" s="3">
        <f>ROUND(0.0,2)</f>
        <v/>
      </c>
      <c r="RG40" s="3">
        <f>ROUND(0.0,2)</f>
        <v/>
      </c>
      <c r="RH40" s="3">
        <f>ROUND(0.0,2)</f>
        <v/>
      </c>
      <c r="RI40" s="3">
        <f>ROUND(0.0,2)</f>
        <v/>
      </c>
      <c r="RJ40" s="4">
        <f>IFERROR((RD40/RC40),0)</f>
        <v/>
      </c>
      <c r="RK40" s="4">
        <f>IFERROR(((0+RB11+RB12+RB13+RB14+RB15+RB16+RB17+RB19+RB20+RB21+RB22+RB23+RB24+RB25+RB27+RB28+RB29+RB30+RB31+RB32+RB33+RB35+RB36+RB37+RB38+RB39+RB40)/T2),0)</f>
        <v/>
      </c>
      <c r="RL40" s="5">
        <f>IFERROR(ROUND(RB40/RD40,2),0)</f>
        <v/>
      </c>
      <c r="RM40" s="5">
        <f>IFERROR(ROUND(RB40/RE40,2),0)</f>
        <v/>
      </c>
      <c r="RN40" s="2" t="inlineStr">
        <is>
          <t>2023-10-16</t>
        </is>
      </c>
      <c r="RO40" s="5">
        <f>ROUND(0.02,2)</f>
        <v/>
      </c>
      <c r="RP40" s="3">
        <f>ROUND(84.0,2)</f>
        <v/>
      </c>
      <c r="RQ40" s="3">
        <f>ROUND(2.0,2)</f>
        <v/>
      </c>
      <c r="RR40" s="3">
        <f>ROUND(0.0,2)</f>
        <v/>
      </c>
      <c r="RS40" s="3">
        <f>ROUND(0.0,2)</f>
        <v/>
      </c>
      <c r="RT40" s="3">
        <f>ROUND(0.0,2)</f>
        <v/>
      </c>
      <c r="RU40" s="3">
        <f>ROUND(0.0,2)</f>
        <v/>
      </c>
      <c r="RV40" s="3">
        <f>ROUND(0.0,2)</f>
        <v/>
      </c>
      <c r="RW40" s="4">
        <f>IFERROR((RQ40/RP40),0)</f>
        <v/>
      </c>
      <c r="RX40" s="4">
        <f>IFERROR(((0+RO11+RO12+RO13+RO14+RO15+RO16+RO17+RO19+RO20+RO21+RO22+RO23+RO24+RO25+RO27+RO28+RO29+RO30+RO31+RO32+RO33+RO35+RO36+RO37+RO38+RO39+RO40)/T2),0)</f>
        <v/>
      </c>
      <c r="RY40" s="5">
        <f>IFERROR(ROUND(RO40/RQ40,2),0)</f>
        <v/>
      </c>
      <c r="RZ40" s="5">
        <f>IFERROR(ROUND(RO40/RR40,2),0)</f>
        <v/>
      </c>
      <c r="SA40" s="2" t="inlineStr">
        <is>
          <t>2023-10-16</t>
        </is>
      </c>
      <c r="SB40" s="5">
        <f>ROUND(0.44,2)</f>
        <v/>
      </c>
      <c r="SC40" s="3">
        <f>ROUND(902.0,2)</f>
        <v/>
      </c>
      <c r="SD40" s="3">
        <f>ROUND(44.0,2)</f>
        <v/>
      </c>
      <c r="SE40" s="3">
        <f>ROUND(0.0,2)</f>
        <v/>
      </c>
      <c r="SF40" s="3">
        <f>ROUND(0.0,2)</f>
        <v/>
      </c>
      <c r="SG40" s="3">
        <f>ROUND(0.0,2)</f>
        <v/>
      </c>
      <c r="SH40" s="3">
        <f>ROUND(0.0,2)</f>
        <v/>
      </c>
      <c r="SI40" s="3">
        <f>ROUND(0.0,2)</f>
        <v/>
      </c>
      <c r="SJ40" s="4">
        <f>IFERROR((SD40/SC40),0)</f>
        <v/>
      </c>
      <c r="SK40" s="4">
        <f>IFERROR(((0+SB11+SB12+SB13+SB14+SB15+SB16+SB17+SB19+SB20+SB21+SB22+SB23+SB24+SB25+SB27+SB28+SB29+SB30+SB31+SB32+SB33+SB35+SB36+SB37+SB38+SB39+SB40)/T2),0)</f>
        <v/>
      </c>
      <c r="SL40" s="5">
        <f>IFERROR(ROUND(SB40/SD40,2),0)</f>
        <v/>
      </c>
      <c r="SM40" s="5">
        <f>IFERROR(ROUND(SB40/SE40,2),0)</f>
        <v/>
      </c>
      <c r="SN40" s="2" t="inlineStr">
        <is>
          <t>2023-10-16</t>
        </is>
      </c>
      <c r="SO40" s="5">
        <f>ROUND(0.41000000000000003,2)</f>
        <v/>
      </c>
      <c r="SP40" s="3">
        <f>ROUND(414.0,2)</f>
        <v/>
      </c>
      <c r="SQ40" s="3">
        <f>ROUND(41.0,2)</f>
        <v/>
      </c>
      <c r="SR40" s="3">
        <f>ROUND(0.0,2)</f>
        <v/>
      </c>
      <c r="SS40" s="3">
        <f>ROUND(0.0,2)</f>
        <v/>
      </c>
      <c r="ST40" s="3">
        <f>ROUND(0.0,2)</f>
        <v/>
      </c>
      <c r="SU40" s="3">
        <f>ROUND(0.0,2)</f>
        <v/>
      </c>
      <c r="SV40" s="3">
        <f>ROUND(0.0,2)</f>
        <v/>
      </c>
      <c r="SW40" s="4">
        <f>IFERROR((SQ40/SP40),0)</f>
        <v/>
      </c>
      <c r="SX40" s="4">
        <f>IFERROR(((0+SO11+SO12+SO13+SO14+SO15+SO16+SO17+SO19+SO20+SO21+SO22+SO23+SO24+SO25+SO27+SO28+SO29+SO30+SO31+SO32+SO33+SO35+SO36+SO37+SO38+SO39+SO40)/T2),0)</f>
        <v/>
      </c>
      <c r="SY40" s="5">
        <f>IFERROR(ROUND(SO40/SQ40,2),0)</f>
        <v/>
      </c>
      <c r="SZ40" s="5">
        <f>IFERROR(ROUND(SO40/SR40,2),0)</f>
        <v/>
      </c>
    </row>
    <row r="41">
      <c r="A41" s="2" t="inlineStr">
        <is>
          <t>2023-10-17</t>
        </is>
      </c>
      <c r="B41" s="5">
        <f>ROUND(41.56,2)</f>
        <v/>
      </c>
      <c r="C41" s="3">
        <f>ROUND(87568.0,2)</f>
        <v/>
      </c>
      <c r="D41" s="3">
        <f>ROUND(4155.0,2)</f>
        <v/>
      </c>
      <c r="E41" s="3">
        <f>ROUND(0.0,2)</f>
        <v/>
      </c>
      <c r="F41" s="3">
        <f>ROUND(0.0,2)</f>
        <v/>
      </c>
      <c r="G41" s="3">
        <f>ROUND(0.0,2)</f>
        <v/>
      </c>
      <c r="H41" s="3">
        <f>ROUND(0.0,2)</f>
        <v/>
      </c>
      <c r="I41" s="3">
        <f>ROUND(0.0,2)</f>
        <v/>
      </c>
      <c r="J41" s="4">
        <f>IFERROR((D41/C41),0)</f>
        <v/>
      </c>
      <c r="K41" s="4">
        <f>IFERROR(((0+B11+B12+B13+B14+B15+B16+B17+B19+B20+B21+B22+B23+B24+B25+B27+B28+B29+B30+B31+B32+B33+B35+B36+B37+B38+B39+B40+B41)/T2),0)</f>
        <v/>
      </c>
      <c r="L41" s="5">
        <f>IFERROR(ROUND(B41/D41,2),0)</f>
        <v/>
      </c>
      <c r="M41" s="5">
        <f>IFERROR(ROUND(B41/E41,2),0)</f>
        <v/>
      </c>
      <c r="N41" s="2" t="inlineStr">
        <is>
          <t>2023-10-17</t>
        </is>
      </c>
      <c r="O41" s="5">
        <f>ROUND(9.73,2)</f>
        <v/>
      </c>
      <c r="P41" s="3">
        <f>ROUND(12018.0,2)</f>
        <v/>
      </c>
      <c r="Q41" s="3">
        <f>ROUND(973.0,2)</f>
        <v/>
      </c>
      <c r="R41" s="3">
        <f>ROUND(0.0,2)</f>
        <v/>
      </c>
      <c r="S41" s="3">
        <f>ROUND(0.0,2)</f>
        <v/>
      </c>
      <c r="T41" s="3">
        <f>ROUND(0.0,2)</f>
        <v/>
      </c>
      <c r="U41" s="3">
        <f>ROUND(0.0,2)</f>
        <v/>
      </c>
      <c r="V41" s="3">
        <f>ROUND(0.0,2)</f>
        <v/>
      </c>
      <c r="W41" s="4">
        <f>IFERROR((Q41/P41),0)</f>
        <v/>
      </c>
      <c r="X41" s="4">
        <f>IFERROR(((0+O11+O12+O13+O14+O15+O16+O17+O19+O20+O21+O22+O23+O24+O25+O27+O28+O29+O30+O31+O32+O33+O35+O36+O37+O38+O39+O40+O41)/T2),0)</f>
        <v/>
      </c>
      <c r="Y41" s="5">
        <f>IFERROR(ROUND(O41/Q41,2),0)</f>
        <v/>
      </c>
      <c r="Z41" s="5">
        <f>IFERROR(ROUND(O41/R41,2),0)</f>
        <v/>
      </c>
      <c r="AA41" s="2" t="inlineStr">
        <is>
          <t>2023-10-17</t>
        </is>
      </c>
      <c r="AB41" s="5">
        <f>ROUND(0.01,2)</f>
        <v/>
      </c>
      <c r="AC41" s="3">
        <f>ROUND(36.0,2)</f>
        <v/>
      </c>
      <c r="AD41" s="3">
        <f>ROUND(1.0,2)</f>
        <v/>
      </c>
      <c r="AE41" s="3">
        <f>ROUND(0.0,2)</f>
        <v/>
      </c>
      <c r="AF41" s="3">
        <f>ROUND(0.0,2)</f>
        <v/>
      </c>
      <c r="AG41" s="3">
        <f>ROUND(0.0,2)</f>
        <v/>
      </c>
      <c r="AH41" s="3">
        <f>ROUND(0.0,2)</f>
        <v/>
      </c>
      <c r="AI41" s="3">
        <f>ROUND(0.0,2)</f>
        <v/>
      </c>
      <c r="AJ41" s="4">
        <f>IFERROR((AD41/AC41),0)</f>
        <v/>
      </c>
      <c r="AK41" s="4">
        <f>IFERROR(((0+AB11+AB12+AB13+AB14+AB15+AB16+AB17+AB19+AB20+AB21+AB22+AB23+AB24+AB25+AB27+AB28+AB29+AB30+AB31+AB32+AB33+AB35+AB36+AB37+AB38+AB39+AB40+AB41)/T2),0)</f>
        <v/>
      </c>
      <c r="AL41" s="5">
        <f>IFERROR(ROUND(AB41/AD41,2),0)</f>
        <v/>
      </c>
      <c r="AM41" s="5">
        <f>IFERROR(ROUND(AB41/AE41,2),0)</f>
        <v/>
      </c>
      <c r="AN41" s="2" t="inlineStr">
        <is>
          <t>2023-10-17</t>
        </is>
      </c>
      <c r="AO41" s="5">
        <f>ROUND(2.8499999999999996,2)</f>
        <v/>
      </c>
      <c r="AP41" s="3">
        <f>ROUND(12585.0,2)</f>
        <v/>
      </c>
      <c r="AQ41" s="3">
        <f>ROUND(285.0,2)</f>
        <v/>
      </c>
      <c r="AR41" s="3">
        <f>ROUND(0.0,2)</f>
        <v/>
      </c>
      <c r="AS41" s="3">
        <f>ROUND(0.0,2)</f>
        <v/>
      </c>
      <c r="AT41" s="3">
        <f>ROUND(0.0,2)</f>
        <v/>
      </c>
      <c r="AU41" s="3">
        <f>ROUND(0.0,2)</f>
        <v/>
      </c>
      <c r="AV41" s="3">
        <f>ROUND(0.0,2)</f>
        <v/>
      </c>
      <c r="AW41" s="4">
        <f>IFERROR((AQ41/AP41),0)</f>
        <v/>
      </c>
      <c r="AX41" s="4">
        <f>IFERROR(((0+AO11+AO12+AO13+AO14+AO15+AO16+AO17+AO19+AO20+AO21+AO22+AO23+AO24+AO25+AO27+AO28+AO29+AO30+AO31+AO32+AO33+AO35+AO36+AO37+AO38+AO39+AO40+AO41)/T2),0)</f>
        <v/>
      </c>
      <c r="AY41" s="5">
        <f>IFERROR(ROUND(AO41/AQ41,2),0)</f>
        <v/>
      </c>
      <c r="AZ41" s="5">
        <f>IFERROR(ROUND(AO41/AR41,2),0)</f>
        <v/>
      </c>
      <c r="BA41" s="2" t="inlineStr">
        <is>
          <t>2023-10-17</t>
        </is>
      </c>
      <c r="BB41" s="5">
        <f>ROUND(0.03,2)</f>
        <v/>
      </c>
      <c r="BC41" s="3">
        <f>ROUND(46.0,2)</f>
        <v/>
      </c>
      <c r="BD41" s="3">
        <f>ROUND(3.0,2)</f>
        <v/>
      </c>
      <c r="BE41" s="3">
        <f>ROUND(0.0,2)</f>
        <v/>
      </c>
      <c r="BF41" s="3">
        <f>ROUND(0.0,2)</f>
        <v/>
      </c>
      <c r="BG41" s="3">
        <f>ROUND(0.0,2)</f>
        <v/>
      </c>
      <c r="BH41" s="3">
        <f>ROUND(0.0,2)</f>
        <v/>
      </c>
      <c r="BI41" s="3">
        <f>ROUND(0.0,2)</f>
        <v/>
      </c>
      <c r="BJ41" s="4">
        <f>IFERROR((BD41/BC41),0)</f>
        <v/>
      </c>
      <c r="BK41" s="4">
        <f>IFERROR(((0+BB11+BB12+BB13+BB14+BB15+BB16+BB17+BB19+BB20+BB21+BB22+BB23+BB24+BB25+BB27+BB28+BB29+BB30+BB31+BB32+BB33+BB35+BB36+BB37+BB38+BB39+BB40+BB41)/T2),0)</f>
        <v/>
      </c>
      <c r="BL41" s="5">
        <f>IFERROR(ROUND(BB41/BD41,2),0)</f>
        <v/>
      </c>
      <c r="BM41" s="5">
        <f>IFERROR(ROUND(BB41/BE41,2),0)</f>
        <v/>
      </c>
      <c r="BN41" s="2" t="inlineStr">
        <is>
          <t>2023-10-17</t>
        </is>
      </c>
      <c r="BO41" s="5">
        <f>ROUND(0.44,2)</f>
        <v/>
      </c>
      <c r="BP41" s="3">
        <f>ROUND(470.0,2)</f>
        <v/>
      </c>
      <c r="BQ41" s="3">
        <f>ROUND(44.0,2)</f>
        <v/>
      </c>
      <c r="BR41" s="3">
        <f>ROUND(0.0,2)</f>
        <v/>
      </c>
      <c r="BS41" s="3">
        <f>ROUND(0.0,2)</f>
        <v/>
      </c>
      <c r="BT41" s="3">
        <f>ROUND(0.0,2)</f>
        <v/>
      </c>
      <c r="BU41" s="3">
        <f>ROUND(0.0,2)</f>
        <v/>
      </c>
      <c r="BV41" s="3">
        <f>ROUND(0.0,2)</f>
        <v/>
      </c>
      <c r="BW41" s="4">
        <f>IFERROR((BQ41/BP41),0)</f>
        <v/>
      </c>
      <c r="BX41" s="4">
        <f>IFERROR(((0+BO11+BO12+BO13+BO14+BO15+BO16+BO17+BO19+BO20+BO21+BO22+BO23+BO24+BO25+BO27+BO28+BO29+BO30+BO31+BO32+BO33+BO35+BO36+BO37+BO38+BO39+BO40+BO41)/T2),0)</f>
        <v/>
      </c>
      <c r="BY41" s="5">
        <f>IFERROR(ROUND(BO41/BQ41,2),0)</f>
        <v/>
      </c>
      <c r="BZ41" s="5">
        <f>IFERROR(ROUND(BO41/BR41,2),0)</f>
        <v/>
      </c>
      <c r="CA41" s="2" t="inlineStr">
        <is>
          <t>2023-10-17</t>
        </is>
      </c>
      <c r="CB41" s="5">
        <f>ROUND(0.05,2)</f>
        <v/>
      </c>
      <c r="CC41" s="3">
        <f>ROUND(41.0,2)</f>
        <v/>
      </c>
      <c r="CD41" s="3">
        <f>ROUND(5.0,2)</f>
        <v/>
      </c>
      <c r="CE41" s="3">
        <f>ROUND(0.0,2)</f>
        <v/>
      </c>
      <c r="CF41" s="3">
        <f>ROUND(0.0,2)</f>
        <v/>
      </c>
      <c r="CG41" s="3">
        <f>ROUND(0.0,2)</f>
        <v/>
      </c>
      <c r="CH41" s="3">
        <f>ROUND(0.0,2)</f>
        <v/>
      </c>
      <c r="CI41" s="3">
        <f>ROUND(0.0,2)</f>
        <v/>
      </c>
      <c r="CJ41" s="4">
        <f>IFERROR((CD41/CC41),0)</f>
        <v/>
      </c>
      <c r="CK41" s="4">
        <f>IFERROR(((0+CB11+CB12+CB13+CB14+CB15+CB16+CB17+CB19+CB20+CB21+CB22+CB23+CB24+CB25+CB27+CB28+CB29+CB30+CB31+CB32+CB33+CB35+CB36+CB37+CB38+CB39+CB40+CB41)/T2),0)</f>
        <v/>
      </c>
      <c r="CL41" s="5">
        <f>IFERROR(ROUND(CB41/CD41,2),0)</f>
        <v/>
      </c>
      <c r="CM41" s="5">
        <f>IFERROR(ROUND(CB41/CE41,2),0)</f>
        <v/>
      </c>
      <c r="CN41" s="2" t="inlineStr">
        <is>
          <t>2023-10-17</t>
        </is>
      </c>
      <c r="CO41" s="5">
        <f>ROUND(0.35,2)</f>
        <v/>
      </c>
      <c r="CP41" s="3">
        <f>ROUND(1338.0,2)</f>
        <v/>
      </c>
      <c r="CQ41" s="3">
        <f>ROUND(35.0,2)</f>
        <v/>
      </c>
      <c r="CR41" s="3">
        <f>ROUND(0.0,2)</f>
        <v/>
      </c>
      <c r="CS41" s="3">
        <f>ROUND(0.0,2)</f>
        <v/>
      </c>
      <c r="CT41" s="3">
        <f>ROUND(0.0,2)</f>
        <v/>
      </c>
      <c r="CU41" s="3">
        <f>ROUND(0.0,2)</f>
        <v/>
      </c>
      <c r="CV41" s="3">
        <f>ROUND(0.0,2)</f>
        <v/>
      </c>
      <c r="CW41" s="4">
        <f>IFERROR((CQ41/CP41),0)</f>
        <v/>
      </c>
      <c r="CX41" s="4">
        <f>IFERROR(((0+CO11+CO12+CO13+CO14+CO15+CO16+CO17+CO19+CO20+CO21+CO22+CO23+CO24+CO25+CO27+CO28+CO29+CO30+CO31+CO32+CO33+CO35+CO36+CO37+CO38+CO39+CO40+CO41)/T2),0)</f>
        <v/>
      </c>
      <c r="CY41" s="5">
        <f>IFERROR(ROUND(CO41/CQ41,2),0)</f>
        <v/>
      </c>
      <c r="CZ41" s="5">
        <f>IFERROR(ROUND(CO41/CR41,2),0)</f>
        <v/>
      </c>
      <c r="DA41" s="2" t="inlineStr">
        <is>
          <t>2023-10-17</t>
        </is>
      </c>
      <c r="DB41" s="5">
        <f>ROUND(1.4900000000000002,2)</f>
        <v/>
      </c>
      <c r="DC41" s="3">
        <f>ROUND(4040.0,2)</f>
        <v/>
      </c>
      <c r="DD41" s="3">
        <f>ROUND(149.0,2)</f>
        <v/>
      </c>
      <c r="DE41" s="3">
        <f>ROUND(0.0,2)</f>
        <v/>
      </c>
      <c r="DF41" s="3">
        <f>ROUND(0.0,2)</f>
        <v/>
      </c>
      <c r="DG41" s="3">
        <f>ROUND(0.0,2)</f>
        <v/>
      </c>
      <c r="DH41" s="3">
        <f>ROUND(0.0,2)</f>
        <v/>
      </c>
      <c r="DI41" s="3">
        <f>ROUND(0.0,2)</f>
        <v/>
      </c>
      <c r="DJ41" s="4">
        <f>IFERROR((DD41/DC41),0)</f>
        <v/>
      </c>
      <c r="DK41" s="4">
        <f>IFERROR(((0+DB11+DB12+DB13+DB14+DB15+DB16+DB17+DB19+DB20+DB21+DB22+DB23+DB24+DB25+DB27+DB28+DB29+DB30+DB31+DB32+DB33+DB35+DB36+DB37+DB38+DB39+DB40+DB41)/T2),0)</f>
        <v/>
      </c>
      <c r="DL41" s="5">
        <f>IFERROR(ROUND(DB41/DD41,2),0)</f>
        <v/>
      </c>
      <c r="DM41" s="5">
        <f>IFERROR(ROUND(DB41/DE41,2),0)</f>
        <v/>
      </c>
      <c r="DN41" s="2" t="inlineStr">
        <is>
          <t>2023-10-17</t>
        </is>
      </c>
      <c r="DO41" s="5">
        <f>ROUND(0.0,2)</f>
        <v/>
      </c>
      <c r="DP41" s="3">
        <f>ROUND(14.0,2)</f>
        <v/>
      </c>
      <c r="DQ41" s="3">
        <f>ROUND(0.0,2)</f>
        <v/>
      </c>
      <c r="DR41" s="3">
        <f>ROUND(0.0,2)</f>
        <v/>
      </c>
      <c r="DS41" s="3">
        <f>ROUND(0.0,2)</f>
        <v/>
      </c>
      <c r="DT41" s="3">
        <f>ROUND(0.0,2)</f>
        <v/>
      </c>
      <c r="DU41" s="3">
        <f>ROUND(0.0,2)</f>
        <v/>
      </c>
      <c r="DV41" s="3">
        <f>ROUND(0.0,2)</f>
        <v/>
      </c>
      <c r="DW41" s="4">
        <f>IFERROR((DQ41/DP41),0)</f>
        <v/>
      </c>
      <c r="DX41" s="4">
        <f>IFERROR(((0+DO11+DO12+DO13+DO14+DO15+DO16+DO17+DO19+DO20+DO21+DO22+DO23+DO24+DO25+DO27+DO28+DO29+DO30+DO31+DO32+DO33+DO35+DO36+DO37+DO38+DO39+DO40+DO41)/T2),0)</f>
        <v/>
      </c>
      <c r="DY41" s="5">
        <f>IFERROR(ROUND(DO41/DQ41,2),0)</f>
        <v/>
      </c>
      <c r="DZ41" s="5">
        <f>IFERROR(ROUND(DO41/DR41,2),0)</f>
        <v/>
      </c>
      <c r="EA41" s="2" t="inlineStr">
        <is>
          <t>2023-10-17</t>
        </is>
      </c>
      <c r="EB41" s="5">
        <f>ROUND(2.76,2)</f>
        <v/>
      </c>
      <c r="EC41" s="3">
        <f>ROUND(10110.0,2)</f>
        <v/>
      </c>
      <c r="ED41" s="3">
        <f>ROUND(276.0,2)</f>
        <v/>
      </c>
      <c r="EE41" s="3">
        <f>ROUND(0.0,2)</f>
        <v/>
      </c>
      <c r="EF41" s="3">
        <f>ROUND(0.0,2)</f>
        <v/>
      </c>
      <c r="EG41" s="3">
        <f>ROUND(0.0,2)</f>
        <v/>
      </c>
      <c r="EH41" s="3">
        <f>ROUND(0.0,2)</f>
        <v/>
      </c>
      <c r="EI41" s="3">
        <f>ROUND(0.0,2)</f>
        <v/>
      </c>
      <c r="EJ41" s="4">
        <f>IFERROR((ED41/EC41),0)</f>
        <v/>
      </c>
      <c r="EK41" s="4">
        <f>IFERROR(((0+EB11+EB12+EB13+EB14+EB15+EB16+EB17+EB19+EB20+EB21+EB22+EB23+EB24+EB25+EB27+EB28+EB29+EB30+EB31+EB32+EB33+EB35+EB36+EB37+EB38+EB39+EB40+EB41)/T2),0)</f>
        <v/>
      </c>
      <c r="EL41" s="5">
        <f>IFERROR(ROUND(EB41/ED41,2),0)</f>
        <v/>
      </c>
      <c r="EM41" s="5">
        <f>IFERROR(ROUND(EB41/EE41,2),0)</f>
        <v/>
      </c>
      <c r="EN41" s="2" t="inlineStr">
        <is>
          <t>2023-10-17</t>
        </is>
      </c>
      <c r="EO41" s="5">
        <f>ROUND(0.02,2)</f>
        <v/>
      </c>
      <c r="EP41" s="3">
        <f>ROUND(60.0,2)</f>
        <v/>
      </c>
      <c r="EQ41" s="3">
        <f>ROUND(2.0,2)</f>
        <v/>
      </c>
      <c r="ER41" s="3">
        <f>ROUND(0.0,2)</f>
        <v/>
      </c>
      <c r="ES41" s="3">
        <f>ROUND(0.0,2)</f>
        <v/>
      </c>
      <c r="ET41" s="3">
        <f>ROUND(0.0,2)</f>
        <v/>
      </c>
      <c r="EU41" s="3">
        <f>ROUND(0.0,2)</f>
        <v/>
      </c>
      <c r="EV41" s="3">
        <f>ROUND(0.0,2)</f>
        <v/>
      </c>
      <c r="EW41" s="4">
        <f>IFERROR((EQ41/EP41),0)</f>
        <v/>
      </c>
      <c r="EX41" s="4">
        <f>IFERROR(((0+EO11+EO12+EO13+EO14+EO15+EO16+EO17+EO19+EO20+EO21+EO22+EO23+EO24+EO25+EO27+EO28+EO29+EO30+EO31+EO32+EO33+EO35+EO36+EO37+EO38+EO39+EO40+EO41)/T2),0)</f>
        <v/>
      </c>
      <c r="EY41" s="5">
        <f>IFERROR(ROUND(EO41/EQ41,2),0)</f>
        <v/>
      </c>
      <c r="EZ41" s="5">
        <f>IFERROR(ROUND(EO41/ER41,2),0)</f>
        <v/>
      </c>
      <c r="FA41" s="2" t="inlineStr">
        <is>
          <t>2023-10-17</t>
        </is>
      </c>
      <c r="FB41" s="5">
        <f>ROUND(0.25,2)</f>
        <v/>
      </c>
      <c r="FC41" s="3">
        <f>ROUND(870.0,2)</f>
        <v/>
      </c>
      <c r="FD41" s="3">
        <f>ROUND(25.0,2)</f>
        <v/>
      </c>
      <c r="FE41" s="3">
        <f>ROUND(0.0,2)</f>
        <v/>
      </c>
      <c r="FF41" s="3">
        <f>ROUND(0.0,2)</f>
        <v/>
      </c>
      <c r="FG41" s="3">
        <f>ROUND(0.0,2)</f>
        <v/>
      </c>
      <c r="FH41" s="3">
        <f>ROUND(0.0,2)</f>
        <v/>
      </c>
      <c r="FI41" s="3">
        <f>ROUND(0.0,2)</f>
        <v/>
      </c>
      <c r="FJ41" s="4">
        <f>IFERROR((FD41/FC41),0)</f>
        <v/>
      </c>
      <c r="FK41" s="4">
        <f>IFERROR(((0+FB11+FB12+FB13+FB14+FB15+FB16+FB17+FB19+FB20+FB21+FB22+FB23+FB24+FB25+FB27+FB28+FB29+FB30+FB31+FB32+FB33+FB35+FB36+FB37+FB38+FB39+FB40+FB41)/T2),0)</f>
        <v/>
      </c>
      <c r="FL41" s="5">
        <f>IFERROR(ROUND(FB41/FD41,2),0)</f>
        <v/>
      </c>
      <c r="FM41" s="5">
        <f>IFERROR(ROUND(FB41/FE41,2),0)</f>
        <v/>
      </c>
      <c r="FN41" s="2" t="inlineStr">
        <is>
          <t>2023-10-17</t>
        </is>
      </c>
      <c r="FO41" s="5">
        <f>ROUND(0.22,2)</f>
        <v/>
      </c>
      <c r="FP41" s="3">
        <f>ROUND(370.0,2)</f>
        <v/>
      </c>
      <c r="FQ41" s="3">
        <f>ROUND(22.0,2)</f>
        <v/>
      </c>
      <c r="FR41" s="3">
        <f>ROUND(0.0,2)</f>
        <v/>
      </c>
      <c r="FS41" s="3">
        <f>ROUND(0.0,2)</f>
        <v/>
      </c>
      <c r="FT41" s="3">
        <f>ROUND(0.0,2)</f>
        <v/>
      </c>
      <c r="FU41" s="3">
        <f>ROUND(0.0,2)</f>
        <v/>
      </c>
      <c r="FV41" s="3">
        <f>ROUND(0.0,2)</f>
        <v/>
      </c>
      <c r="FW41" s="4">
        <f>IFERROR((FQ41/FP41),0)</f>
        <v/>
      </c>
      <c r="FX41" s="4">
        <f>IFERROR(((0+FO11+FO12+FO13+FO14+FO15+FO16+FO17+FO19+FO20+FO21+FO22+FO23+FO24+FO25+FO27+FO28+FO29+FO30+FO31+FO32+FO33+FO35+FO36+FO37+FO38+FO39+FO40+FO41)/T2),0)</f>
        <v/>
      </c>
      <c r="FY41" s="5">
        <f>IFERROR(ROUND(FO41/FQ41,2),0)</f>
        <v/>
      </c>
      <c r="FZ41" s="5">
        <f>IFERROR(ROUND(FO41/FR41,2),0)</f>
        <v/>
      </c>
      <c r="GA41" s="2" t="inlineStr">
        <is>
          <t>2023-10-17</t>
        </is>
      </c>
      <c r="GB41" s="5">
        <f>ROUND(0.02,2)</f>
        <v/>
      </c>
      <c r="GC41" s="3">
        <f>ROUND(38.0,2)</f>
        <v/>
      </c>
      <c r="GD41" s="3">
        <f>ROUND(2.0,2)</f>
        <v/>
      </c>
      <c r="GE41" s="3">
        <f>ROUND(0.0,2)</f>
        <v/>
      </c>
      <c r="GF41" s="3">
        <f>ROUND(0.0,2)</f>
        <v/>
      </c>
      <c r="GG41" s="3">
        <f>ROUND(0.0,2)</f>
        <v/>
      </c>
      <c r="GH41" s="3">
        <f>ROUND(0.0,2)</f>
        <v/>
      </c>
      <c r="GI41" s="3">
        <f>ROUND(0.0,2)</f>
        <v/>
      </c>
      <c r="GJ41" s="4">
        <f>IFERROR((GD41/GC41),0)</f>
        <v/>
      </c>
      <c r="GK41" s="4">
        <f>IFERROR(((0+GB11+GB12+GB13+GB14+GB15+GB16+GB17+GB19+GB20+GB21+GB22+GB23+GB24+GB25+GB27+GB28+GB29+GB30+GB31+GB32+GB33+GB35+GB36+GB37+GB38+GB39+GB40+GB41)/T2),0)</f>
        <v/>
      </c>
      <c r="GL41" s="5">
        <f>IFERROR(ROUND(GB41/GD41,2),0)</f>
        <v/>
      </c>
      <c r="GM41" s="5">
        <f>IFERROR(ROUND(GB41/GE41,2),0)</f>
        <v/>
      </c>
      <c r="GN41" s="2" t="inlineStr">
        <is>
          <t>2023-10-17</t>
        </is>
      </c>
      <c r="GO41" s="5">
        <f>ROUND(0.08,2)</f>
        <v/>
      </c>
      <c r="GP41" s="3">
        <f>ROUND(147.0,2)</f>
        <v/>
      </c>
      <c r="GQ41" s="3">
        <f>ROUND(8.0,2)</f>
        <v/>
      </c>
      <c r="GR41" s="3">
        <f>ROUND(0.0,2)</f>
        <v/>
      </c>
      <c r="GS41" s="3">
        <f>ROUND(0.0,2)</f>
        <v/>
      </c>
      <c r="GT41" s="3">
        <f>ROUND(0.0,2)</f>
        <v/>
      </c>
      <c r="GU41" s="3">
        <f>ROUND(0.0,2)</f>
        <v/>
      </c>
      <c r="GV41" s="3">
        <f>ROUND(0.0,2)</f>
        <v/>
      </c>
      <c r="GW41" s="4">
        <f>IFERROR((GQ41/GP41),0)</f>
        <v/>
      </c>
      <c r="GX41" s="4">
        <f>IFERROR(((0+GO11+GO12+GO13+GO14+GO15+GO16+GO17+GO19+GO20+GO21+GO22+GO23+GO24+GO25+GO27+GO28+GO29+GO30+GO31+GO32+GO33+GO35+GO36+GO37+GO38+GO39+GO40+GO41)/T2),0)</f>
        <v/>
      </c>
      <c r="GY41" s="5">
        <f>IFERROR(ROUND(GO41/GQ41,2),0)</f>
        <v/>
      </c>
      <c r="GZ41" s="5">
        <f>IFERROR(ROUND(GO41/GR41,2),0)</f>
        <v/>
      </c>
      <c r="HA41" s="2" t="inlineStr">
        <is>
          <t>2023-10-17</t>
        </is>
      </c>
      <c r="HB41" s="5">
        <f>ROUND(6.19,2)</f>
        <v/>
      </c>
      <c r="HC41" s="3">
        <f>ROUND(9127.0,2)</f>
        <v/>
      </c>
      <c r="HD41" s="3">
        <f>ROUND(619.0,2)</f>
        <v/>
      </c>
      <c r="HE41" s="3">
        <f>ROUND(0.0,2)</f>
        <v/>
      </c>
      <c r="HF41" s="3">
        <f>ROUND(0.0,2)</f>
        <v/>
      </c>
      <c r="HG41" s="3">
        <f>ROUND(0.0,2)</f>
        <v/>
      </c>
      <c r="HH41" s="3">
        <f>ROUND(0.0,2)</f>
        <v/>
      </c>
      <c r="HI41" s="3">
        <f>ROUND(0.0,2)</f>
        <v/>
      </c>
      <c r="HJ41" s="4">
        <f>IFERROR((HD41/HC41),0)</f>
        <v/>
      </c>
      <c r="HK41" s="4">
        <f>IFERROR(((0+HB11+HB12+HB13+HB14+HB15+HB16+HB17+HB19+HB20+HB21+HB22+HB23+HB24+HB25+HB27+HB28+HB29+HB30+HB31+HB32+HB33+HB35+HB36+HB37+HB38+HB39+HB40+HB41)/T2),0)</f>
        <v/>
      </c>
      <c r="HL41" s="5">
        <f>IFERROR(ROUND(HB41/HD41,2),0)</f>
        <v/>
      </c>
      <c r="HM41" s="5">
        <f>IFERROR(ROUND(HB41/HE41,2),0)</f>
        <v/>
      </c>
      <c r="HN41" s="2" t="inlineStr">
        <is>
          <t>2023-10-17</t>
        </is>
      </c>
      <c r="HO41" s="5">
        <f>ROUND(0.02,2)</f>
        <v/>
      </c>
      <c r="HP41" s="3">
        <f>ROUND(26.0,2)</f>
        <v/>
      </c>
      <c r="HQ41" s="3">
        <f>ROUND(2.0,2)</f>
        <v/>
      </c>
      <c r="HR41" s="3">
        <f>ROUND(0.0,2)</f>
        <v/>
      </c>
      <c r="HS41" s="3">
        <f>ROUND(0.0,2)</f>
        <v/>
      </c>
      <c r="HT41" s="3">
        <f>ROUND(0.0,2)</f>
        <v/>
      </c>
      <c r="HU41" s="3">
        <f>ROUND(0.0,2)</f>
        <v/>
      </c>
      <c r="HV41" s="3">
        <f>ROUND(0.0,2)</f>
        <v/>
      </c>
      <c r="HW41" s="4">
        <f>IFERROR((HQ41/HP41),0)</f>
        <v/>
      </c>
      <c r="HX41" s="4">
        <f>IFERROR(((0+HO11+HO12+HO13+HO14+HO15+HO16+HO17+HO19+HO20+HO21+HO22+HO23+HO24+HO25+HO27+HO28+HO29+HO30+HO31+HO32+HO33+HO35+HO36+HO37+HO38+HO39+HO40+HO41)/T2),0)</f>
        <v/>
      </c>
      <c r="HY41" s="5">
        <f>IFERROR(ROUND(HO41/HQ41,2),0)</f>
        <v/>
      </c>
      <c r="HZ41" s="5">
        <f>IFERROR(ROUND(HO41/HR41,2),0)</f>
        <v/>
      </c>
      <c r="IA41" s="2" t="inlineStr">
        <is>
          <t>2023-10-17</t>
        </is>
      </c>
      <c r="IB41" s="5">
        <f>ROUND(0.21000000000000002,2)</f>
        <v/>
      </c>
      <c r="IC41" s="3">
        <f>ROUND(87.0,2)</f>
        <v/>
      </c>
      <c r="ID41" s="3">
        <f>ROUND(21.0,2)</f>
        <v/>
      </c>
      <c r="IE41" s="3">
        <f>ROUND(0.0,2)</f>
        <v/>
      </c>
      <c r="IF41" s="3">
        <f>ROUND(0.0,2)</f>
        <v/>
      </c>
      <c r="IG41" s="3">
        <f>ROUND(0.0,2)</f>
        <v/>
      </c>
      <c r="IH41" s="3">
        <f>ROUND(0.0,2)</f>
        <v/>
      </c>
      <c r="II41" s="3">
        <f>ROUND(0.0,2)</f>
        <v/>
      </c>
      <c r="IJ41" s="4">
        <f>IFERROR((ID41/IC41),0)</f>
        <v/>
      </c>
      <c r="IK41" s="4">
        <f>IFERROR(((0+IB11+IB12+IB13+IB14+IB15+IB16+IB17+IB19+IB20+IB21+IB22+IB23+IB24+IB25+IB27+IB28+IB29+IB30+IB31+IB32+IB33+IB35+IB36+IB37+IB38+IB39+IB40+IB41)/T2),0)</f>
        <v/>
      </c>
      <c r="IL41" s="5">
        <f>IFERROR(ROUND(IB41/ID41,2),0)</f>
        <v/>
      </c>
      <c r="IM41" s="5">
        <f>IFERROR(ROUND(IB41/IE41,2),0)</f>
        <v/>
      </c>
      <c r="IN41" s="2" t="inlineStr">
        <is>
          <t>2023-10-17</t>
        </is>
      </c>
      <c r="IO41" s="5">
        <f>ROUND(1.28,2)</f>
        <v/>
      </c>
      <c r="IP41" s="3">
        <f>ROUND(4184.0,2)</f>
        <v/>
      </c>
      <c r="IQ41" s="3">
        <f>ROUND(128.0,2)</f>
        <v/>
      </c>
      <c r="IR41" s="3">
        <f>ROUND(0.0,2)</f>
        <v/>
      </c>
      <c r="IS41" s="3">
        <f>ROUND(0.0,2)</f>
        <v/>
      </c>
      <c r="IT41" s="3">
        <f>ROUND(0.0,2)</f>
        <v/>
      </c>
      <c r="IU41" s="3">
        <f>ROUND(0.0,2)</f>
        <v/>
      </c>
      <c r="IV41" s="3">
        <f>ROUND(0.0,2)</f>
        <v/>
      </c>
      <c r="IW41" s="4">
        <f>IFERROR((IQ41/IP41),0)</f>
        <v/>
      </c>
      <c r="IX41" s="4">
        <f>IFERROR(((0+IO11+IO12+IO13+IO14+IO15+IO16+IO17+IO19+IO20+IO21+IO22+IO23+IO24+IO25+IO27+IO28+IO29+IO30+IO31+IO32+IO33+IO35+IO36+IO37+IO38+IO39+IO40+IO41)/T2),0)</f>
        <v/>
      </c>
      <c r="IY41" s="5">
        <f>IFERROR(ROUND(IO41/IQ41,2),0)</f>
        <v/>
      </c>
      <c r="IZ41" s="5">
        <f>IFERROR(ROUND(IO41/IR41,2),0)</f>
        <v/>
      </c>
      <c r="JA41" s="2" t="inlineStr">
        <is>
          <t>2023-10-17</t>
        </is>
      </c>
      <c r="JB41" s="5">
        <f>ROUND(0.06,2)</f>
        <v/>
      </c>
      <c r="JC41" s="3">
        <f>ROUND(95.0,2)</f>
        <v/>
      </c>
      <c r="JD41" s="3">
        <f>ROUND(6.0,2)</f>
        <v/>
      </c>
      <c r="JE41" s="3">
        <f>ROUND(0.0,2)</f>
        <v/>
      </c>
      <c r="JF41" s="3">
        <f>ROUND(0.0,2)</f>
        <v/>
      </c>
      <c r="JG41" s="3">
        <f>ROUND(0.0,2)</f>
        <v/>
      </c>
      <c r="JH41" s="3">
        <f>ROUND(0.0,2)</f>
        <v/>
      </c>
      <c r="JI41" s="3">
        <f>ROUND(0.0,2)</f>
        <v/>
      </c>
      <c r="JJ41" s="4">
        <f>IFERROR((JD41/JC41),0)</f>
        <v/>
      </c>
      <c r="JK41" s="4">
        <f>IFERROR(((0+JB11+JB12+JB13+JB14+JB15+JB16+JB17+JB19+JB20+JB21+JB22+JB23+JB24+JB25+JB27+JB28+JB29+JB30+JB31+JB32+JB33+JB35+JB36+JB37+JB38+JB39+JB40+JB41)/T2),0)</f>
        <v/>
      </c>
      <c r="JL41" s="5">
        <f>IFERROR(ROUND(JB41/JD41,2),0)</f>
        <v/>
      </c>
      <c r="JM41" s="5">
        <f>IFERROR(ROUND(JB41/JE41,2),0)</f>
        <v/>
      </c>
      <c r="JN41" s="2" t="inlineStr">
        <is>
          <t>2023-10-17</t>
        </is>
      </c>
      <c r="JO41" s="5">
        <f>ROUND(0.04,2)</f>
        <v/>
      </c>
      <c r="JP41" s="3">
        <f>ROUND(90.0,2)</f>
        <v/>
      </c>
      <c r="JQ41" s="3">
        <f>ROUND(4.0,2)</f>
        <v/>
      </c>
      <c r="JR41" s="3">
        <f>ROUND(0.0,2)</f>
        <v/>
      </c>
      <c r="JS41" s="3">
        <f>ROUND(0.0,2)</f>
        <v/>
      </c>
      <c r="JT41" s="3">
        <f>ROUND(0.0,2)</f>
        <v/>
      </c>
      <c r="JU41" s="3">
        <f>ROUND(0.0,2)</f>
        <v/>
      </c>
      <c r="JV41" s="3">
        <f>ROUND(0.0,2)</f>
        <v/>
      </c>
      <c r="JW41" s="4">
        <f>IFERROR((JQ41/JP41),0)</f>
        <v/>
      </c>
      <c r="JX41" s="4">
        <f>IFERROR(((0+JO11+JO12+JO13+JO14+JO15+JO16+JO17+JO19+JO20+JO21+JO22+JO23+JO24+JO25+JO27+JO28+JO29+JO30+JO31+JO32+JO33+JO35+JO36+JO37+JO38+JO39+JO40+JO41)/T2),0)</f>
        <v/>
      </c>
      <c r="JY41" s="5">
        <f>IFERROR(ROUND(JO41/JQ41,2),0)</f>
        <v/>
      </c>
      <c r="JZ41" s="5">
        <f>IFERROR(ROUND(JO41/JR41,2),0)</f>
        <v/>
      </c>
      <c r="KA41" s="2" t="inlineStr">
        <is>
          <t>2023-10-17</t>
        </is>
      </c>
      <c r="KB41" s="5">
        <f>ROUND(0.02,2)</f>
        <v/>
      </c>
      <c r="KC41" s="3">
        <f>ROUND(54.0,2)</f>
        <v/>
      </c>
      <c r="KD41" s="3">
        <f>ROUND(2.0,2)</f>
        <v/>
      </c>
      <c r="KE41" s="3">
        <f>ROUND(0.0,2)</f>
        <v/>
      </c>
      <c r="KF41" s="3">
        <f>ROUND(0.0,2)</f>
        <v/>
      </c>
      <c r="KG41" s="3">
        <f>ROUND(0.0,2)</f>
        <v/>
      </c>
      <c r="KH41" s="3">
        <f>ROUND(0.0,2)</f>
        <v/>
      </c>
      <c r="KI41" s="3">
        <f>ROUND(0.0,2)</f>
        <v/>
      </c>
      <c r="KJ41" s="4">
        <f>IFERROR((KD41/KC41),0)</f>
        <v/>
      </c>
      <c r="KK41" s="4">
        <f>IFERROR(((0+KB11+KB12+KB13+KB14+KB15+KB16+KB17+KB19+KB20+KB21+KB22+KB23+KB24+KB25+KB27+KB28+KB29+KB30+KB31+KB32+KB33+KB35+KB36+KB37+KB38+KB39+KB40+KB41)/T2),0)</f>
        <v/>
      </c>
      <c r="KL41" s="5">
        <f>IFERROR(ROUND(KB41/KD41,2),0)</f>
        <v/>
      </c>
      <c r="KM41" s="5">
        <f>IFERROR(ROUND(KB41/KE41,2),0)</f>
        <v/>
      </c>
      <c r="KN41" s="2" t="inlineStr">
        <is>
          <t>2023-10-17</t>
        </is>
      </c>
      <c r="KO41" s="5">
        <f>ROUND(1.82,2)</f>
        <v/>
      </c>
      <c r="KP41" s="3">
        <f>ROUND(7705.0,2)</f>
        <v/>
      </c>
      <c r="KQ41" s="3">
        <f>ROUND(182.0,2)</f>
        <v/>
      </c>
      <c r="KR41" s="3">
        <f>ROUND(0.0,2)</f>
        <v/>
      </c>
      <c r="KS41" s="3">
        <f>ROUND(0.0,2)</f>
        <v/>
      </c>
      <c r="KT41" s="3">
        <f>ROUND(0.0,2)</f>
        <v/>
      </c>
      <c r="KU41" s="3">
        <f>ROUND(0.0,2)</f>
        <v/>
      </c>
      <c r="KV41" s="3">
        <f>ROUND(0.0,2)</f>
        <v/>
      </c>
      <c r="KW41" s="4">
        <f>IFERROR((KQ41/KP41),0)</f>
        <v/>
      </c>
      <c r="KX41" s="4">
        <f>IFERROR(((0+KO11+KO12+KO13+KO14+KO15+KO16+KO17+KO19+KO20+KO21+KO22+KO23+KO24+KO25+KO27+KO28+KO29+KO30+KO31+KO32+KO33+KO35+KO36+KO37+KO38+KO39+KO40+KO41)/T2),0)</f>
        <v/>
      </c>
      <c r="KY41" s="5">
        <f>IFERROR(ROUND(KO41/KQ41,2),0)</f>
        <v/>
      </c>
      <c r="KZ41" s="5">
        <f>IFERROR(ROUND(KO41/KR41,2),0)</f>
        <v/>
      </c>
      <c r="LA41" s="2" t="inlineStr">
        <is>
          <t>2023-10-17</t>
        </is>
      </c>
      <c r="LB41" s="5">
        <f>ROUND(0.8899999999999999,2)</f>
        <v/>
      </c>
      <c r="LC41" s="3">
        <f>ROUND(2434.0,2)</f>
        <v/>
      </c>
      <c r="LD41" s="3">
        <f>ROUND(89.0,2)</f>
        <v/>
      </c>
      <c r="LE41" s="3">
        <f>ROUND(0.0,2)</f>
        <v/>
      </c>
      <c r="LF41" s="3">
        <f>ROUND(0.0,2)</f>
        <v/>
      </c>
      <c r="LG41" s="3">
        <f>ROUND(0.0,2)</f>
        <v/>
      </c>
      <c r="LH41" s="3">
        <f>ROUND(0.0,2)</f>
        <v/>
      </c>
      <c r="LI41" s="3">
        <f>ROUND(0.0,2)</f>
        <v/>
      </c>
      <c r="LJ41" s="4">
        <f>IFERROR((LD41/LC41),0)</f>
        <v/>
      </c>
      <c r="LK41" s="4">
        <f>IFERROR(((0+LB11+LB12+LB13+LB14+LB15+LB16+LB17+LB19+LB20+LB21+LB22+LB23+LB24+LB25+LB27+LB28+LB29+LB30+LB31+LB32+LB33+LB35+LB36+LB37+LB38+LB39+LB40+LB41)/T2),0)</f>
        <v/>
      </c>
      <c r="LL41" s="5">
        <f>IFERROR(ROUND(LB41/LD41,2),0)</f>
        <v/>
      </c>
      <c r="LM41" s="5">
        <f>IFERROR(ROUND(LB41/LE41,2),0)</f>
        <v/>
      </c>
      <c r="LN41" s="2" t="inlineStr">
        <is>
          <t>2023-10-17</t>
        </is>
      </c>
      <c r="LO41" s="5">
        <f>ROUND(0.55,2)</f>
        <v/>
      </c>
      <c r="LP41" s="3">
        <f>ROUND(578.0,2)</f>
        <v/>
      </c>
      <c r="LQ41" s="3">
        <f>ROUND(55.0,2)</f>
        <v/>
      </c>
      <c r="LR41" s="3">
        <f>ROUND(0.0,2)</f>
        <v/>
      </c>
      <c r="LS41" s="3">
        <f>ROUND(0.0,2)</f>
        <v/>
      </c>
      <c r="LT41" s="3">
        <f>ROUND(0.0,2)</f>
        <v/>
      </c>
      <c r="LU41" s="3">
        <f>ROUND(0.0,2)</f>
        <v/>
      </c>
      <c r="LV41" s="3">
        <f>ROUND(0.0,2)</f>
        <v/>
      </c>
      <c r="LW41" s="4">
        <f>IFERROR((LQ41/LP41),0)</f>
        <v/>
      </c>
      <c r="LX41" s="4">
        <f>IFERROR(((0+LO11+LO12+LO13+LO14+LO15+LO16+LO17+LO19+LO20+LO21+LO22+LO23+LO24+LO25+LO27+LO28+LO29+LO30+LO31+LO32+LO33+LO35+LO36+LO37+LO38+LO39+LO40+LO41)/T2),0)</f>
        <v/>
      </c>
      <c r="LY41" s="5">
        <f>IFERROR(ROUND(LO41/LQ41,2),0)</f>
        <v/>
      </c>
      <c r="LZ41" s="5">
        <f>IFERROR(ROUND(LO41/LR41,2),0)</f>
        <v/>
      </c>
      <c r="MA41" s="2" t="inlineStr">
        <is>
          <t>2023-10-17</t>
        </is>
      </c>
      <c r="MB41" s="5">
        <f>ROUND(0.71,2)</f>
        <v/>
      </c>
      <c r="MC41" s="3">
        <f>ROUND(1820.0,2)</f>
        <v/>
      </c>
      <c r="MD41" s="3">
        <f>ROUND(71.0,2)</f>
        <v/>
      </c>
      <c r="ME41" s="3">
        <f>ROUND(0.0,2)</f>
        <v/>
      </c>
      <c r="MF41" s="3">
        <f>ROUND(0.0,2)</f>
        <v/>
      </c>
      <c r="MG41" s="3">
        <f>ROUND(0.0,2)</f>
        <v/>
      </c>
      <c r="MH41" s="3">
        <f>ROUND(0.0,2)</f>
        <v/>
      </c>
      <c r="MI41" s="3">
        <f>ROUND(0.0,2)</f>
        <v/>
      </c>
      <c r="MJ41" s="4">
        <f>IFERROR((MD41/MC41),0)</f>
        <v/>
      </c>
      <c r="MK41" s="4">
        <f>IFERROR(((0+MB11+MB12+MB13+MB14+MB15+MB16+MB17+MB19+MB20+MB21+MB22+MB23+MB24+MB25+MB27+MB28+MB29+MB30+MB31+MB32+MB33+MB35+MB36+MB37+MB38+MB39+MB40+MB41)/T2),0)</f>
        <v/>
      </c>
      <c r="ML41" s="5">
        <f>IFERROR(ROUND(MB41/MD41,2),0)</f>
        <v/>
      </c>
      <c r="MM41" s="5">
        <f>IFERROR(ROUND(MB41/ME41,2),0)</f>
        <v/>
      </c>
      <c r="MN41" s="2" t="inlineStr">
        <is>
          <t>2023-10-17</t>
        </is>
      </c>
      <c r="MO41" s="5">
        <f>ROUND(4.65,2)</f>
        <v/>
      </c>
      <c r="MP41" s="3">
        <f>ROUND(6857.0,2)</f>
        <v/>
      </c>
      <c r="MQ41" s="3">
        <f>ROUND(464.0,2)</f>
        <v/>
      </c>
      <c r="MR41" s="3">
        <f>ROUND(0.0,2)</f>
        <v/>
      </c>
      <c r="MS41" s="3">
        <f>ROUND(0.0,2)</f>
        <v/>
      </c>
      <c r="MT41" s="3">
        <f>ROUND(0.0,2)</f>
        <v/>
      </c>
      <c r="MU41" s="3">
        <f>ROUND(0.0,2)</f>
        <v/>
      </c>
      <c r="MV41" s="3">
        <f>ROUND(0.0,2)</f>
        <v/>
      </c>
      <c r="MW41" s="4">
        <f>IFERROR((MQ41/MP41),0)</f>
        <v/>
      </c>
      <c r="MX41" s="4">
        <f>IFERROR(((0+MO11+MO12+MO13+MO14+MO15+MO16+MO17+MO19+MO20+MO21+MO22+MO23+MO24+MO25+MO27+MO28+MO29+MO30+MO31+MO32+MO33+MO35+MO36+MO37+MO38+MO39+MO40+MO41)/T2),0)</f>
        <v/>
      </c>
      <c r="MY41" s="5">
        <f>IFERROR(ROUND(MO41/MQ41,2),0)</f>
        <v/>
      </c>
      <c r="MZ41" s="5">
        <f>IFERROR(ROUND(MO41/MR41,2),0)</f>
        <v/>
      </c>
      <c r="NA41" s="2" t="inlineStr">
        <is>
          <t>2023-10-17</t>
        </is>
      </c>
      <c r="NB41" s="5">
        <f>ROUND(1.47,2)</f>
        <v/>
      </c>
      <c r="NC41" s="3">
        <f>ROUND(5245.0,2)</f>
        <v/>
      </c>
      <c r="ND41" s="3">
        <f>ROUND(147.0,2)</f>
        <v/>
      </c>
      <c r="NE41" s="3">
        <f>ROUND(0.0,2)</f>
        <v/>
      </c>
      <c r="NF41" s="3">
        <f>ROUND(0.0,2)</f>
        <v/>
      </c>
      <c r="NG41" s="3">
        <f>ROUND(0.0,2)</f>
        <v/>
      </c>
      <c r="NH41" s="3">
        <f>ROUND(0.0,2)</f>
        <v/>
      </c>
      <c r="NI41" s="3">
        <f>ROUND(0.0,2)</f>
        <v/>
      </c>
      <c r="NJ41" s="4">
        <f>IFERROR((ND41/NC41),0)</f>
        <v/>
      </c>
      <c r="NK41" s="4">
        <f>IFERROR(((0+NB11+NB12+NB13+NB14+NB15+NB16+NB17+NB19+NB20+NB21+NB22+NB23+NB24+NB25+NB27+NB28+NB29+NB30+NB31+NB32+NB33+NB35+NB36+NB37+NB38+NB39+NB40+NB41)/T2),0)</f>
        <v/>
      </c>
      <c r="NL41" s="5">
        <f>IFERROR(ROUND(NB41/ND41,2),0)</f>
        <v/>
      </c>
      <c r="NM41" s="5">
        <f>IFERROR(ROUND(NB41/NE41,2),0)</f>
        <v/>
      </c>
      <c r="NN41" s="2" t="inlineStr">
        <is>
          <t>2023-10-17</t>
        </is>
      </c>
      <c r="NO41" s="5">
        <f>ROUND(0.02,2)</f>
        <v/>
      </c>
      <c r="NP41" s="3">
        <f>ROUND(73.0,2)</f>
        <v/>
      </c>
      <c r="NQ41" s="3">
        <f>ROUND(2.0,2)</f>
        <v/>
      </c>
      <c r="NR41" s="3">
        <f>ROUND(0.0,2)</f>
        <v/>
      </c>
      <c r="NS41" s="3">
        <f>ROUND(0.0,2)</f>
        <v/>
      </c>
      <c r="NT41" s="3">
        <f>ROUND(0.0,2)</f>
        <v/>
      </c>
      <c r="NU41" s="3">
        <f>ROUND(0.0,2)</f>
        <v/>
      </c>
      <c r="NV41" s="3">
        <f>ROUND(0.0,2)</f>
        <v/>
      </c>
      <c r="NW41" s="4">
        <f>IFERROR((NQ41/NP41),0)</f>
        <v/>
      </c>
      <c r="NX41" s="4">
        <f>IFERROR(((0+NO11+NO12+NO13+NO14+NO15+NO16+NO17+NO19+NO20+NO21+NO22+NO23+NO24+NO25+NO27+NO28+NO29+NO30+NO31+NO32+NO33+NO35+NO36+NO37+NO38+NO39+NO40+NO41)/T2),0)</f>
        <v/>
      </c>
      <c r="NY41" s="5">
        <f>IFERROR(ROUND(NO41/NQ41,2),0)</f>
        <v/>
      </c>
      <c r="NZ41" s="5">
        <f>IFERROR(ROUND(NO41/NR41,2),0)</f>
        <v/>
      </c>
      <c r="OA41" s="2" t="inlineStr">
        <is>
          <t>2023-10-17</t>
        </is>
      </c>
      <c r="OB41" s="5">
        <f>ROUND(0.01,2)</f>
        <v/>
      </c>
      <c r="OC41" s="3">
        <f>ROUND(28.0,2)</f>
        <v/>
      </c>
      <c r="OD41" s="3">
        <f>ROUND(1.0,2)</f>
        <v/>
      </c>
      <c r="OE41" s="3">
        <f>ROUND(0.0,2)</f>
        <v/>
      </c>
      <c r="OF41" s="3">
        <f>ROUND(0.0,2)</f>
        <v/>
      </c>
      <c r="OG41" s="3">
        <f>ROUND(0.0,2)</f>
        <v/>
      </c>
      <c r="OH41" s="3">
        <f>ROUND(0.0,2)</f>
        <v/>
      </c>
      <c r="OI41" s="3">
        <f>ROUND(0.0,2)</f>
        <v/>
      </c>
      <c r="OJ41" s="4">
        <f>IFERROR((OD41/OC41),0)</f>
        <v/>
      </c>
      <c r="OK41" s="4">
        <f>IFERROR(((0+OB11+OB12+OB13+OB14+OB15+OB16+OB17+OB19+OB20+OB21+OB22+OB23+OB24+OB25+OB27+OB28+OB29+OB30+OB31+OB32+OB33+OB35+OB36+OB37+OB38+OB39+OB40+OB41)/T2),0)</f>
        <v/>
      </c>
      <c r="OL41" s="5">
        <f>IFERROR(ROUND(OB41/OD41,2),0)</f>
        <v/>
      </c>
      <c r="OM41" s="5">
        <f>IFERROR(ROUND(OB41/OE41,2),0)</f>
        <v/>
      </c>
      <c r="ON41" s="2" t="inlineStr">
        <is>
          <t>2023-10-17</t>
        </is>
      </c>
      <c r="OO41" s="5">
        <f>ROUND(0.04,2)</f>
        <v/>
      </c>
      <c r="OP41" s="3">
        <f>ROUND(72.0,2)</f>
        <v/>
      </c>
      <c r="OQ41" s="3">
        <f>ROUND(4.0,2)</f>
        <v/>
      </c>
      <c r="OR41" s="3">
        <f>ROUND(0.0,2)</f>
        <v/>
      </c>
      <c r="OS41" s="3">
        <f>ROUND(0.0,2)</f>
        <v/>
      </c>
      <c r="OT41" s="3">
        <f>ROUND(0.0,2)</f>
        <v/>
      </c>
      <c r="OU41" s="3">
        <f>ROUND(0.0,2)</f>
        <v/>
      </c>
      <c r="OV41" s="3">
        <f>ROUND(0.0,2)</f>
        <v/>
      </c>
      <c r="OW41" s="4">
        <f>IFERROR((OQ41/OP41),0)</f>
        <v/>
      </c>
      <c r="OX41" s="4">
        <f>IFERROR(((0+OO11+OO12+OO13+OO14+OO15+OO16+OO17+OO19+OO20+OO21+OO22+OO23+OO24+OO25+OO27+OO28+OO29+OO30+OO31+OO32+OO33+OO35+OO36+OO37+OO38+OO39+OO40+OO41)/T2),0)</f>
        <v/>
      </c>
      <c r="OY41" s="5">
        <f>IFERROR(ROUND(OO41/OQ41,2),0)</f>
        <v/>
      </c>
      <c r="OZ41" s="5">
        <f>IFERROR(ROUND(OO41/OR41,2),0)</f>
        <v/>
      </c>
      <c r="PA41" s="2" t="inlineStr">
        <is>
          <t>2023-10-17</t>
        </is>
      </c>
      <c r="PB41" s="5">
        <f>ROUND(0.41,2)</f>
        <v/>
      </c>
      <c r="PC41" s="3">
        <f>ROUND(396.0,2)</f>
        <v/>
      </c>
      <c r="PD41" s="3">
        <f>ROUND(41.0,2)</f>
        <v/>
      </c>
      <c r="PE41" s="3">
        <f>ROUND(0.0,2)</f>
        <v/>
      </c>
      <c r="PF41" s="3">
        <f>ROUND(0.0,2)</f>
        <v/>
      </c>
      <c r="PG41" s="3">
        <f>ROUND(0.0,2)</f>
        <v/>
      </c>
      <c r="PH41" s="3">
        <f>ROUND(0.0,2)</f>
        <v/>
      </c>
      <c r="PI41" s="3">
        <f>ROUND(0.0,2)</f>
        <v/>
      </c>
      <c r="PJ41" s="4">
        <f>IFERROR((PD41/PC41),0)</f>
        <v/>
      </c>
      <c r="PK41" s="4">
        <f>IFERROR(((0+PB11+PB12+PB13+PB14+PB15+PB16+PB17+PB19+PB20+PB21+PB22+PB23+PB24+PB25+PB27+PB28+PB29+PB30+PB31+PB32+PB33+PB35+PB36+PB37+PB38+PB39+PB40+PB41)/T2),0)</f>
        <v/>
      </c>
      <c r="PL41" s="5">
        <f>IFERROR(ROUND(PB41/PD41,2),0)</f>
        <v/>
      </c>
      <c r="PM41" s="5">
        <f>IFERROR(ROUND(PB41/PE41,2),0)</f>
        <v/>
      </c>
      <c r="PN41" s="2" t="inlineStr">
        <is>
          <t>2023-10-17</t>
        </is>
      </c>
      <c r="PO41" s="5">
        <f>ROUND(3.25,2)</f>
        <v/>
      </c>
      <c r="PP41" s="3">
        <f>ROUND(4816.0,2)</f>
        <v/>
      </c>
      <c r="PQ41" s="3">
        <f>ROUND(325.0,2)</f>
        <v/>
      </c>
      <c r="PR41" s="3">
        <f>ROUND(0.0,2)</f>
        <v/>
      </c>
      <c r="PS41" s="3">
        <f>ROUND(0.0,2)</f>
        <v/>
      </c>
      <c r="PT41" s="3">
        <f>ROUND(0.0,2)</f>
        <v/>
      </c>
      <c r="PU41" s="3">
        <f>ROUND(0.0,2)</f>
        <v/>
      </c>
      <c r="PV41" s="3">
        <f>ROUND(0.0,2)</f>
        <v/>
      </c>
      <c r="PW41" s="4">
        <f>IFERROR((PQ41/PP41),0)</f>
        <v/>
      </c>
      <c r="PX41" s="4">
        <f>IFERROR(((0+PO11+PO12+PO13+PO14+PO15+PO16+PO17+PO19+PO20+PO21+PO22+PO23+PO24+PO25+PO27+PO28+PO29+PO30+PO31+PO32+PO33+PO35+PO36+PO37+PO38+PO39+PO40+PO41)/T2),0)</f>
        <v/>
      </c>
      <c r="PY41" s="5">
        <f>IFERROR(ROUND(PO41/PQ41,2),0)</f>
        <v/>
      </c>
      <c r="PZ41" s="5">
        <f>IFERROR(ROUND(PO41/PR41,2),0)</f>
        <v/>
      </c>
      <c r="QA41" s="2" t="inlineStr">
        <is>
          <t>2023-10-17</t>
        </is>
      </c>
      <c r="QB41" s="5">
        <f>ROUND(0.02,2)</f>
        <v/>
      </c>
      <c r="QC41" s="3">
        <f>ROUND(40.0,2)</f>
        <v/>
      </c>
      <c r="QD41" s="3">
        <f>ROUND(2.0,2)</f>
        <v/>
      </c>
      <c r="QE41" s="3">
        <f>ROUND(0.0,2)</f>
        <v/>
      </c>
      <c r="QF41" s="3">
        <f>ROUND(0.0,2)</f>
        <v/>
      </c>
      <c r="QG41" s="3">
        <f>ROUND(0.0,2)</f>
        <v/>
      </c>
      <c r="QH41" s="3">
        <f>ROUND(0.0,2)</f>
        <v/>
      </c>
      <c r="QI41" s="3">
        <f>ROUND(0.0,2)</f>
        <v/>
      </c>
      <c r="QJ41" s="4">
        <f>IFERROR((QD41/QC41),0)</f>
        <v/>
      </c>
      <c r="QK41" s="4">
        <f>IFERROR(((0+QB11+QB12+QB13+QB14+QB15+QB16+QB17+QB19+QB20+QB21+QB22+QB23+QB24+QB25+QB27+QB28+QB29+QB30+QB31+QB32+QB33+QB35+QB36+QB37+QB38+QB39+QB40+QB41)/T2),0)</f>
        <v/>
      </c>
      <c r="QL41" s="5">
        <f>IFERROR(ROUND(QB41/QD41,2),0)</f>
        <v/>
      </c>
      <c r="QM41" s="5">
        <f>IFERROR(ROUND(QB41/QE41,2),0)</f>
        <v/>
      </c>
      <c r="QN41" s="2" t="inlineStr">
        <is>
          <t>2023-10-17</t>
        </is>
      </c>
      <c r="QO41" s="5">
        <f>ROUND(0.14,2)</f>
        <v/>
      </c>
      <c r="QP41" s="3">
        <f>ROUND(207.0,2)</f>
        <v/>
      </c>
      <c r="QQ41" s="3">
        <f>ROUND(14.0,2)</f>
        <v/>
      </c>
      <c r="QR41" s="3">
        <f>ROUND(0.0,2)</f>
        <v/>
      </c>
      <c r="QS41" s="3">
        <f>ROUND(0.0,2)</f>
        <v/>
      </c>
      <c r="QT41" s="3">
        <f>ROUND(0.0,2)</f>
        <v/>
      </c>
      <c r="QU41" s="3">
        <f>ROUND(0.0,2)</f>
        <v/>
      </c>
      <c r="QV41" s="3">
        <f>ROUND(0.0,2)</f>
        <v/>
      </c>
      <c r="QW41" s="4">
        <f>IFERROR((QQ41/QP41),0)</f>
        <v/>
      </c>
      <c r="QX41" s="4">
        <f>IFERROR(((0+QO11+QO12+QO13+QO14+QO15+QO16+QO17+QO19+QO20+QO21+QO22+QO23+QO24+QO25+QO27+QO28+QO29+QO30+QO31+QO32+QO33+QO35+QO36+QO37+QO38+QO39+QO40+QO41)/T2),0)</f>
        <v/>
      </c>
      <c r="QY41" s="5">
        <f>IFERROR(ROUND(QO41/QQ41,2),0)</f>
        <v/>
      </c>
      <c r="QZ41" s="5">
        <f>IFERROR(ROUND(QO41/QR41,2),0)</f>
        <v/>
      </c>
      <c r="RA41" s="2" t="inlineStr">
        <is>
          <t>2023-10-17</t>
        </is>
      </c>
      <c r="RB41" s="5">
        <f>ROUND(0.03,2)</f>
        <v/>
      </c>
      <c r="RC41" s="3">
        <f>ROUND(38.0,2)</f>
        <v/>
      </c>
      <c r="RD41" s="3">
        <f>ROUND(3.0,2)</f>
        <v/>
      </c>
      <c r="RE41" s="3">
        <f>ROUND(0.0,2)</f>
        <v/>
      </c>
      <c r="RF41" s="3">
        <f>ROUND(0.0,2)</f>
        <v/>
      </c>
      <c r="RG41" s="3">
        <f>ROUND(0.0,2)</f>
        <v/>
      </c>
      <c r="RH41" s="3">
        <f>ROUND(0.0,2)</f>
        <v/>
      </c>
      <c r="RI41" s="3">
        <f>ROUND(0.0,2)</f>
        <v/>
      </c>
      <c r="RJ41" s="4">
        <f>IFERROR((RD41/RC41),0)</f>
        <v/>
      </c>
      <c r="RK41" s="4">
        <f>IFERROR(((0+RB11+RB12+RB13+RB14+RB15+RB16+RB17+RB19+RB20+RB21+RB22+RB23+RB24+RB25+RB27+RB28+RB29+RB30+RB31+RB32+RB33+RB35+RB36+RB37+RB38+RB39+RB40+RB41)/T2),0)</f>
        <v/>
      </c>
      <c r="RL41" s="5">
        <f>IFERROR(ROUND(RB41/RD41,2),0)</f>
        <v/>
      </c>
      <c r="RM41" s="5">
        <f>IFERROR(ROUND(RB41/RE41,2),0)</f>
        <v/>
      </c>
      <c r="RN41" s="2" t="inlineStr">
        <is>
          <t>2023-10-17</t>
        </is>
      </c>
      <c r="RO41" s="5">
        <f>ROUND(0.01,2)</f>
        <v/>
      </c>
      <c r="RP41" s="3">
        <f>ROUND(54.0,2)</f>
        <v/>
      </c>
      <c r="RQ41" s="3">
        <f>ROUND(1.0,2)</f>
        <v/>
      </c>
      <c r="RR41" s="3">
        <f>ROUND(0.0,2)</f>
        <v/>
      </c>
      <c r="RS41" s="3">
        <f>ROUND(0.0,2)</f>
        <v/>
      </c>
      <c r="RT41" s="3">
        <f>ROUND(0.0,2)</f>
        <v/>
      </c>
      <c r="RU41" s="3">
        <f>ROUND(0.0,2)</f>
        <v/>
      </c>
      <c r="RV41" s="3">
        <f>ROUND(0.0,2)</f>
        <v/>
      </c>
      <c r="RW41" s="4">
        <f>IFERROR((RQ41/RP41),0)</f>
        <v/>
      </c>
      <c r="RX41" s="4">
        <f>IFERROR(((0+RO11+RO12+RO13+RO14+RO15+RO16+RO17+RO19+RO20+RO21+RO22+RO23+RO24+RO25+RO27+RO28+RO29+RO30+RO31+RO32+RO33+RO35+RO36+RO37+RO38+RO39+RO40+RO41)/T2),0)</f>
        <v/>
      </c>
      <c r="RY41" s="5">
        <f>IFERROR(ROUND(RO41/RQ41,2),0)</f>
        <v/>
      </c>
      <c r="RZ41" s="5">
        <f>IFERROR(ROUND(RO41/RR41,2),0)</f>
        <v/>
      </c>
      <c r="SA41" s="2" t="inlineStr">
        <is>
          <t>2023-10-17</t>
        </is>
      </c>
      <c r="SB41" s="5">
        <f>ROUND(0.7,2)</f>
        <v/>
      </c>
      <c r="SC41" s="3">
        <f>ROUND(788.0,2)</f>
        <v/>
      </c>
      <c r="SD41" s="3">
        <f>ROUND(70.0,2)</f>
        <v/>
      </c>
      <c r="SE41" s="3">
        <f>ROUND(0.0,2)</f>
        <v/>
      </c>
      <c r="SF41" s="3">
        <f>ROUND(0.0,2)</f>
        <v/>
      </c>
      <c r="SG41" s="3">
        <f>ROUND(0.0,2)</f>
        <v/>
      </c>
      <c r="SH41" s="3">
        <f>ROUND(0.0,2)</f>
        <v/>
      </c>
      <c r="SI41" s="3">
        <f>ROUND(0.0,2)</f>
        <v/>
      </c>
      <c r="SJ41" s="4">
        <f>IFERROR((SD41/SC41),0)</f>
        <v/>
      </c>
      <c r="SK41" s="4">
        <f>IFERROR(((0+SB11+SB12+SB13+SB14+SB15+SB16+SB17+SB19+SB20+SB21+SB22+SB23+SB24+SB25+SB27+SB28+SB29+SB30+SB31+SB32+SB33+SB35+SB36+SB37+SB38+SB39+SB40+SB41)/T2),0)</f>
        <v/>
      </c>
      <c r="SL41" s="5">
        <f>IFERROR(ROUND(SB41/SD41,2),0)</f>
        <v/>
      </c>
      <c r="SM41" s="5">
        <f>IFERROR(ROUND(SB41/SE41,2),0)</f>
        <v/>
      </c>
      <c r="SN41" s="2" t="inlineStr">
        <is>
          <t>2023-10-17</t>
        </is>
      </c>
      <c r="SO41" s="5">
        <f>ROUND(0.72,2)</f>
        <v/>
      </c>
      <c r="SP41" s="3">
        <f>ROUND(571.0,2)</f>
        <v/>
      </c>
      <c r="SQ41" s="3">
        <f>ROUND(72.0,2)</f>
        <v/>
      </c>
      <c r="SR41" s="3">
        <f>ROUND(0.0,2)</f>
        <v/>
      </c>
      <c r="SS41" s="3">
        <f>ROUND(0.0,2)</f>
        <v/>
      </c>
      <c r="ST41" s="3">
        <f>ROUND(0.0,2)</f>
        <v/>
      </c>
      <c r="SU41" s="3">
        <f>ROUND(0.0,2)</f>
        <v/>
      </c>
      <c r="SV41" s="3">
        <f>ROUND(0.0,2)</f>
        <v/>
      </c>
      <c r="SW41" s="4">
        <f>IFERROR((SQ41/SP41),0)</f>
        <v/>
      </c>
      <c r="SX41" s="4">
        <f>IFERROR(((0+SO11+SO12+SO13+SO14+SO15+SO16+SO17+SO19+SO20+SO21+SO22+SO23+SO24+SO25+SO27+SO28+SO29+SO30+SO31+SO32+SO33+SO35+SO36+SO37+SO38+SO39+SO40+SO41)/T2),0)</f>
        <v/>
      </c>
      <c r="SY41" s="5">
        <f>IFERROR(ROUND(SO41/SQ41,2),0)</f>
        <v/>
      </c>
      <c r="SZ41" s="5">
        <f>IFERROR(ROUND(SO41/SR41,2),0)</f>
        <v/>
      </c>
    </row>
    <row r="42">
      <c r="A42" s="2" t="inlineStr">
        <is>
          <t>4 Weekly Total</t>
        </is>
      </c>
      <c r="B42" s="5">
        <f>ROUND(288.17,2)</f>
        <v/>
      </c>
      <c r="C42" s="3">
        <f>ROUND(642388.0,2)</f>
        <v/>
      </c>
      <c r="D42" s="3">
        <f>ROUND(28815.0,2)</f>
        <v/>
      </c>
      <c r="E42" s="3">
        <f>ROUND(0.0,2)</f>
        <v/>
      </c>
      <c r="F42" s="3">
        <f>ROUND(0.0,2)</f>
        <v/>
      </c>
      <c r="G42" s="3">
        <f>ROUND(0.0,2)</f>
        <v/>
      </c>
      <c r="H42" s="3">
        <f>ROUND(0.0,2)</f>
        <v/>
      </c>
      <c r="I42" s="3">
        <f>ROUND(0.0,2)</f>
        <v/>
      </c>
      <c r="J42" s="4">
        <f>IFERROR((D42/C42),0)</f>
        <v/>
      </c>
      <c r="K42" s="4">
        <f>IFERROR(((0+B11+B12+B13+B14+B15+B16+B17+B19+B20+B21+B22+B23+B24+B25+B27+B28+B29+B30+B31+B32+B33+B35+B36+B37+B38+B39+B40+B41)/T2),0)</f>
        <v/>
      </c>
      <c r="L42" s="5">
        <f>IFERROR(ROUND(B42/D42,2),0)</f>
        <v/>
      </c>
      <c r="M42" s="5">
        <f>IFERROR(ROUND(B42/E42,2),0)</f>
        <v/>
      </c>
      <c r="N42" s="2" t="inlineStr">
        <is>
          <t>4 Weekly Total</t>
        </is>
      </c>
      <c r="O42" s="5">
        <f>ROUND(30.61,2)</f>
        <v/>
      </c>
      <c r="P42" s="3">
        <f>ROUND(42548.0,2)</f>
        <v/>
      </c>
      <c r="Q42" s="3">
        <f>ROUND(3061.0,2)</f>
        <v/>
      </c>
      <c r="R42" s="3">
        <f>ROUND(0.0,2)</f>
        <v/>
      </c>
      <c r="S42" s="3">
        <f>ROUND(0.0,2)</f>
        <v/>
      </c>
      <c r="T42" s="3">
        <f>ROUND(0.0,2)</f>
        <v/>
      </c>
      <c r="U42" s="3">
        <f>ROUND(0.0,2)</f>
        <v/>
      </c>
      <c r="V42" s="3">
        <f>ROUND(0.0,2)</f>
        <v/>
      </c>
      <c r="W42" s="4">
        <f>IFERROR((Q42/P42),0)</f>
        <v/>
      </c>
      <c r="X42" s="4">
        <f>IFERROR(((0+O11+O12+O13+O14+O15+O16+O17+O19+O20+O21+O22+O23+O24+O25+O27+O28+O29+O30+O31+O32+O33+O35+O36+O37+O38+O39+O40+O41)/T2),0)</f>
        <v/>
      </c>
      <c r="Y42" s="5">
        <f>IFERROR(ROUND(O42/Q42,2),0)</f>
        <v/>
      </c>
      <c r="Z42" s="5">
        <f>IFERROR(ROUND(O42/R42,2),0)</f>
        <v/>
      </c>
      <c r="AA42" s="2" t="inlineStr">
        <is>
          <t>4 Weekly Total</t>
        </is>
      </c>
      <c r="AB42" s="5">
        <f>ROUND(0.3,2)</f>
        <v/>
      </c>
      <c r="AC42" s="3">
        <f>ROUND(608.0,2)</f>
        <v/>
      </c>
      <c r="AD42" s="3">
        <f>ROUND(30.0,2)</f>
        <v/>
      </c>
      <c r="AE42" s="3">
        <f>ROUND(0.0,2)</f>
        <v/>
      </c>
      <c r="AF42" s="3">
        <f>ROUND(0.0,2)</f>
        <v/>
      </c>
      <c r="AG42" s="3">
        <f>ROUND(0.0,2)</f>
        <v/>
      </c>
      <c r="AH42" s="3">
        <f>ROUND(0.0,2)</f>
        <v/>
      </c>
      <c r="AI42" s="3">
        <f>ROUND(0.0,2)</f>
        <v/>
      </c>
      <c r="AJ42" s="4">
        <f>IFERROR((AD42/AC42),0)</f>
        <v/>
      </c>
      <c r="AK42" s="4">
        <f>IFERROR(((0+AB11+AB12+AB13+AB14+AB15+AB16+AB17+AB19+AB20+AB21+AB22+AB23+AB24+AB25+AB27+AB28+AB29+AB30+AB31+AB32+AB33+AB35+AB36+AB37+AB38+AB39+AB40+AB41)/T2),0)</f>
        <v/>
      </c>
      <c r="AL42" s="5">
        <f>IFERROR(ROUND(AB42/AD42,2),0)</f>
        <v/>
      </c>
      <c r="AM42" s="5">
        <f>IFERROR(ROUND(AB42/AE42,2),0)</f>
        <v/>
      </c>
      <c r="AN42" s="2" t="inlineStr">
        <is>
          <t>4 Weekly Total</t>
        </is>
      </c>
      <c r="AO42" s="5">
        <f>ROUND(24.44,2)</f>
        <v/>
      </c>
      <c r="AP42" s="3">
        <f>ROUND(84446.0,2)</f>
        <v/>
      </c>
      <c r="AQ42" s="3">
        <f>ROUND(2444.0,2)</f>
        <v/>
      </c>
      <c r="AR42" s="3">
        <f>ROUND(0.0,2)</f>
        <v/>
      </c>
      <c r="AS42" s="3">
        <f>ROUND(0.0,2)</f>
        <v/>
      </c>
      <c r="AT42" s="3">
        <f>ROUND(0.0,2)</f>
        <v/>
      </c>
      <c r="AU42" s="3">
        <f>ROUND(0.0,2)</f>
        <v/>
      </c>
      <c r="AV42" s="3">
        <f>ROUND(0.0,2)</f>
        <v/>
      </c>
      <c r="AW42" s="4">
        <f>IFERROR((AQ42/AP42),0)</f>
        <v/>
      </c>
      <c r="AX42" s="4">
        <f>IFERROR(((0+AO11+AO12+AO13+AO14+AO15+AO16+AO17+AO19+AO20+AO21+AO22+AO23+AO24+AO25+AO27+AO28+AO29+AO30+AO31+AO32+AO33+AO35+AO36+AO37+AO38+AO39+AO40+AO41)/T2),0)</f>
        <v/>
      </c>
      <c r="AY42" s="5">
        <f>IFERROR(ROUND(AO42/AQ42,2),0)</f>
        <v/>
      </c>
      <c r="AZ42" s="5">
        <f>IFERROR(ROUND(AO42/AR42,2),0)</f>
        <v/>
      </c>
      <c r="BA42" s="2" t="inlineStr">
        <is>
          <t>4 Weekly Total</t>
        </is>
      </c>
      <c r="BB42" s="5">
        <f>ROUND(3.35,2)</f>
        <v/>
      </c>
      <c r="BC42" s="3">
        <f>ROUND(5252.0,2)</f>
        <v/>
      </c>
      <c r="BD42" s="3">
        <f>ROUND(335.0,2)</f>
        <v/>
      </c>
      <c r="BE42" s="3">
        <f>ROUND(0.0,2)</f>
        <v/>
      </c>
      <c r="BF42" s="3">
        <f>ROUND(0.0,2)</f>
        <v/>
      </c>
      <c r="BG42" s="3">
        <f>ROUND(0.0,2)</f>
        <v/>
      </c>
      <c r="BH42" s="3">
        <f>ROUND(0.0,2)</f>
        <v/>
      </c>
      <c r="BI42" s="3">
        <f>ROUND(0.0,2)</f>
        <v/>
      </c>
      <c r="BJ42" s="4">
        <f>IFERROR((BD42/BC42),0)</f>
        <v/>
      </c>
      <c r="BK42" s="4">
        <f>IFERROR(((0+BB11+BB12+BB13+BB14+BB15+BB16+BB17+BB19+BB20+BB21+BB22+BB23+BB24+BB25+BB27+BB28+BB29+BB30+BB31+BB32+BB33+BB35+BB36+BB37+BB38+BB39+BB40+BB41)/T2),0)</f>
        <v/>
      </c>
      <c r="BL42" s="5">
        <f>IFERROR(ROUND(BB42/BD42,2),0)</f>
        <v/>
      </c>
      <c r="BM42" s="5">
        <f>IFERROR(ROUND(BB42/BE42,2),0)</f>
        <v/>
      </c>
      <c r="BN42" s="2" t="inlineStr">
        <is>
          <t>4 Weekly Total</t>
        </is>
      </c>
      <c r="BO42" s="5">
        <f>ROUND(3.62,2)</f>
        <v/>
      </c>
      <c r="BP42" s="3">
        <f>ROUND(4097.0,2)</f>
        <v/>
      </c>
      <c r="BQ42" s="3">
        <f>ROUND(362.0,2)</f>
        <v/>
      </c>
      <c r="BR42" s="3">
        <f>ROUND(0.0,2)</f>
        <v/>
      </c>
      <c r="BS42" s="3">
        <f>ROUND(0.0,2)</f>
        <v/>
      </c>
      <c r="BT42" s="3">
        <f>ROUND(0.0,2)</f>
        <v/>
      </c>
      <c r="BU42" s="3">
        <f>ROUND(0.0,2)</f>
        <v/>
      </c>
      <c r="BV42" s="3">
        <f>ROUND(0.0,2)</f>
        <v/>
      </c>
      <c r="BW42" s="4">
        <f>IFERROR((BQ42/BP42),0)</f>
        <v/>
      </c>
      <c r="BX42" s="4">
        <f>IFERROR(((0+BO11+BO12+BO13+BO14+BO15+BO16+BO17+BO19+BO20+BO21+BO22+BO23+BO24+BO25+BO27+BO28+BO29+BO30+BO31+BO32+BO33+BO35+BO36+BO37+BO38+BO39+BO40+BO41)/T2),0)</f>
        <v/>
      </c>
      <c r="BY42" s="5">
        <f>IFERROR(ROUND(BO42/BQ42,2),0)</f>
        <v/>
      </c>
      <c r="BZ42" s="5">
        <f>IFERROR(ROUND(BO42/BR42,2),0)</f>
        <v/>
      </c>
      <c r="CA42" s="2" t="inlineStr">
        <is>
          <t>4 Weekly Total</t>
        </is>
      </c>
      <c r="CB42" s="5">
        <f>ROUND(0.54,2)</f>
        <v/>
      </c>
      <c r="CC42" s="3">
        <f>ROUND(1056.0,2)</f>
        <v/>
      </c>
      <c r="CD42" s="3">
        <f>ROUND(54.0,2)</f>
        <v/>
      </c>
      <c r="CE42" s="3">
        <f>ROUND(0.0,2)</f>
        <v/>
      </c>
      <c r="CF42" s="3">
        <f>ROUND(0.0,2)</f>
        <v/>
      </c>
      <c r="CG42" s="3">
        <f>ROUND(0.0,2)</f>
        <v/>
      </c>
      <c r="CH42" s="3">
        <f>ROUND(0.0,2)</f>
        <v/>
      </c>
      <c r="CI42" s="3">
        <f>ROUND(0.0,2)</f>
        <v/>
      </c>
      <c r="CJ42" s="4">
        <f>IFERROR((CD42/CC42),0)</f>
        <v/>
      </c>
      <c r="CK42" s="4">
        <f>IFERROR(((0+CB11+CB12+CB13+CB14+CB15+CB16+CB17+CB19+CB20+CB21+CB22+CB23+CB24+CB25+CB27+CB28+CB29+CB30+CB31+CB32+CB33+CB35+CB36+CB37+CB38+CB39+CB40+CB41)/T2),0)</f>
        <v/>
      </c>
      <c r="CL42" s="5">
        <f>IFERROR(ROUND(CB42/CD42,2),0)</f>
        <v/>
      </c>
      <c r="CM42" s="5">
        <f>IFERROR(ROUND(CB42/CE42,2),0)</f>
        <v/>
      </c>
      <c r="CN42" s="2" t="inlineStr">
        <is>
          <t>4 Weekly Total</t>
        </is>
      </c>
      <c r="CO42" s="5">
        <f>ROUND(4.22,2)</f>
        <v/>
      </c>
      <c r="CP42" s="3">
        <f>ROUND(14295.0,2)</f>
        <v/>
      </c>
      <c r="CQ42" s="3">
        <f>ROUND(422.0,2)</f>
        <v/>
      </c>
      <c r="CR42" s="3">
        <f>ROUND(0.0,2)</f>
        <v/>
      </c>
      <c r="CS42" s="3">
        <f>ROUND(0.0,2)</f>
        <v/>
      </c>
      <c r="CT42" s="3">
        <f>ROUND(0.0,2)</f>
        <v/>
      </c>
      <c r="CU42" s="3">
        <f>ROUND(0.0,2)</f>
        <v/>
      </c>
      <c r="CV42" s="3">
        <f>ROUND(0.0,2)</f>
        <v/>
      </c>
      <c r="CW42" s="4">
        <f>IFERROR((CQ42/CP42),0)</f>
        <v/>
      </c>
      <c r="CX42" s="4">
        <f>IFERROR(((0+CO11+CO12+CO13+CO14+CO15+CO16+CO17+CO19+CO20+CO21+CO22+CO23+CO24+CO25+CO27+CO28+CO29+CO30+CO31+CO32+CO33+CO35+CO36+CO37+CO38+CO39+CO40+CO41)/T2),0)</f>
        <v/>
      </c>
      <c r="CY42" s="5">
        <f>IFERROR(ROUND(CO42/CQ42,2),0)</f>
        <v/>
      </c>
      <c r="CZ42" s="5">
        <f>IFERROR(ROUND(CO42/CR42,2),0)</f>
        <v/>
      </c>
      <c r="DA42" s="2" t="inlineStr">
        <is>
          <t>4 Weekly Total</t>
        </is>
      </c>
      <c r="DB42" s="5">
        <f>ROUND(12.3,2)</f>
        <v/>
      </c>
      <c r="DC42" s="3">
        <f>ROUND(28865.0,2)</f>
        <v/>
      </c>
      <c r="DD42" s="3">
        <f>ROUND(1230.0,2)</f>
        <v/>
      </c>
      <c r="DE42" s="3">
        <f>ROUND(0.0,2)</f>
        <v/>
      </c>
      <c r="DF42" s="3">
        <f>ROUND(0.0,2)</f>
        <v/>
      </c>
      <c r="DG42" s="3">
        <f>ROUND(0.0,2)</f>
        <v/>
      </c>
      <c r="DH42" s="3">
        <f>ROUND(0.0,2)</f>
        <v/>
      </c>
      <c r="DI42" s="3">
        <f>ROUND(0.0,2)</f>
        <v/>
      </c>
      <c r="DJ42" s="4">
        <f>IFERROR((DD42/DC42),0)</f>
        <v/>
      </c>
      <c r="DK42" s="4">
        <f>IFERROR(((0+DB11+DB12+DB13+DB14+DB15+DB16+DB17+DB19+DB20+DB21+DB22+DB23+DB24+DB25+DB27+DB28+DB29+DB30+DB31+DB32+DB33+DB35+DB36+DB37+DB38+DB39+DB40+DB41)/T2),0)</f>
        <v/>
      </c>
      <c r="DL42" s="5">
        <f>IFERROR(ROUND(DB42/DD42,2),0)</f>
        <v/>
      </c>
      <c r="DM42" s="5">
        <f>IFERROR(ROUND(DB42/DE42,2),0)</f>
        <v/>
      </c>
      <c r="DN42" s="2" t="inlineStr">
        <is>
          <t>4 Weekly Total</t>
        </is>
      </c>
      <c r="DO42" s="5">
        <f>ROUND(0.13,2)</f>
        <v/>
      </c>
      <c r="DP42" s="3">
        <f>ROUND(388.0,2)</f>
        <v/>
      </c>
      <c r="DQ42" s="3">
        <f>ROUND(13.0,2)</f>
        <v/>
      </c>
      <c r="DR42" s="3">
        <f>ROUND(0.0,2)</f>
        <v/>
      </c>
      <c r="DS42" s="3">
        <f>ROUND(0.0,2)</f>
        <v/>
      </c>
      <c r="DT42" s="3">
        <f>ROUND(0.0,2)</f>
        <v/>
      </c>
      <c r="DU42" s="3">
        <f>ROUND(0.0,2)</f>
        <v/>
      </c>
      <c r="DV42" s="3">
        <f>ROUND(0.0,2)</f>
        <v/>
      </c>
      <c r="DW42" s="4">
        <f>IFERROR((DQ42/DP42),0)</f>
        <v/>
      </c>
      <c r="DX42" s="4">
        <f>IFERROR(((0+DO11+DO12+DO13+DO14+DO15+DO16+DO17+DO19+DO20+DO21+DO22+DO23+DO24+DO25+DO27+DO28+DO29+DO30+DO31+DO32+DO33+DO35+DO36+DO37+DO38+DO39+DO40+DO41)/T2),0)</f>
        <v/>
      </c>
      <c r="DY42" s="5">
        <f>IFERROR(ROUND(DO42/DQ42,2),0)</f>
        <v/>
      </c>
      <c r="DZ42" s="5">
        <f>IFERROR(ROUND(DO42/DR42,2),0)</f>
        <v/>
      </c>
      <c r="EA42" s="2" t="inlineStr">
        <is>
          <t>4 Weekly Total</t>
        </is>
      </c>
      <c r="EB42" s="5">
        <f>ROUND(21.03,2)</f>
        <v/>
      </c>
      <c r="EC42" s="3">
        <f>ROUND(80841.0,2)</f>
        <v/>
      </c>
      <c r="ED42" s="3">
        <f>ROUND(2103.0,2)</f>
        <v/>
      </c>
      <c r="EE42" s="3">
        <f>ROUND(0.0,2)</f>
        <v/>
      </c>
      <c r="EF42" s="3">
        <f>ROUND(0.0,2)</f>
        <v/>
      </c>
      <c r="EG42" s="3">
        <f>ROUND(0.0,2)</f>
        <v/>
      </c>
      <c r="EH42" s="3">
        <f>ROUND(0.0,2)</f>
        <v/>
      </c>
      <c r="EI42" s="3">
        <f>ROUND(0.0,2)</f>
        <v/>
      </c>
      <c r="EJ42" s="4">
        <f>IFERROR((ED42/EC42),0)</f>
        <v/>
      </c>
      <c r="EK42" s="4">
        <f>IFERROR(((0+EB11+EB12+EB13+EB14+EB15+EB16+EB17+EB19+EB20+EB21+EB22+EB23+EB24+EB25+EB27+EB28+EB29+EB30+EB31+EB32+EB33+EB35+EB36+EB37+EB38+EB39+EB40+EB41)/T2),0)</f>
        <v/>
      </c>
      <c r="EL42" s="5">
        <f>IFERROR(ROUND(EB42/ED42,2),0)</f>
        <v/>
      </c>
      <c r="EM42" s="5">
        <f>IFERROR(ROUND(EB42/EE42,2),0)</f>
        <v/>
      </c>
      <c r="EN42" s="2" t="inlineStr">
        <is>
          <t>4 Weekly Total</t>
        </is>
      </c>
      <c r="EO42" s="5">
        <f>ROUND(0.21,2)</f>
        <v/>
      </c>
      <c r="EP42" s="3">
        <f>ROUND(670.0,2)</f>
        <v/>
      </c>
      <c r="EQ42" s="3">
        <f>ROUND(21.0,2)</f>
        <v/>
      </c>
      <c r="ER42" s="3">
        <f>ROUND(0.0,2)</f>
        <v/>
      </c>
      <c r="ES42" s="3">
        <f>ROUND(0.0,2)</f>
        <v/>
      </c>
      <c r="ET42" s="3">
        <f>ROUND(0.0,2)</f>
        <v/>
      </c>
      <c r="EU42" s="3">
        <f>ROUND(0.0,2)</f>
        <v/>
      </c>
      <c r="EV42" s="3">
        <f>ROUND(0.0,2)</f>
        <v/>
      </c>
      <c r="EW42" s="4">
        <f>IFERROR((EQ42/EP42),0)</f>
        <v/>
      </c>
      <c r="EX42" s="4">
        <f>IFERROR(((0+EO11+EO12+EO13+EO14+EO15+EO16+EO17+EO19+EO20+EO21+EO22+EO23+EO24+EO25+EO27+EO28+EO29+EO30+EO31+EO32+EO33+EO35+EO36+EO37+EO38+EO39+EO40+EO41)/T2),0)</f>
        <v/>
      </c>
      <c r="EY42" s="5">
        <f>IFERROR(ROUND(EO42/EQ42,2),0)</f>
        <v/>
      </c>
      <c r="EZ42" s="5">
        <f>IFERROR(ROUND(EO42/ER42,2),0)</f>
        <v/>
      </c>
      <c r="FA42" s="2" t="inlineStr">
        <is>
          <t>4 Weekly Total</t>
        </is>
      </c>
      <c r="FB42" s="5">
        <f>ROUND(3.7,2)</f>
        <v/>
      </c>
      <c r="FC42" s="3">
        <f>ROUND(14601.0,2)</f>
        <v/>
      </c>
      <c r="FD42" s="3">
        <f>ROUND(370.0,2)</f>
        <v/>
      </c>
      <c r="FE42" s="3">
        <f>ROUND(0.0,2)</f>
        <v/>
      </c>
      <c r="FF42" s="3">
        <f>ROUND(0.0,2)</f>
        <v/>
      </c>
      <c r="FG42" s="3">
        <f>ROUND(0.0,2)</f>
        <v/>
      </c>
      <c r="FH42" s="3">
        <f>ROUND(0.0,2)</f>
        <v/>
      </c>
      <c r="FI42" s="3">
        <f>ROUND(0.0,2)</f>
        <v/>
      </c>
      <c r="FJ42" s="4">
        <f>IFERROR((FD42/FC42),0)</f>
        <v/>
      </c>
      <c r="FK42" s="4">
        <f>IFERROR(((0+FB11+FB12+FB13+FB14+FB15+FB16+FB17+FB19+FB20+FB21+FB22+FB23+FB24+FB25+FB27+FB28+FB29+FB30+FB31+FB32+FB33+FB35+FB36+FB37+FB38+FB39+FB40+FB41)/T2),0)</f>
        <v/>
      </c>
      <c r="FL42" s="5">
        <f>IFERROR(ROUND(FB42/FD42,2),0)</f>
        <v/>
      </c>
      <c r="FM42" s="5">
        <f>IFERROR(ROUND(FB42/FE42,2),0)</f>
        <v/>
      </c>
      <c r="FN42" s="2" t="inlineStr">
        <is>
          <t>4 Weekly Total</t>
        </is>
      </c>
      <c r="FO42" s="5">
        <f>ROUND(6.12,2)</f>
        <v/>
      </c>
      <c r="FP42" s="3">
        <f>ROUND(17453.0,2)</f>
        <v/>
      </c>
      <c r="FQ42" s="3">
        <f>ROUND(612.0,2)</f>
        <v/>
      </c>
      <c r="FR42" s="3">
        <f>ROUND(0.0,2)</f>
        <v/>
      </c>
      <c r="FS42" s="3">
        <f>ROUND(0.0,2)</f>
        <v/>
      </c>
      <c r="FT42" s="3">
        <f>ROUND(0.0,2)</f>
        <v/>
      </c>
      <c r="FU42" s="3">
        <f>ROUND(0.0,2)</f>
        <v/>
      </c>
      <c r="FV42" s="3">
        <f>ROUND(0.0,2)</f>
        <v/>
      </c>
      <c r="FW42" s="4">
        <f>IFERROR((FQ42/FP42),0)</f>
        <v/>
      </c>
      <c r="FX42" s="4">
        <f>IFERROR(((0+FO11+FO12+FO13+FO14+FO15+FO16+FO17+FO19+FO20+FO21+FO22+FO23+FO24+FO25+FO27+FO28+FO29+FO30+FO31+FO32+FO33+FO35+FO36+FO37+FO38+FO39+FO40+FO41)/T2),0)</f>
        <v/>
      </c>
      <c r="FY42" s="5">
        <f>IFERROR(ROUND(FO42/FQ42,2),0)</f>
        <v/>
      </c>
      <c r="FZ42" s="5">
        <f>IFERROR(ROUND(FO42/FR42,2),0)</f>
        <v/>
      </c>
      <c r="GA42" s="2" t="inlineStr">
        <is>
          <t>4 Weekly Total</t>
        </is>
      </c>
      <c r="GB42" s="5">
        <f>ROUND(0.48,2)</f>
        <v/>
      </c>
      <c r="GC42" s="3">
        <f>ROUND(758.0,2)</f>
        <v/>
      </c>
      <c r="GD42" s="3">
        <f>ROUND(48.0,2)</f>
        <v/>
      </c>
      <c r="GE42" s="3">
        <f>ROUND(0.0,2)</f>
        <v/>
      </c>
      <c r="GF42" s="3">
        <f>ROUND(0.0,2)</f>
        <v/>
      </c>
      <c r="GG42" s="3">
        <f>ROUND(0.0,2)</f>
        <v/>
      </c>
      <c r="GH42" s="3">
        <f>ROUND(0.0,2)</f>
        <v/>
      </c>
      <c r="GI42" s="3">
        <f>ROUND(0.0,2)</f>
        <v/>
      </c>
      <c r="GJ42" s="4">
        <f>IFERROR((GD42/GC42),0)</f>
        <v/>
      </c>
      <c r="GK42" s="4">
        <f>IFERROR(((0+GB11+GB12+GB13+GB14+GB15+GB16+GB17+GB19+GB20+GB21+GB22+GB23+GB24+GB25+GB27+GB28+GB29+GB30+GB31+GB32+GB33+GB35+GB36+GB37+GB38+GB39+GB40+GB41)/T2),0)</f>
        <v/>
      </c>
      <c r="GL42" s="5">
        <f>IFERROR(ROUND(GB42/GD42,2),0)</f>
        <v/>
      </c>
      <c r="GM42" s="5">
        <f>IFERROR(ROUND(GB42/GE42,2),0)</f>
        <v/>
      </c>
      <c r="GN42" s="2" t="inlineStr">
        <is>
          <t>4 Weekly Total</t>
        </is>
      </c>
      <c r="GO42" s="5">
        <f>ROUND(2.21,2)</f>
        <v/>
      </c>
      <c r="GP42" s="3">
        <f>ROUND(7599.0,2)</f>
        <v/>
      </c>
      <c r="GQ42" s="3">
        <f>ROUND(221.0,2)</f>
        <v/>
      </c>
      <c r="GR42" s="3">
        <f>ROUND(0.0,2)</f>
        <v/>
      </c>
      <c r="GS42" s="3">
        <f>ROUND(0.0,2)</f>
        <v/>
      </c>
      <c r="GT42" s="3">
        <f>ROUND(0.0,2)</f>
        <v/>
      </c>
      <c r="GU42" s="3">
        <f>ROUND(0.0,2)</f>
        <v/>
      </c>
      <c r="GV42" s="3">
        <f>ROUND(0.0,2)</f>
        <v/>
      </c>
      <c r="GW42" s="4">
        <f>IFERROR((GQ42/GP42),0)</f>
        <v/>
      </c>
      <c r="GX42" s="4">
        <f>IFERROR(((0+GO11+GO12+GO13+GO14+GO15+GO16+GO17+GO19+GO20+GO21+GO22+GO23+GO24+GO25+GO27+GO28+GO29+GO30+GO31+GO32+GO33+GO35+GO36+GO37+GO38+GO39+GO40+GO41)/T2),0)</f>
        <v/>
      </c>
      <c r="GY42" s="5">
        <f>IFERROR(ROUND(GO42/GQ42,2),0)</f>
        <v/>
      </c>
      <c r="GZ42" s="5">
        <f>IFERROR(ROUND(GO42/GR42,2),0)</f>
        <v/>
      </c>
      <c r="HA42" s="2" t="inlineStr">
        <is>
          <t>4 Weekly Total</t>
        </is>
      </c>
      <c r="HB42" s="5">
        <f>ROUND(59.51,2)</f>
        <v/>
      </c>
      <c r="HC42" s="3">
        <f>ROUND(79883.0,2)</f>
        <v/>
      </c>
      <c r="HD42" s="3">
        <f>ROUND(5951.0,2)</f>
        <v/>
      </c>
      <c r="HE42" s="3">
        <f>ROUND(0.0,2)</f>
        <v/>
      </c>
      <c r="HF42" s="3">
        <f>ROUND(0.0,2)</f>
        <v/>
      </c>
      <c r="HG42" s="3">
        <f>ROUND(0.0,2)</f>
        <v/>
      </c>
      <c r="HH42" s="3">
        <f>ROUND(0.0,2)</f>
        <v/>
      </c>
      <c r="HI42" s="3">
        <f>ROUND(0.0,2)</f>
        <v/>
      </c>
      <c r="HJ42" s="4">
        <f>IFERROR((HD42/HC42),0)</f>
        <v/>
      </c>
      <c r="HK42" s="4">
        <f>IFERROR(((0+HB11+HB12+HB13+HB14+HB15+HB16+HB17+HB19+HB20+HB21+HB22+HB23+HB24+HB25+HB27+HB28+HB29+HB30+HB31+HB32+HB33+HB35+HB36+HB37+HB38+HB39+HB40+HB41)/T2),0)</f>
        <v/>
      </c>
      <c r="HL42" s="5">
        <f>IFERROR(ROUND(HB42/HD42,2),0)</f>
        <v/>
      </c>
      <c r="HM42" s="5">
        <f>IFERROR(ROUND(HB42/HE42,2),0)</f>
        <v/>
      </c>
      <c r="HN42" s="2" t="inlineStr">
        <is>
          <t>4 Weekly Total</t>
        </is>
      </c>
      <c r="HO42" s="5">
        <f>ROUND(0.25,2)</f>
        <v/>
      </c>
      <c r="HP42" s="3">
        <f>ROUND(638.0,2)</f>
        <v/>
      </c>
      <c r="HQ42" s="3">
        <f>ROUND(25.0,2)</f>
        <v/>
      </c>
      <c r="HR42" s="3">
        <f>ROUND(0.0,2)</f>
        <v/>
      </c>
      <c r="HS42" s="3">
        <f>ROUND(0.0,2)</f>
        <v/>
      </c>
      <c r="HT42" s="3">
        <f>ROUND(0.0,2)</f>
        <v/>
      </c>
      <c r="HU42" s="3">
        <f>ROUND(0.0,2)</f>
        <v/>
      </c>
      <c r="HV42" s="3">
        <f>ROUND(0.0,2)</f>
        <v/>
      </c>
      <c r="HW42" s="4">
        <f>IFERROR((HQ42/HP42),0)</f>
        <v/>
      </c>
      <c r="HX42" s="4">
        <f>IFERROR(((0+HO11+HO12+HO13+HO14+HO15+HO16+HO17+HO19+HO20+HO21+HO22+HO23+HO24+HO25+HO27+HO28+HO29+HO30+HO31+HO32+HO33+HO35+HO36+HO37+HO38+HO39+HO40+HO41)/T2),0)</f>
        <v/>
      </c>
      <c r="HY42" s="5">
        <f>IFERROR(ROUND(HO42/HQ42,2),0)</f>
        <v/>
      </c>
      <c r="HZ42" s="5">
        <f>IFERROR(ROUND(HO42/HR42,2),0)</f>
        <v/>
      </c>
      <c r="IA42" s="2" t="inlineStr">
        <is>
          <t>4 Weekly Total</t>
        </is>
      </c>
      <c r="IB42" s="5">
        <f>ROUND(1.15,2)</f>
        <v/>
      </c>
      <c r="IC42" s="3">
        <f>ROUND(832.0,2)</f>
        <v/>
      </c>
      <c r="ID42" s="3">
        <f>ROUND(115.0,2)</f>
        <v/>
      </c>
      <c r="IE42" s="3">
        <f>ROUND(0.0,2)</f>
        <v/>
      </c>
      <c r="IF42" s="3">
        <f>ROUND(0.0,2)</f>
        <v/>
      </c>
      <c r="IG42" s="3">
        <f>ROUND(0.0,2)</f>
        <v/>
      </c>
      <c r="IH42" s="3">
        <f>ROUND(0.0,2)</f>
        <v/>
      </c>
      <c r="II42" s="3">
        <f>ROUND(0.0,2)</f>
        <v/>
      </c>
      <c r="IJ42" s="4">
        <f>IFERROR((ID42/IC42),0)</f>
        <v/>
      </c>
      <c r="IK42" s="4">
        <f>IFERROR(((0+IB11+IB12+IB13+IB14+IB15+IB16+IB17+IB19+IB20+IB21+IB22+IB23+IB24+IB25+IB27+IB28+IB29+IB30+IB31+IB32+IB33+IB35+IB36+IB37+IB38+IB39+IB40+IB41)/T2),0)</f>
        <v/>
      </c>
      <c r="IL42" s="5">
        <f>IFERROR(ROUND(IB42/ID42,2),0)</f>
        <v/>
      </c>
      <c r="IM42" s="5">
        <f>IFERROR(ROUND(IB42/IE42,2),0)</f>
        <v/>
      </c>
      <c r="IN42" s="2" t="inlineStr">
        <is>
          <t>4 Weekly Total</t>
        </is>
      </c>
      <c r="IO42" s="5">
        <f>ROUND(5.07,2)</f>
        <v/>
      </c>
      <c r="IP42" s="3">
        <f>ROUND(17232.0,2)</f>
        <v/>
      </c>
      <c r="IQ42" s="3">
        <f>ROUND(507.0,2)</f>
        <v/>
      </c>
      <c r="IR42" s="3">
        <f>ROUND(0.0,2)</f>
        <v/>
      </c>
      <c r="IS42" s="3">
        <f>ROUND(0.0,2)</f>
        <v/>
      </c>
      <c r="IT42" s="3">
        <f>ROUND(0.0,2)</f>
        <v/>
      </c>
      <c r="IU42" s="3">
        <f>ROUND(0.0,2)</f>
        <v/>
      </c>
      <c r="IV42" s="3">
        <f>ROUND(0.0,2)</f>
        <v/>
      </c>
      <c r="IW42" s="4">
        <f>IFERROR((IQ42/IP42),0)</f>
        <v/>
      </c>
      <c r="IX42" s="4">
        <f>IFERROR(((0+IO11+IO12+IO13+IO14+IO15+IO16+IO17+IO19+IO20+IO21+IO22+IO23+IO24+IO25+IO27+IO28+IO29+IO30+IO31+IO32+IO33+IO35+IO36+IO37+IO38+IO39+IO40+IO41)/T2),0)</f>
        <v/>
      </c>
      <c r="IY42" s="5">
        <f>IFERROR(ROUND(IO42/IQ42,2),0)</f>
        <v/>
      </c>
      <c r="IZ42" s="5">
        <f>IFERROR(ROUND(IO42/IR42,2),0)</f>
        <v/>
      </c>
      <c r="JA42" s="2" t="inlineStr">
        <is>
          <t>4 Weekly Total</t>
        </is>
      </c>
      <c r="JB42" s="5">
        <f>ROUND(0.97,2)</f>
        <v/>
      </c>
      <c r="JC42" s="3">
        <f>ROUND(2758.0,2)</f>
        <v/>
      </c>
      <c r="JD42" s="3">
        <f>ROUND(97.0,2)</f>
        <v/>
      </c>
      <c r="JE42" s="3">
        <f>ROUND(0.0,2)</f>
        <v/>
      </c>
      <c r="JF42" s="3">
        <f>ROUND(0.0,2)</f>
        <v/>
      </c>
      <c r="JG42" s="3">
        <f>ROUND(0.0,2)</f>
        <v/>
      </c>
      <c r="JH42" s="3">
        <f>ROUND(0.0,2)</f>
        <v/>
      </c>
      <c r="JI42" s="3">
        <f>ROUND(0.0,2)</f>
        <v/>
      </c>
      <c r="JJ42" s="4">
        <f>IFERROR((JD42/JC42),0)</f>
        <v/>
      </c>
      <c r="JK42" s="4">
        <f>IFERROR(((0+JB11+JB12+JB13+JB14+JB15+JB16+JB17+JB19+JB20+JB21+JB22+JB23+JB24+JB25+JB27+JB28+JB29+JB30+JB31+JB32+JB33+JB35+JB36+JB37+JB38+JB39+JB40+JB41)/T2),0)</f>
        <v/>
      </c>
      <c r="JL42" s="5">
        <f>IFERROR(ROUND(JB42/JD42,2),0)</f>
        <v/>
      </c>
      <c r="JM42" s="5">
        <f>IFERROR(ROUND(JB42/JE42,2),0)</f>
        <v/>
      </c>
      <c r="JN42" s="2" t="inlineStr">
        <is>
          <t>4 Weekly Total</t>
        </is>
      </c>
      <c r="JO42" s="5">
        <f>ROUND(1.2,2)</f>
        <v/>
      </c>
      <c r="JP42" s="3">
        <f>ROUND(3031.0,2)</f>
        <v/>
      </c>
      <c r="JQ42" s="3">
        <f>ROUND(120.0,2)</f>
        <v/>
      </c>
      <c r="JR42" s="3">
        <f>ROUND(0.0,2)</f>
        <v/>
      </c>
      <c r="JS42" s="3">
        <f>ROUND(0.0,2)</f>
        <v/>
      </c>
      <c r="JT42" s="3">
        <f>ROUND(0.0,2)</f>
        <v/>
      </c>
      <c r="JU42" s="3">
        <f>ROUND(0.0,2)</f>
        <v/>
      </c>
      <c r="JV42" s="3">
        <f>ROUND(0.0,2)</f>
        <v/>
      </c>
      <c r="JW42" s="4">
        <f>IFERROR((JQ42/JP42),0)</f>
        <v/>
      </c>
      <c r="JX42" s="4">
        <f>IFERROR(((0+JO11+JO12+JO13+JO14+JO15+JO16+JO17+JO19+JO20+JO21+JO22+JO23+JO24+JO25+JO27+JO28+JO29+JO30+JO31+JO32+JO33+JO35+JO36+JO37+JO38+JO39+JO40+JO41)/T2),0)</f>
        <v/>
      </c>
      <c r="JY42" s="5">
        <f>IFERROR(ROUND(JO42/JQ42,2),0)</f>
        <v/>
      </c>
      <c r="JZ42" s="5">
        <f>IFERROR(ROUND(JO42/JR42,2),0)</f>
        <v/>
      </c>
      <c r="KA42" s="2" t="inlineStr">
        <is>
          <t>4 Weekly Total</t>
        </is>
      </c>
      <c r="KB42" s="5">
        <f>ROUND(1.04,2)</f>
        <v/>
      </c>
      <c r="KC42" s="3">
        <f>ROUND(2166.0,2)</f>
        <v/>
      </c>
      <c r="KD42" s="3">
        <f>ROUND(104.0,2)</f>
        <v/>
      </c>
      <c r="KE42" s="3">
        <f>ROUND(0.0,2)</f>
        <v/>
      </c>
      <c r="KF42" s="3">
        <f>ROUND(0.0,2)</f>
        <v/>
      </c>
      <c r="KG42" s="3">
        <f>ROUND(0.0,2)</f>
        <v/>
      </c>
      <c r="KH42" s="3">
        <f>ROUND(0.0,2)</f>
        <v/>
      </c>
      <c r="KI42" s="3">
        <f>ROUND(0.0,2)</f>
        <v/>
      </c>
      <c r="KJ42" s="4">
        <f>IFERROR((KD42/KC42),0)</f>
        <v/>
      </c>
      <c r="KK42" s="4">
        <f>IFERROR(((0+KB11+KB12+KB13+KB14+KB15+KB16+KB17+KB19+KB20+KB21+KB22+KB23+KB24+KB25+KB27+KB28+KB29+KB30+KB31+KB32+KB33+KB35+KB36+KB37+KB38+KB39+KB40+KB41)/T2),0)</f>
        <v/>
      </c>
      <c r="KL42" s="5">
        <f>IFERROR(ROUND(KB42/KD42,2),0)</f>
        <v/>
      </c>
      <c r="KM42" s="5">
        <f>IFERROR(ROUND(KB42/KE42,2),0)</f>
        <v/>
      </c>
      <c r="KN42" s="2" t="inlineStr">
        <is>
          <t>4 Weekly Total</t>
        </is>
      </c>
      <c r="KO42" s="5">
        <f>ROUND(13.08,2)</f>
        <v/>
      </c>
      <c r="KP42" s="3">
        <f>ROUND(55711.0,2)</f>
        <v/>
      </c>
      <c r="KQ42" s="3">
        <f>ROUND(1308.0,2)</f>
        <v/>
      </c>
      <c r="KR42" s="3">
        <f>ROUND(0.0,2)</f>
        <v/>
      </c>
      <c r="KS42" s="3">
        <f>ROUND(0.0,2)</f>
        <v/>
      </c>
      <c r="KT42" s="3">
        <f>ROUND(0.0,2)</f>
        <v/>
      </c>
      <c r="KU42" s="3">
        <f>ROUND(0.0,2)</f>
        <v/>
      </c>
      <c r="KV42" s="3">
        <f>ROUND(0.0,2)</f>
        <v/>
      </c>
      <c r="KW42" s="4">
        <f>IFERROR((KQ42/KP42),0)</f>
        <v/>
      </c>
      <c r="KX42" s="4">
        <f>IFERROR(((0+KO11+KO12+KO13+KO14+KO15+KO16+KO17+KO19+KO20+KO21+KO22+KO23+KO24+KO25+KO27+KO28+KO29+KO30+KO31+KO32+KO33+KO35+KO36+KO37+KO38+KO39+KO40+KO41)/T2),0)</f>
        <v/>
      </c>
      <c r="KY42" s="5">
        <f>IFERROR(ROUND(KO42/KQ42,2),0)</f>
        <v/>
      </c>
      <c r="KZ42" s="5">
        <f>IFERROR(ROUND(KO42/KR42,2),0)</f>
        <v/>
      </c>
      <c r="LA42" s="2" t="inlineStr">
        <is>
          <t>4 Weekly Total</t>
        </is>
      </c>
      <c r="LB42" s="5">
        <f>ROUND(12.56,2)</f>
        <v/>
      </c>
      <c r="LC42" s="3">
        <f>ROUND(29126.0,2)</f>
        <v/>
      </c>
      <c r="LD42" s="3">
        <f>ROUND(1256.0,2)</f>
        <v/>
      </c>
      <c r="LE42" s="3">
        <f>ROUND(0.0,2)</f>
        <v/>
      </c>
      <c r="LF42" s="3">
        <f>ROUND(0.0,2)</f>
        <v/>
      </c>
      <c r="LG42" s="3">
        <f>ROUND(0.0,2)</f>
        <v/>
      </c>
      <c r="LH42" s="3">
        <f>ROUND(0.0,2)</f>
        <v/>
      </c>
      <c r="LI42" s="3">
        <f>ROUND(0.0,2)</f>
        <v/>
      </c>
      <c r="LJ42" s="4">
        <f>IFERROR((LD42/LC42),0)</f>
        <v/>
      </c>
      <c r="LK42" s="4">
        <f>IFERROR(((0+LB11+LB12+LB13+LB14+LB15+LB16+LB17+LB19+LB20+LB21+LB22+LB23+LB24+LB25+LB27+LB28+LB29+LB30+LB31+LB32+LB33+LB35+LB36+LB37+LB38+LB39+LB40+LB41)/T2),0)</f>
        <v/>
      </c>
      <c r="LL42" s="5">
        <f>IFERROR(ROUND(LB42/LD42,2),0)</f>
        <v/>
      </c>
      <c r="LM42" s="5">
        <f>IFERROR(ROUND(LB42/LE42,2),0)</f>
        <v/>
      </c>
      <c r="LN42" s="2" t="inlineStr">
        <is>
          <t>4 Weekly Total</t>
        </is>
      </c>
      <c r="LO42" s="5">
        <f>ROUND(3.13,2)</f>
        <v/>
      </c>
      <c r="LP42" s="3">
        <f>ROUND(5909.0,2)</f>
        <v/>
      </c>
      <c r="LQ42" s="3">
        <f>ROUND(313.0,2)</f>
        <v/>
      </c>
      <c r="LR42" s="3">
        <f>ROUND(0.0,2)</f>
        <v/>
      </c>
      <c r="LS42" s="3">
        <f>ROUND(0.0,2)</f>
        <v/>
      </c>
      <c r="LT42" s="3">
        <f>ROUND(0.0,2)</f>
        <v/>
      </c>
      <c r="LU42" s="3">
        <f>ROUND(0.0,2)</f>
        <v/>
      </c>
      <c r="LV42" s="3">
        <f>ROUND(0.0,2)</f>
        <v/>
      </c>
      <c r="LW42" s="4">
        <f>IFERROR((LQ42/LP42),0)</f>
        <v/>
      </c>
      <c r="LX42" s="4">
        <f>IFERROR(((0+LO11+LO12+LO13+LO14+LO15+LO16+LO17+LO19+LO20+LO21+LO22+LO23+LO24+LO25+LO27+LO28+LO29+LO30+LO31+LO32+LO33+LO35+LO36+LO37+LO38+LO39+LO40+LO41)/T2),0)</f>
        <v/>
      </c>
      <c r="LY42" s="5">
        <f>IFERROR(ROUND(LO42/LQ42,2),0)</f>
        <v/>
      </c>
      <c r="LZ42" s="5">
        <f>IFERROR(ROUND(LO42/LR42,2),0)</f>
        <v/>
      </c>
      <c r="MA42" s="2" t="inlineStr">
        <is>
          <t>4 Weekly Total</t>
        </is>
      </c>
      <c r="MB42" s="5">
        <f>ROUND(4.3,2)</f>
        <v/>
      </c>
      <c r="MC42" s="3">
        <f>ROUND(13552.0,2)</f>
        <v/>
      </c>
      <c r="MD42" s="3">
        <f>ROUND(430.0,2)</f>
        <v/>
      </c>
      <c r="ME42" s="3">
        <f>ROUND(0.0,2)</f>
        <v/>
      </c>
      <c r="MF42" s="3">
        <f>ROUND(0.0,2)</f>
        <v/>
      </c>
      <c r="MG42" s="3">
        <f>ROUND(0.0,2)</f>
        <v/>
      </c>
      <c r="MH42" s="3">
        <f>ROUND(0.0,2)</f>
        <v/>
      </c>
      <c r="MI42" s="3">
        <f>ROUND(0.0,2)</f>
        <v/>
      </c>
      <c r="MJ42" s="4">
        <f>IFERROR((MD42/MC42),0)</f>
        <v/>
      </c>
      <c r="MK42" s="4">
        <f>IFERROR(((0+MB11+MB12+MB13+MB14+MB15+MB16+MB17+MB19+MB20+MB21+MB22+MB23+MB24+MB25+MB27+MB28+MB29+MB30+MB31+MB32+MB33+MB35+MB36+MB37+MB38+MB39+MB40+MB41)/T2),0)</f>
        <v/>
      </c>
      <c r="ML42" s="5">
        <f>IFERROR(ROUND(MB42/MD42,2),0)</f>
        <v/>
      </c>
      <c r="MM42" s="5">
        <f>IFERROR(ROUND(MB42/ME42,2),0)</f>
        <v/>
      </c>
      <c r="MN42" s="2" t="inlineStr">
        <is>
          <t>4 Weekly Total</t>
        </is>
      </c>
      <c r="MO42" s="5">
        <f>ROUND(16.25,2)</f>
        <v/>
      </c>
      <c r="MP42" s="3">
        <f>ROUND(26550.0,2)</f>
        <v/>
      </c>
      <c r="MQ42" s="3">
        <f>ROUND(1624.0,2)</f>
        <v/>
      </c>
      <c r="MR42" s="3">
        <f>ROUND(0.0,2)</f>
        <v/>
      </c>
      <c r="MS42" s="3">
        <f>ROUND(0.0,2)</f>
        <v/>
      </c>
      <c r="MT42" s="3">
        <f>ROUND(0.0,2)</f>
        <v/>
      </c>
      <c r="MU42" s="3">
        <f>ROUND(0.0,2)</f>
        <v/>
      </c>
      <c r="MV42" s="3">
        <f>ROUND(0.0,2)</f>
        <v/>
      </c>
      <c r="MW42" s="4">
        <f>IFERROR((MQ42/MP42),0)</f>
        <v/>
      </c>
      <c r="MX42" s="4">
        <f>IFERROR(((0+MO11+MO12+MO13+MO14+MO15+MO16+MO17+MO19+MO20+MO21+MO22+MO23+MO24+MO25+MO27+MO28+MO29+MO30+MO31+MO32+MO33+MO35+MO36+MO37+MO38+MO39+MO40+MO41)/T2),0)</f>
        <v/>
      </c>
      <c r="MY42" s="5">
        <f>IFERROR(ROUND(MO42/MQ42,2),0)</f>
        <v/>
      </c>
      <c r="MZ42" s="5">
        <f>IFERROR(ROUND(MO42/MR42,2),0)</f>
        <v/>
      </c>
      <c r="NA42" s="2" t="inlineStr">
        <is>
          <t>4 Weekly Total</t>
        </is>
      </c>
      <c r="NB42" s="5">
        <f>ROUND(8.97,2)</f>
        <v/>
      </c>
      <c r="NC42" s="3">
        <f>ROUND(35150.0,2)</f>
        <v/>
      </c>
      <c r="ND42" s="3">
        <f>ROUND(897.0,2)</f>
        <v/>
      </c>
      <c r="NE42" s="3">
        <f>ROUND(0.0,2)</f>
        <v/>
      </c>
      <c r="NF42" s="3">
        <f>ROUND(0.0,2)</f>
        <v/>
      </c>
      <c r="NG42" s="3">
        <f>ROUND(0.0,2)</f>
        <v/>
      </c>
      <c r="NH42" s="3">
        <f>ROUND(0.0,2)</f>
        <v/>
      </c>
      <c r="NI42" s="3">
        <f>ROUND(0.0,2)</f>
        <v/>
      </c>
      <c r="NJ42" s="4">
        <f>IFERROR((ND42/NC42),0)</f>
        <v/>
      </c>
      <c r="NK42" s="4">
        <f>IFERROR(((0+NB11+NB12+NB13+NB14+NB15+NB16+NB17+NB19+NB20+NB21+NB22+NB23+NB24+NB25+NB27+NB28+NB29+NB30+NB31+NB32+NB33+NB35+NB36+NB37+NB38+NB39+NB40+NB41)/T2),0)</f>
        <v/>
      </c>
      <c r="NL42" s="5">
        <f>IFERROR(ROUND(NB42/ND42,2),0)</f>
        <v/>
      </c>
      <c r="NM42" s="5">
        <f>IFERROR(ROUND(NB42/NE42,2),0)</f>
        <v/>
      </c>
      <c r="NN42" s="2" t="inlineStr">
        <is>
          <t>4 Weekly Total</t>
        </is>
      </c>
      <c r="NO42" s="5">
        <f>ROUND(0.69,2)</f>
        <v/>
      </c>
      <c r="NP42" s="3">
        <f>ROUND(2025.0,2)</f>
        <v/>
      </c>
      <c r="NQ42" s="3">
        <f>ROUND(69.0,2)</f>
        <v/>
      </c>
      <c r="NR42" s="3">
        <f>ROUND(0.0,2)</f>
        <v/>
      </c>
      <c r="NS42" s="3">
        <f>ROUND(0.0,2)</f>
        <v/>
      </c>
      <c r="NT42" s="3">
        <f>ROUND(0.0,2)</f>
        <v/>
      </c>
      <c r="NU42" s="3">
        <f>ROUND(0.0,2)</f>
        <v/>
      </c>
      <c r="NV42" s="3">
        <f>ROUND(0.0,2)</f>
        <v/>
      </c>
      <c r="NW42" s="4">
        <f>IFERROR((NQ42/NP42),0)</f>
        <v/>
      </c>
      <c r="NX42" s="4">
        <f>IFERROR(((0+NO11+NO12+NO13+NO14+NO15+NO16+NO17+NO19+NO20+NO21+NO22+NO23+NO24+NO25+NO27+NO28+NO29+NO30+NO31+NO32+NO33+NO35+NO36+NO37+NO38+NO39+NO40+NO41)/T2),0)</f>
        <v/>
      </c>
      <c r="NY42" s="5">
        <f>IFERROR(ROUND(NO42/NQ42,2),0)</f>
        <v/>
      </c>
      <c r="NZ42" s="5">
        <f>IFERROR(ROUND(NO42/NR42,2),0)</f>
        <v/>
      </c>
      <c r="OA42" s="2" t="inlineStr">
        <is>
          <t>4 Weekly Total</t>
        </is>
      </c>
      <c r="OB42" s="5">
        <f>ROUND(0.32,2)</f>
        <v/>
      </c>
      <c r="OC42" s="3">
        <f>ROUND(698.0,2)</f>
        <v/>
      </c>
      <c r="OD42" s="3">
        <f>ROUND(32.0,2)</f>
        <v/>
      </c>
      <c r="OE42" s="3">
        <f>ROUND(0.0,2)</f>
        <v/>
      </c>
      <c r="OF42" s="3">
        <f>ROUND(0.0,2)</f>
        <v/>
      </c>
      <c r="OG42" s="3">
        <f>ROUND(0.0,2)</f>
        <v/>
      </c>
      <c r="OH42" s="3">
        <f>ROUND(0.0,2)</f>
        <v/>
      </c>
      <c r="OI42" s="3">
        <f>ROUND(0.0,2)</f>
        <v/>
      </c>
      <c r="OJ42" s="4">
        <f>IFERROR((OD42/OC42),0)</f>
        <v/>
      </c>
      <c r="OK42" s="4">
        <f>IFERROR(((0+OB11+OB12+OB13+OB14+OB15+OB16+OB17+OB19+OB20+OB21+OB22+OB23+OB24+OB25+OB27+OB28+OB29+OB30+OB31+OB32+OB33+OB35+OB36+OB37+OB38+OB39+OB40+OB41)/T2),0)</f>
        <v/>
      </c>
      <c r="OL42" s="5">
        <f>IFERROR(ROUND(OB42/OD42,2),0)</f>
        <v/>
      </c>
      <c r="OM42" s="5">
        <f>IFERROR(ROUND(OB42/OE42,2),0)</f>
        <v/>
      </c>
      <c r="ON42" s="2" t="inlineStr">
        <is>
          <t>4 Weekly Total</t>
        </is>
      </c>
      <c r="OO42" s="5">
        <f>ROUND(1.13,2)</f>
        <v/>
      </c>
      <c r="OP42" s="3">
        <f>ROUND(1421.0,2)</f>
        <v/>
      </c>
      <c r="OQ42" s="3">
        <f>ROUND(113.0,2)</f>
        <v/>
      </c>
      <c r="OR42" s="3">
        <f>ROUND(0.0,2)</f>
        <v/>
      </c>
      <c r="OS42" s="3">
        <f>ROUND(0.0,2)</f>
        <v/>
      </c>
      <c r="OT42" s="3">
        <f>ROUND(0.0,2)</f>
        <v/>
      </c>
      <c r="OU42" s="3">
        <f>ROUND(0.0,2)</f>
        <v/>
      </c>
      <c r="OV42" s="3">
        <f>ROUND(0.0,2)</f>
        <v/>
      </c>
      <c r="OW42" s="4">
        <f>IFERROR((OQ42/OP42),0)</f>
        <v/>
      </c>
      <c r="OX42" s="4">
        <f>IFERROR(((0+OO11+OO12+OO13+OO14+OO15+OO16+OO17+OO19+OO20+OO21+OO22+OO23+OO24+OO25+OO27+OO28+OO29+OO30+OO31+OO32+OO33+OO35+OO36+OO37+OO38+OO39+OO40+OO41)/T2),0)</f>
        <v/>
      </c>
      <c r="OY42" s="5">
        <f>IFERROR(ROUND(OO42/OQ42,2),0)</f>
        <v/>
      </c>
      <c r="OZ42" s="5">
        <f>IFERROR(ROUND(OO42/OR42,2),0)</f>
        <v/>
      </c>
      <c r="PA42" s="2" t="inlineStr">
        <is>
          <t>4 Weekly Total</t>
        </is>
      </c>
      <c r="PB42" s="5">
        <f>ROUND(1.75,2)</f>
        <v/>
      </c>
      <c r="PC42" s="3">
        <f>ROUND(2318.0,2)</f>
        <v/>
      </c>
      <c r="PD42" s="3">
        <f>ROUND(175.0,2)</f>
        <v/>
      </c>
      <c r="PE42" s="3">
        <f>ROUND(0.0,2)</f>
        <v/>
      </c>
      <c r="PF42" s="3">
        <f>ROUND(0.0,2)</f>
        <v/>
      </c>
      <c r="PG42" s="3">
        <f>ROUND(0.0,2)</f>
        <v/>
      </c>
      <c r="PH42" s="3">
        <f>ROUND(0.0,2)</f>
        <v/>
      </c>
      <c r="PI42" s="3">
        <f>ROUND(0.0,2)</f>
        <v/>
      </c>
      <c r="PJ42" s="4">
        <f>IFERROR((PD42/PC42),0)</f>
        <v/>
      </c>
      <c r="PK42" s="4">
        <f>IFERROR(((0+PB11+PB12+PB13+PB14+PB15+PB16+PB17+PB19+PB20+PB21+PB22+PB23+PB24+PB25+PB27+PB28+PB29+PB30+PB31+PB32+PB33+PB35+PB36+PB37+PB38+PB39+PB40+PB41)/T2),0)</f>
        <v/>
      </c>
      <c r="PL42" s="5">
        <f>IFERROR(ROUND(PB42/PD42,2),0)</f>
        <v/>
      </c>
      <c r="PM42" s="5">
        <f>IFERROR(ROUND(PB42/PE42,2),0)</f>
        <v/>
      </c>
      <c r="PN42" s="2" t="inlineStr">
        <is>
          <t>4 Weekly Total</t>
        </is>
      </c>
      <c r="PO42" s="5">
        <f>ROUND(27.92,2)</f>
        <v/>
      </c>
      <c r="PP42" s="3">
        <f>ROUND(36409.0,2)</f>
        <v/>
      </c>
      <c r="PQ42" s="3">
        <f>ROUND(2791.0,2)</f>
        <v/>
      </c>
      <c r="PR42" s="3">
        <f>ROUND(0.0,2)</f>
        <v/>
      </c>
      <c r="PS42" s="3">
        <f>ROUND(0.0,2)</f>
        <v/>
      </c>
      <c r="PT42" s="3">
        <f>ROUND(0.0,2)</f>
        <v/>
      </c>
      <c r="PU42" s="3">
        <f>ROUND(0.0,2)</f>
        <v/>
      </c>
      <c r="PV42" s="3">
        <f>ROUND(0.0,2)</f>
        <v/>
      </c>
      <c r="PW42" s="4">
        <f>IFERROR((PQ42/PP42),0)</f>
        <v/>
      </c>
      <c r="PX42" s="4">
        <f>IFERROR(((0+PO11+PO12+PO13+PO14+PO15+PO16+PO17+PO19+PO20+PO21+PO22+PO23+PO24+PO25+PO27+PO28+PO29+PO30+PO31+PO32+PO33+PO35+PO36+PO37+PO38+PO39+PO40+PO41)/T2),0)</f>
        <v/>
      </c>
      <c r="PY42" s="5">
        <f>IFERROR(ROUND(PO42/PQ42,2),0)</f>
        <v/>
      </c>
      <c r="PZ42" s="5">
        <f>IFERROR(ROUND(PO42/PR42,2),0)</f>
        <v/>
      </c>
      <c r="QA42" s="2" t="inlineStr">
        <is>
          <t>4 Weekly Total</t>
        </is>
      </c>
      <c r="QB42" s="5">
        <f>ROUND(4.92,2)</f>
        <v/>
      </c>
      <c r="QC42" s="3">
        <f>ROUND(6887.0,2)</f>
        <v/>
      </c>
      <c r="QD42" s="3">
        <f>ROUND(492.0,2)</f>
        <v/>
      </c>
      <c r="QE42" s="3">
        <f>ROUND(0.0,2)</f>
        <v/>
      </c>
      <c r="QF42" s="3">
        <f>ROUND(0.0,2)</f>
        <v/>
      </c>
      <c r="QG42" s="3">
        <f>ROUND(0.0,2)</f>
        <v/>
      </c>
      <c r="QH42" s="3">
        <f>ROUND(0.0,2)</f>
        <v/>
      </c>
      <c r="QI42" s="3">
        <f>ROUND(0.0,2)</f>
        <v/>
      </c>
      <c r="QJ42" s="4">
        <f>IFERROR((QD42/QC42),0)</f>
        <v/>
      </c>
      <c r="QK42" s="4">
        <f>IFERROR(((0+QB11+QB12+QB13+QB14+QB15+QB16+QB17+QB19+QB20+QB21+QB22+QB23+QB24+QB25+QB27+QB28+QB29+QB30+QB31+QB32+QB33+QB35+QB36+QB37+QB38+QB39+QB40+QB41)/T2),0)</f>
        <v/>
      </c>
      <c r="QL42" s="5">
        <f>IFERROR(ROUND(QB42/QD42,2),0)</f>
        <v/>
      </c>
      <c r="QM42" s="5">
        <f>IFERROR(ROUND(QB42/QE42,2),0)</f>
        <v/>
      </c>
      <c r="QN42" s="2" t="inlineStr">
        <is>
          <t>4 Weekly Total</t>
        </is>
      </c>
      <c r="QO42" s="5">
        <f>ROUND(1.02,2)</f>
        <v/>
      </c>
      <c r="QP42" s="3">
        <f>ROUND(3307.0,2)</f>
        <v/>
      </c>
      <c r="QQ42" s="3">
        <f>ROUND(102.0,2)</f>
        <v/>
      </c>
      <c r="QR42" s="3">
        <f>ROUND(0.0,2)</f>
        <v/>
      </c>
      <c r="QS42" s="3">
        <f>ROUND(0.0,2)</f>
        <v/>
      </c>
      <c r="QT42" s="3">
        <f>ROUND(0.0,2)</f>
        <v/>
      </c>
      <c r="QU42" s="3">
        <f>ROUND(0.0,2)</f>
        <v/>
      </c>
      <c r="QV42" s="3">
        <f>ROUND(0.0,2)</f>
        <v/>
      </c>
      <c r="QW42" s="4">
        <f>IFERROR((QQ42/QP42),0)</f>
        <v/>
      </c>
      <c r="QX42" s="4">
        <f>IFERROR(((0+QO11+QO12+QO13+QO14+QO15+QO16+QO17+QO19+QO20+QO21+QO22+QO23+QO24+QO25+QO27+QO28+QO29+QO30+QO31+QO32+QO33+QO35+QO36+QO37+QO38+QO39+QO40+QO41)/T2),0)</f>
        <v/>
      </c>
      <c r="QY42" s="5">
        <f>IFERROR(ROUND(QO42/QQ42,2),0)</f>
        <v/>
      </c>
      <c r="QZ42" s="5">
        <f>IFERROR(ROUND(QO42/QR42,2),0)</f>
        <v/>
      </c>
      <c r="RA42" s="2" t="inlineStr">
        <is>
          <t>4 Weekly Total</t>
        </is>
      </c>
      <c r="RB42" s="5">
        <f>ROUND(1.23,2)</f>
        <v/>
      </c>
      <c r="RC42" s="3">
        <f>ROUND(1489.0,2)</f>
        <v/>
      </c>
      <c r="RD42" s="3">
        <f>ROUND(123.0,2)</f>
        <v/>
      </c>
      <c r="RE42" s="3">
        <f>ROUND(0.0,2)</f>
        <v/>
      </c>
      <c r="RF42" s="3">
        <f>ROUND(0.0,2)</f>
        <v/>
      </c>
      <c r="RG42" s="3">
        <f>ROUND(0.0,2)</f>
        <v/>
      </c>
      <c r="RH42" s="3">
        <f>ROUND(0.0,2)</f>
        <v/>
      </c>
      <c r="RI42" s="3">
        <f>ROUND(0.0,2)</f>
        <v/>
      </c>
      <c r="RJ42" s="4">
        <f>IFERROR((RD42/RC42),0)</f>
        <v/>
      </c>
      <c r="RK42" s="4">
        <f>IFERROR(((0+RB11+RB12+RB13+RB14+RB15+RB16+RB17+RB19+RB20+RB21+RB22+RB23+RB24+RB25+RB27+RB28+RB29+RB30+RB31+RB32+RB33+RB35+RB36+RB37+RB38+RB39+RB40+RB41)/T2),0)</f>
        <v/>
      </c>
      <c r="RL42" s="5">
        <f>IFERROR(ROUND(RB42/RD42,2),0)</f>
        <v/>
      </c>
      <c r="RM42" s="5">
        <f>IFERROR(ROUND(RB42/RE42,2),0)</f>
        <v/>
      </c>
      <c r="RN42" s="2" t="inlineStr">
        <is>
          <t>4 Weekly Total</t>
        </is>
      </c>
      <c r="RO42" s="5">
        <f>ROUND(0.83,2)</f>
        <v/>
      </c>
      <c r="RP42" s="3">
        <f>ROUND(1332.0,2)</f>
        <v/>
      </c>
      <c r="RQ42" s="3">
        <f>ROUND(83.0,2)</f>
        <v/>
      </c>
      <c r="RR42" s="3">
        <f>ROUND(0.0,2)</f>
        <v/>
      </c>
      <c r="RS42" s="3">
        <f>ROUND(0.0,2)</f>
        <v/>
      </c>
      <c r="RT42" s="3">
        <f>ROUND(0.0,2)</f>
        <v/>
      </c>
      <c r="RU42" s="3">
        <f>ROUND(0.0,2)</f>
        <v/>
      </c>
      <c r="RV42" s="3">
        <f>ROUND(0.0,2)</f>
        <v/>
      </c>
      <c r="RW42" s="4">
        <f>IFERROR((RQ42/RP42),0)</f>
        <v/>
      </c>
      <c r="RX42" s="4">
        <f>IFERROR(((0+RO11+RO12+RO13+RO14+RO15+RO16+RO17+RO19+RO20+RO21+RO22+RO23+RO24+RO25+RO27+RO28+RO29+RO30+RO31+RO32+RO33+RO35+RO36+RO37+RO38+RO39+RO40+RO41)/T2),0)</f>
        <v/>
      </c>
      <c r="RY42" s="5">
        <f>IFERROR(ROUND(RO42/RQ42,2),0)</f>
        <v/>
      </c>
      <c r="RZ42" s="5">
        <f>IFERROR(ROUND(RO42/RR42,2),0)</f>
        <v/>
      </c>
      <c r="SA42" s="2" t="inlineStr">
        <is>
          <t>4 Weekly Total</t>
        </is>
      </c>
      <c r="SB42" s="5">
        <f>ROUND(4.62,2)</f>
        <v/>
      </c>
      <c r="SC42" s="3">
        <f>ROUND(7276.0,2)</f>
        <v/>
      </c>
      <c r="SD42" s="3">
        <f>ROUND(462.0,2)</f>
        <v/>
      </c>
      <c r="SE42" s="3">
        <f>ROUND(0.0,2)</f>
        <v/>
      </c>
      <c r="SF42" s="3">
        <f>ROUND(0.0,2)</f>
        <v/>
      </c>
      <c r="SG42" s="3">
        <f>ROUND(0.0,2)</f>
        <v/>
      </c>
      <c r="SH42" s="3">
        <f>ROUND(0.0,2)</f>
        <v/>
      </c>
      <c r="SI42" s="3">
        <f>ROUND(0.0,2)</f>
        <v/>
      </c>
      <c r="SJ42" s="4">
        <f>IFERROR((SD42/SC42),0)</f>
        <v/>
      </c>
      <c r="SK42" s="4">
        <f>IFERROR(((0+SB11+SB12+SB13+SB14+SB15+SB16+SB17+SB19+SB20+SB21+SB22+SB23+SB24+SB25+SB27+SB28+SB29+SB30+SB31+SB32+SB33+SB35+SB36+SB37+SB38+SB39+SB40+SB41)/T2),0)</f>
        <v/>
      </c>
      <c r="SL42" s="5">
        <f>IFERROR(ROUND(SB42/SD42,2),0)</f>
        <v/>
      </c>
      <c r="SM42" s="5">
        <f>IFERROR(ROUND(SB42/SE42,2),0)</f>
        <v/>
      </c>
      <c r="SN42" s="2" t="inlineStr">
        <is>
          <t>4 Weekly Total</t>
        </is>
      </c>
      <c r="SO42" s="5">
        <f>ROUND(3.0,2)</f>
        <v/>
      </c>
      <c r="SP42" s="3">
        <f>ROUND(3211.0,2)</f>
        <v/>
      </c>
      <c r="SQ42" s="3">
        <f>ROUND(300.0,2)</f>
        <v/>
      </c>
      <c r="SR42" s="3">
        <f>ROUND(0.0,2)</f>
        <v/>
      </c>
      <c r="SS42" s="3">
        <f>ROUND(0.0,2)</f>
        <v/>
      </c>
      <c r="ST42" s="3">
        <f>ROUND(0.0,2)</f>
        <v/>
      </c>
      <c r="SU42" s="3">
        <f>ROUND(0.0,2)</f>
        <v/>
      </c>
      <c r="SV42" s="3">
        <f>ROUND(0.0,2)</f>
        <v/>
      </c>
      <c r="SW42" s="4">
        <f>IFERROR((SQ42/SP42),0)</f>
        <v/>
      </c>
      <c r="SX42" s="4">
        <f>IFERROR(((0+SO11+SO12+SO13+SO14+SO15+SO16+SO17+SO19+SO20+SO21+SO22+SO23+SO24+SO25+SO27+SO28+SO29+SO30+SO31+SO32+SO33+SO35+SO36+SO37+SO38+SO39+SO40+SO41)/T2),0)</f>
        <v/>
      </c>
      <c r="SY42" s="5">
        <f>IFERROR(ROUND(SO42/SQ42,2),0)</f>
        <v/>
      </c>
      <c r="SZ42" s="5">
        <f>IFERROR(ROUND(SO42/SR42,2),0)</f>
        <v/>
      </c>
    </row>
    <row r="43">
      <c r="A43" s="2" t="inlineStr">
        <is>
          <t>2023-10-18</t>
        </is>
      </c>
      <c r="B43" s="5">
        <f>ROUND(40.34,2)</f>
        <v/>
      </c>
      <c r="C43" s="3">
        <f>ROUND(88626.0,2)</f>
        <v/>
      </c>
      <c r="D43" s="3">
        <f>ROUND(4033.0,2)</f>
        <v/>
      </c>
      <c r="E43" s="3">
        <f>ROUND(0.0,2)</f>
        <v/>
      </c>
      <c r="F43" s="3">
        <f>ROUND(0.0,2)</f>
        <v/>
      </c>
      <c r="G43" s="3">
        <f>ROUND(0.0,2)</f>
        <v/>
      </c>
      <c r="H43" s="3">
        <f>ROUND(0.0,2)</f>
        <v/>
      </c>
      <c r="I43" s="3">
        <f>ROUND(0.0,2)</f>
        <v/>
      </c>
      <c r="J43" s="4">
        <f>IFERROR((D43/C43),0)</f>
        <v/>
      </c>
      <c r="K43" s="4">
        <f>IFERROR(((0+B11+B12+B13+B14+B15+B16+B17+B19+B20+B21+B22+B23+B24+B25+B27+B28+B29+B30+B31+B32+B33+B35+B36+B37+B38+B39+B40+B41+B43)/T2),0)</f>
        <v/>
      </c>
      <c r="L43" s="5">
        <f>IFERROR(ROUND(B43/D43,2),0)</f>
        <v/>
      </c>
      <c r="M43" s="5">
        <f>IFERROR(ROUND(B43/E43,2),0)</f>
        <v/>
      </c>
      <c r="N43" s="2" t="inlineStr">
        <is>
          <t>2023-10-18</t>
        </is>
      </c>
      <c r="O43" s="5">
        <f>ROUND(9.96,2)</f>
        <v/>
      </c>
      <c r="P43" s="3">
        <f>ROUND(12578.0,2)</f>
        <v/>
      </c>
      <c r="Q43" s="3">
        <f>ROUND(996.0,2)</f>
        <v/>
      </c>
      <c r="R43" s="3">
        <f>ROUND(0.0,2)</f>
        <v/>
      </c>
      <c r="S43" s="3">
        <f>ROUND(0.0,2)</f>
        <v/>
      </c>
      <c r="T43" s="3">
        <f>ROUND(0.0,2)</f>
        <v/>
      </c>
      <c r="U43" s="3">
        <f>ROUND(0.0,2)</f>
        <v/>
      </c>
      <c r="V43" s="3">
        <f>ROUND(0.0,2)</f>
        <v/>
      </c>
      <c r="W43" s="4">
        <f>IFERROR((Q43/P43),0)</f>
        <v/>
      </c>
      <c r="X43" s="4">
        <f>IFERROR(((0+O11+O12+O13+O14+O15+O16+O17+O19+O20+O21+O22+O23+O24+O25+O27+O28+O29+O30+O31+O32+O33+O35+O36+O37+O38+O39+O40+O41+O43)/T2),0)</f>
        <v/>
      </c>
      <c r="Y43" s="5">
        <f>IFERROR(ROUND(O43/Q43,2),0)</f>
        <v/>
      </c>
      <c r="Z43" s="5">
        <f>IFERROR(ROUND(O43/R43,2),0)</f>
        <v/>
      </c>
      <c r="AA43" s="2" t="inlineStr">
        <is>
          <t>2023-10-18</t>
        </is>
      </c>
      <c r="AB43" s="5">
        <f>ROUND(0.02,2)</f>
        <v/>
      </c>
      <c r="AC43" s="3">
        <f>ROUND(54.0,2)</f>
        <v/>
      </c>
      <c r="AD43" s="3">
        <f>ROUND(2.0,2)</f>
        <v/>
      </c>
      <c r="AE43" s="3">
        <f>ROUND(0.0,2)</f>
        <v/>
      </c>
      <c r="AF43" s="3">
        <f>ROUND(0.0,2)</f>
        <v/>
      </c>
      <c r="AG43" s="3">
        <f>ROUND(0.0,2)</f>
        <v/>
      </c>
      <c r="AH43" s="3">
        <f>ROUND(0.0,2)</f>
        <v/>
      </c>
      <c r="AI43" s="3">
        <f>ROUND(0.0,2)</f>
        <v/>
      </c>
      <c r="AJ43" s="4">
        <f>IFERROR((AD43/AC43),0)</f>
        <v/>
      </c>
      <c r="AK43" s="4">
        <f>IFERROR(((0+AB11+AB12+AB13+AB14+AB15+AB16+AB17+AB19+AB20+AB21+AB22+AB23+AB24+AB25+AB27+AB28+AB29+AB30+AB31+AB32+AB33+AB35+AB36+AB37+AB38+AB39+AB40+AB41+AB43)/T2),0)</f>
        <v/>
      </c>
      <c r="AL43" s="5">
        <f>IFERROR(ROUND(AB43/AD43,2),0)</f>
        <v/>
      </c>
      <c r="AM43" s="5">
        <f>IFERROR(ROUND(AB43/AE43,2),0)</f>
        <v/>
      </c>
      <c r="AN43" s="2" t="inlineStr">
        <is>
          <t>2023-10-18</t>
        </is>
      </c>
      <c r="AO43" s="5">
        <f>ROUND(2.47,2)</f>
        <v/>
      </c>
      <c r="AP43" s="3">
        <f>ROUND(12552.0,2)</f>
        <v/>
      </c>
      <c r="AQ43" s="3">
        <f>ROUND(247.0,2)</f>
        <v/>
      </c>
      <c r="AR43" s="3">
        <f>ROUND(0.0,2)</f>
        <v/>
      </c>
      <c r="AS43" s="3">
        <f>ROUND(0.0,2)</f>
        <v/>
      </c>
      <c r="AT43" s="3">
        <f>ROUND(0.0,2)</f>
        <v/>
      </c>
      <c r="AU43" s="3">
        <f>ROUND(0.0,2)</f>
        <v/>
      </c>
      <c r="AV43" s="3">
        <f>ROUND(0.0,2)</f>
        <v/>
      </c>
      <c r="AW43" s="4">
        <f>IFERROR((AQ43/AP43),0)</f>
        <v/>
      </c>
      <c r="AX43" s="4">
        <f>IFERROR(((0+AO11+AO12+AO13+AO14+AO15+AO16+AO17+AO19+AO20+AO21+AO22+AO23+AO24+AO25+AO27+AO28+AO29+AO30+AO31+AO32+AO33+AO35+AO36+AO37+AO38+AO39+AO40+AO41+AO43)/T2),0)</f>
        <v/>
      </c>
      <c r="AY43" s="5">
        <f>IFERROR(ROUND(AO43/AQ43,2),0)</f>
        <v/>
      </c>
      <c r="AZ43" s="5">
        <f>IFERROR(ROUND(AO43/AR43,2),0)</f>
        <v/>
      </c>
      <c r="BA43" s="2" t="inlineStr">
        <is>
          <t>2023-10-18</t>
        </is>
      </c>
      <c r="BB43" s="5">
        <f>ROUND(0.030000000000000002,2)</f>
        <v/>
      </c>
      <c r="BC43" s="3">
        <f>ROUND(35.0,2)</f>
        <v/>
      </c>
      <c r="BD43" s="3">
        <f>ROUND(3.0,2)</f>
        <v/>
      </c>
      <c r="BE43" s="3">
        <f>ROUND(0.0,2)</f>
        <v/>
      </c>
      <c r="BF43" s="3">
        <f>ROUND(0.0,2)</f>
        <v/>
      </c>
      <c r="BG43" s="3">
        <f>ROUND(0.0,2)</f>
        <v/>
      </c>
      <c r="BH43" s="3">
        <f>ROUND(0.0,2)</f>
        <v/>
      </c>
      <c r="BI43" s="3">
        <f>ROUND(0.0,2)</f>
        <v/>
      </c>
      <c r="BJ43" s="4">
        <f>IFERROR((BD43/BC43),0)</f>
        <v/>
      </c>
      <c r="BK43" s="4">
        <f>IFERROR(((0+BB11+BB12+BB13+BB14+BB15+BB16+BB17+BB19+BB20+BB21+BB22+BB23+BB24+BB25+BB27+BB28+BB29+BB30+BB31+BB32+BB33+BB35+BB36+BB37+BB38+BB39+BB40+BB41+BB43)/T2),0)</f>
        <v/>
      </c>
      <c r="BL43" s="5">
        <f>IFERROR(ROUND(BB43/BD43,2),0)</f>
        <v/>
      </c>
      <c r="BM43" s="5">
        <f>IFERROR(ROUND(BB43/BE43,2),0)</f>
        <v/>
      </c>
      <c r="BN43" s="2" t="inlineStr">
        <is>
          <t>2023-10-18</t>
        </is>
      </c>
      <c r="BO43" s="5">
        <f>ROUND(0.67,2)</f>
        <v/>
      </c>
      <c r="BP43" s="3">
        <f>ROUND(590.0,2)</f>
        <v/>
      </c>
      <c r="BQ43" s="3">
        <f>ROUND(67.0,2)</f>
        <v/>
      </c>
      <c r="BR43" s="3">
        <f>ROUND(0.0,2)</f>
        <v/>
      </c>
      <c r="BS43" s="3">
        <f>ROUND(0.0,2)</f>
        <v/>
      </c>
      <c r="BT43" s="3">
        <f>ROUND(0.0,2)</f>
        <v/>
      </c>
      <c r="BU43" s="3">
        <f>ROUND(0.0,2)</f>
        <v/>
      </c>
      <c r="BV43" s="3">
        <f>ROUND(0.0,2)</f>
        <v/>
      </c>
      <c r="BW43" s="4">
        <f>IFERROR((BQ43/BP43),0)</f>
        <v/>
      </c>
      <c r="BX43" s="4">
        <f>IFERROR(((0+BO11+BO12+BO13+BO14+BO15+BO16+BO17+BO19+BO20+BO21+BO22+BO23+BO24+BO25+BO27+BO28+BO29+BO30+BO31+BO32+BO33+BO35+BO36+BO37+BO38+BO39+BO40+BO41+BO43)/T2),0)</f>
        <v/>
      </c>
      <c r="BY43" s="5">
        <f>IFERROR(ROUND(BO43/BQ43,2),0)</f>
        <v/>
      </c>
      <c r="BZ43" s="5">
        <f>IFERROR(ROUND(BO43/BR43,2),0)</f>
        <v/>
      </c>
      <c r="CA43" s="2" t="inlineStr">
        <is>
          <t>2023-10-18</t>
        </is>
      </c>
      <c r="CB43" s="5">
        <f>ROUND(0.02,2)</f>
        <v/>
      </c>
      <c r="CC43" s="3">
        <f>ROUND(54.0,2)</f>
        <v/>
      </c>
      <c r="CD43" s="3">
        <f>ROUND(2.0,2)</f>
        <v/>
      </c>
      <c r="CE43" s="3">
        <f>ROUND(0.0,2)</f>
        <v/>
      </c>
      <c r="CF43" s="3">
        <f>ROUND(0.0,2)</f>
        <v/>
      </c>
      <c r="CG43" s="3">
        <f>ROUND(0.0,2)</f>
        <v/>
      </c>
      <c r="CH43" s="3">
        <f>ROUND(0.0,2)</f>
        <v/>
      </c>
      <c r="CI43" s="3">
        <f>ROUND(0.0,2)</f>
        <v/>
      </c>
      <c r="CJ43" s="4">
        <f>IFERROR((CD43/CC43),0)</f>
        <v/>
      </c>
      <c r="CK43" s="4">
        <f>IFERROR(((0+CB11+CB12+CB13+CB14+CB15+CB16+CB17+CB19+CB20+CB21+CB22+CB23+CB24+CB25+CB27+CB28+CB29+CB30+CB31+CB32+CB33+CB35+CB36+CB37+CB38+CB39+CB40+CB41+CB43)/T2),0)</f>
        <v/>
      </c>
      <c r="CL43" s="5">
        <f>IFERROR(ROUND(CB43/CD43,2),0)</f>
        <v/>
      </c>
      <c r="CM43" s="5">
        <f>IFERROR(ROUND(CB43/CE43,2),0)</f>
        <v/>
      </c>
      <c r="CN43" s="2" t="inlineStr">
        <is>
          <t>2023-10-18</t>
        </is>
      </c>
      <c r="CO43" s="5">
        <f>ROUND(0.25,2)</f>
        <v/>
      </c>
      <c r="CP43" s="3">
        <f>ROUND(1083.0,2)</f>
        <v/>
      </c>
      <c r="CQ43" s="3">
        <f>ROUND(25.0,2)</f>
        <v/>
      </c>
      <c r="CR43" s="3">
        <f>ROUND(0.0,2)</f>
        <v/>
      </c>
      <c r="CS43" s="3">
        <f>ROUND(0.0,2)</f>
        <v/>
      </c>
      <c r="CT43" s="3">
        <f>ROUND(0.0,2)</f>
        <v/>
      </c>
      <c r="CU43" s="3">
        <f>ROUND(0.0,2)</f>
        <v/>
      </c>
      <c r="CV43" s="3">
        <f>ROUND(0.0,2)</f>
        <v/>
      </c>
      <c r="CW43" s="4">
        <f>IFERROR((CQ43/CP43),0)</f>
        <v/>
      </c>
      <c r="CX43" s="4">
        <f>IFERROR(((0+CO11+CO12+CO13+CO14+CO15+CO16+CO17+CO19+CO20+CO21+CO22+CO23+CO24+CO25+CO27+CO28+CO29+CO30+CO31+CO32+CO33+CO35+CO36+CO37+CO38+CO39+CO40+CO41+CO43)/T2),0)</f>
        <v/>
      </c>
      <c r="CY43" s="5">
        <f>IFERROR(ROUND(CO43/CQ43,2),0)</f>
        <v/>
      </c>
      <c r="CZ43" s="5">
        <f>IFERROR(ROUND(CO43/CR43,2),0)</f>
        <v/>
      </c>
      <c r="DA43" s="2" t="inlineStr">
        <is>
          <t>2023-10-18</t>
        </is>
      </c>
      <c r="DB43" s="5">
        <f>ROUND(1.61,2)</f>
        <v/>
      </c>
      <c r="DC43" s="3">
        <f>ROUND(4542.0,2)</f>
        <v/>
      </c>
      <c r="DD43" s="3">
        <f>ROUND(161.0,2)</f>
        <v/>
      </c>
      <c r="DE43" s="3">
        <f>ROUND(0.0,2)</f>
        <v/>
      </c>
      <c r="DF43" s="3">
        <f>ROUND(0.0,2)</f>
        <v/>
      </c>
      <c r="DG43" s="3">
        <f>ROUND(0.0,2)</f>
        <v/>
      </c>
      <c r="DH43" s="3">
        <f>ROUND(0.0,2)</f>
        <v/>
      </c>
      <c r="DI43" s="3">
        <f>ROUND(0.0,2)</f>
        <v/>
      </c>
      <c r="DJ43" s="4">
        <f>IFERROR((DD43/DC43),0)</f>
        <v/>
      </c>
      <c r="DK43" s="4">
        <f>IFERROR(((0+DB11+DB12+DB13+DB14+DB15+DB16+DB17+DB19+DB20+DB21+DB22+DB23+DB24+DB25+DB27+DB28+DB29+DB30+DB31+DB32+DB33+DB35+DB36+DB37+DB38+DB39+DB40+DB41+DB43)/T2),0)</f>
        <v/>
      </c>
      <c r="DL43" s="5">
        <f>IFERROR(ROUND(DB43/DD43,2),0)</f>
        <v/>
      </c>
      <c r="DM43" s="5">
        <f>IFERROR(ROUND(DB43/DE43,2),0)</f>
        <v/>
      </c>
      <c r="DN43" s="2" t="inlineStr">
        <is>
          <t>2023-10-18</t>
        </is>
      </c>
      <c r="DO43" s="5">
        <f>ROUND(0.01,2)</f>
        <v/>
      </c>
      <c r="DP43" s="3">
        <f>ROUND(17.0,2)</f>
        <v/>
      </c>
      <c r="DQ43" s="3">
        <f>ROUND(1.0,2)</f>
        <v/>
      </c>
      <c r="DR43" s="3">
        <f>ROUND(0.0,2)</f>
        <v/>
      </c>
      <c r="DS43" s="3">
        <f>ROUND(0.0,2)</f>
        <v/>
      </c>
      <c r="DT43" s="3">
        <f>ROUND(0.0,2)</f>
        <v/>
      </c>
      <c r="DU43" s="3">
        <f>ROUND(0.0,2)</f>
        <v/>
      </c>
      <c r="DV43" s="3">
        <f>ROUND(0.0,2)</f>
        <v/>
      </c>
      <c r="DW43" s="4">
        <f>IFERROR((DQ43/DP43),0)</f>
        <v/>
      </c>
      <c r="DX43" s="4">
        <f>IFERROR(((0+DO11+DO12+DO13+DO14+DO15+DO16+DO17+DO19+DO20+DO21+DO22+DO23+DO24+DO25+DO27+DO28+DO29+DO30+DO31+DO32+DO33+DO35+DO36+DO37+DO38+DO39+DO40+DO41+DO43)/T2),0)</f>
        <v/>
      </c>
      <c r="DY43" s="5">
        <f>IFERROR(ROUND(DO43/DQ43,2),0)</f>
        <v/>
      </c>
      <c r="DZ43" s="5">
        <f>IFERROR(ROUND(DO43/DR43,2),0)</f>
        <v/>
      </c>
      <c r="EA43" s="2" t="inlineStr">
        <is>
          <t>2023-10-18</t>
        </is>
      </c>
      <c r="EB43" s="5">
        <f>ROUND(2.06,2)</f>
        <v/>
      </c>
      <c r="EC43" s="3">
        <f>ROUND(9532.0,2)</f>
        <v/>
      </c>
      <c r="ED43" s="3">
        <f>ROUND(206.0,2)</f>
        <v/>
      </c>
      <c r="EE43" s="3">
        <f>ROUND(0.0,2)</f>
        <v/>
      </c>
      <c r="EF43" s="3">
        <f>ROUND(0.0,2)</f>
        <v/>
      </c>
      <c r="EG43" s="3">
        <f>ROUND(0.0,2)</f>
        <v/>
      </c>
      <c r="EH43" s="3">
        <f>ROUND(0.0,2)</f>
        <v/>
      </c>
      <c r="EI43" s="3">
        <f>ROUND(0.0,2)</f>
        <v/>
      </c>
      <c r="EJ43" s="4">
        <f>IFERROR((ED43/EC43),0)</f>
        <v/>
      </c>
      <c r="EK43" s="4">
        <f>IFERROR(((0+EB11+EB12+EB13+EB14+EB15+EB16+EB17+EB19+EB20+EB21+EB22+EB23+EB24+EB25+EB27+EB28+EB29+EB30+EB31+EB32+EB33+EB35+EB36+EB37+EB38+EB39+EB40+EB41+EB43)/T2),0)</f>
        <v/>
      </c>
      <c r="EL43" s="5">
        <f>IFERROR(ROUND(EB43/ED43,2),0)</f>
        <v/>
      </c>
      <c r="EM43" s="5">
        <f>IFERROR(ROUND(EB43/EE43,2),0)</f>
        <v/>
      </c>
      <c r="EN43" s="2" t="inlineStr">
        <is>
          <t>2023-10-18</t>
        </is>
      </c>
      <c r="EO43" s="5">
        <f>ROUND(0.0,2)</f>
        <v/>
      </c>
      <c r="EP43" s="3">
        <f>ROUND(79.0,2)</f>
        <v/>
      </c>
      <c r="EQ43" s="3">
        <f>ROUND(0.0,2)</f>
        <v/>
      </c>
      <c r="ER43" s="3">
        <f>ROUND(0.0,2)</f>
        <v/>
      </c>
      <c r="ES43" s="3">
        <f>ROUND(0.0,2)</f>
        <v/>
      </c>
      <c r="ET43" s="3">
        <f>ROUND(0.0,2)</f>
        <v/>
      </c>
      <c r="EU43" s="3">
        <f>ROUND(0.0,2)</f>
        <v/>
      </c>
      <c r="EV43" s="3">
        <f>ROUND(0.0,2)</f>
        <v/>
      </c>
      <c r="EW43" s="4">
        <f>IFERROR((EQ43/EP43),0)</f>
        <v/>
      </c>
      <c r="EX43" s="4">
        <f>IFERROR(((0+EO11+EO12+EO13+EO14+EO15+EO16+EO17+EO19+EO20+EO21+EO22+EO23+EO24+EO25+EO27+EO28+EO29+EO30+EO31+EO32+EO33+EO35+EO36+EO37+EO38+EO39+EO40+EO41+EO43)/T2),0)</f>
        <v/>
      </c>
      <c r="EY43" s="5">
        <f>IFERROR(ROUND(EO43/EQ43,2),0)</f>
        <v/>
      </c>
      <c r="EZ43" s="5">
        <f>IFERROR(ROUND(EO43/ER43,2),0)</f>
        <v/>
      </c>
      <c r="FA43" s="2" t="inlineStr">
        <is>
          <t>2023-10-18</t>
        </is>
      </c>
      <c r="FB43" s="5">
        <f>ROUND(0.51,2)</f>
        <v/>
      </c>
      <c r="FC43" s="3">
        <f>ROUND(1897.0,2)</f>
        <v/>
      </c>
      <c r="FD43" s="3">
        <f>ROUND(51.0,2)</f>
        <v/>
      </c>
      <c r="FE43" s="3">
        <f>ROUND(0.0,2)</f>
        <v/>
      </c>
      <c r="FF43" s="3">
        <f>ROUND(0.0,2)</f>
        <v/>
      </c>
      <c r="FG43" s="3">
        <f>ROUND(0.0,2)</f>
        <v/>
      </c>
      <c r="FH43" s="3">
        <f>ROUND(0.0,2)</f>
        <v/>
      </c>
      <c r="FI43" s="3">
        <f>ROUND(0.0,2)</f>
        <v/>
      </c>
      <c r="FJ43" s="4">
        <f>IFERROR((FD43/FC43),0)</f>
        <v/>
      </c>
      <c r="FK43" s="4">
        <f>IFERROR(((0+FB11+FB12+FB13+FB14+FB15+FB16+FB17+FB19+FB20+FB21+FB22+FB23+FB24+FB25+FB27+FB28+FB29+FB30+FB31+FB32+FB33+FB35+FB36+FB37+FB38+FB39+FB40+FB41+FB43)/T2),0)</f>
        <v/>
      </c>
      <c r="FL43" s="5">
        <f>IFERROR(ROUND(FB43/FD43,2),0)</f>
        <v/>
      </c>
      <c r="FM43" s="5">
        <f>IFERROR(ROUND(FB43/FE43,2),0)</f>
        <v/>
      </c>
      <c r="FN43" s="2" t="inlineStr">
        <is>
          <t>2023-10-18</t>
        </is>
      </c>
      <c r="FO43" s="5">
        <f>ROUND(0.30000000000000004,2)</f>
        <v/>
      </c>
      <c r="FP43" s="3">
        <f>ROUND(1045.0,2)</f>
        <v/>
      </c>
      <c r="FQ43" s="3">
        <f>ROUND(30.0,2)</f>
        <v/>
      </c>
      <c r="FR43" s="3">
        <f>ROUND(0.0,2)</f>
        <v/>
      </c>
      <c r="FS43" s="3">
        <f>ROUND(0.0,2)</f>
        <v/>
      </c>
      <c r="FT43" s="3">
        <f>ROUND(0.0,2)</f>
        <v/>
      </c>
      <c r="FU43" s="3">
        <f>ROUND(0.0,2)</f>
        <v/>
      </c>
      <c r="FV43" s="3">
        <f>ROUND(0.0,2)</f>
        <v/>
      </c>
      <c r="FW43" s="4">
        <f>IFERROR((FQ43/FP43),0)</f>
        <v/>
      </c>
      <c r="FX43" s="4">
        <f>IFERROR(((0+FO11+FO12+FO13+FO14+FO15+FO16+FO17+FO19+FO20+FO21+FO22+FO23+FO24+FO25+FO27+FO28+FO29+FO30+FO31+FO32+FO33+FO35+FO36+FO37+FO38+FO39+FO40+FO41+FO43)/T2),0)</f>
        <v/>
      </c>
      <c r="FY43" s="5">
        <f>IFERROR(ROUND(FO43/FQ43,2),0)</f>
        <v/>
      </c>
      <c r="FZ43" s="5">
        <f>IFERROR(ROUND(FO43/FR43,2),0)</f>
        <v/>
      </c>
      <c r="GA43" s="2" t="inlineStr">
        <is>
          <t>2023-10-18</t>
        </is>
      </c>
      <c r="GB43" s="5">
        <f>ROUND(0.03,2)</f>
        <v/>
      </c>
      <c r="GC43" s="3">
        <f>ROUND(35.0,2)</f>
        <v/>
      </c>
      <c r="GD43" s="3">
        <f>ROUND(3.0,2)</f>
        <v/>
      </c>
      <c r="GE43" s="3">
        <f>ROUND(0.0,2)</f>
        <v/>
      </c>
      <c r="GF43" s="3">
        <f>ROUND(0.0,2)</f>
        <v/>
      </c>
      <c r="GG43" s="3">
        <f>ROUND(0.0,2)</f>
        <v/>
      </c>
      <c r="GH43" s="3">
        <f>ROUND(0.0,2)</f>
        <v/>
      </c>
      <c r="GI43" s="3">
        <f>ROUND(0.0,2)</f>
        <v/>
      </c>
      <c r="GJ43" s="4">
        <f>IFERROR((GD43/GC43),0)</f>
        <v/>
      </c>
      <c r="GK43" s="4">
        <f>IFERROR(((0+GB11+GB12+GB13+GB14+GB15+GB16+GB17+GB19+GB20+GB21+GB22+GB23+GB24+GB25+GB27+GB28+GB29+GB30+GB31+GB32+GB33+GB35+GB36+GB37+GB38+GB39+GB40+GB41+GB43)/T2),0)</f>
        <v/>
      </c>
      <c r="GL43" s="5">
        <f>IFERROR(ROUND(GB43/GD43,2),0)</f>
        <v/>
      </c>
      <c r="GM43" s="5">
        <f>IFERROR(ROUND(GB43/GE43,2),0)</f>
        <v/>
      </c>
      <c r="GN43" s="2" t="inlineStr">
        <is>
          <t>2023-10-18</t>
        </is>
      </c>
      <c r="GO43" s="5">
        <f>ROUND(0.3,2)</f>
        <v/>
      </c>
      <c r="GP43" s="3">
        <f>ROUND(422.0,2)</f>
        <v/>
      </c>
      <c r="GQ43" s="3">
        <f>ROUND(30.0,2)</f>
        <v/>
      </c>
      <c r="GR43" s="3">
        <f>ROUND(0.0,2)</f>
        <v/>
      </c>
      <c r="GS43" s="3">
        <f>ROUND(0.0,2)</f>
        <v/>
      </c>
      <c r="GT43" s="3">
        <f>ROUND(0.0,2)</f>
        <v/>
      </c>
      <c r="GU43" s="3">
        <f>ROUND(0.0,2)</f>
        <v/>
      </c>
      <c r="GV43" s="3">
        <f>ROUND(0.0,2)</f>
        <v/>
      </c>
      <c r="GW43" s="4">
        <f>IFERROR((GQ43/GP43),0)</f>
        <v/>
      </c>
      <c r="GX43" s="4">
        <f>IFERROR(((0+GO11+GO12+GO13+GO14+GO15+GO16+GO17+GO19+GO20+GO21+GO22+GO23+GO24+GO25+GO27+GO28+GO29+GO30+GO31+GO32+GO33+GO35+GO36+GO37+GO38+GO39+GO40+GO41+GO43)/T2),0)</f>
        <v/>
      </c>
      <c r="GY43" s="5">
        <f>IFERROR(ROUND(GO43/GQ43,2),0)</f>
        <v/>
      </c>
      <c r="GZ43" s="5">
        <f>IFERROR(ROUND(GO43/GR43,2),0)</f>
        <v/>
      </c>
      <c r="HA43" s="2" t="inlineStr">
        <is>
          <t>2023-10-18</t>
        </is>
      </c>
      <c r="HB43" s="5">
        <f>ROUND(5.93,2)</f>
        <v/>
      </c>
      <c r="HC43" s="3">
        <f>ROUND(7335.0,2)</f>
        <v/>
      </c>
      <c r="HD43" s="3">
        <f>ROUND(593.0,2)</f>
        <v/>
      </c>
      <c r="HE43" s="3">
        <f>ROUND(0.0,2)</f>
        <v/>
      </c>
      <c r="HF43" s="3">
        <f>ROUND(0.0,2)</f>
        <v/>
      </c>
      <c r="HG43" s="3">
        <f>ROUND(0.0,2)</f>
        <v/>
      </c>
      <c r="HH43" s="3">
        <f>ROUND(0.0,2)</f>
        <v/>
      </c>
      <c r="HI43" s="3">
        <f>ROUND(0.0,2)</f>
        <v/>
      </c>
      <c r="HJ43" s="4">
        <f>IFERROR((HD43/HC43),0)</f>
        <v/>
      </c>
      <c r="HK43" s="4">
        <f>IFERROR(((0+HB11+HB12+HB13+HB14+HB15+HB16+HB17+HB19+HB20+HB21+HB22+HB23+HB24+HB25+HB27+HB28+HB29+HB30+HB31+HB32+HB33+HB35+HB36+HB37+HB38+HB39+HB40+HB41+HB43)/T2),0)</f>
        <v/>
      </c>
      <c r="HL43" s="5">
        <f>IFERROR(ROUND(HB43/HD43,2),0)</f>
        <v/>
      </c>
      <c r="HM43" s="5">
        <f>IFERROR(ROUND(HB43/HE43,2),0)</f>
        <v/>
      </c>
      <c r="HN43" s="2" t="inlineStr">
        <is>
          <t>2023-10-18</t>
        </is>
      </c>
      <c r="HO43" s="5">
        <f>ROUND(0.03,2)</f>
        <v/>
      </c>
      <c r="HP43" s="3">
        <f>ROUND(32.0,2)</f>
        <v/>
      </c>
      <c r="HQ43" s="3">
        <f>ROUND(3.0,2)</f>
        <v/>
      </c>
      <c r="HR43" s="3">
        <f>ROUND(0.0,2)</f>
        <v/>
      </c>
      <c r="HS43" s="3">
        <f>ROUND(0.0,2)</f>
        <v/>
      </c>
      <c r="HT43" s="3">
        <f>ROUND(0.0,2)</f>
        <v/>
      </c>
      <c r="HU43" s="3">
        <f>ROUND(0.0,2)</f>
        <v/>
      </c>
      <c r="HV43" s="3">
        <f>ROUND(0.0,2)</f>
        <v/>
      </c>
      <c r="HW43" s="4">
        <f>IFERROR((HQ43/HP43),0)</f>
        <v/>
      </c>
      <c r="HX43" s="4">
        <f>IFERROR(((0+HO11+HO12+HO13+HO14+HO15+HO16+HO17+HO19+HO20+HO21+HO22+HO23+HO24+HO25+HO27+HO28+HO29+HO30+HO31+HO32+HO33+HO35+HO36+HO37+HO38+HO39+HO40+HO41+HO43)/T2),0)</f>
        <v/>
      </c>
      <c r="HY43" s="5">
        <f>IFERROR(ROUND(HO43/HQ43,2),0)</f>
        <v/>
      </c>
      <c r="HZ43" s="5">
        <f>IFERROR(ROUND(HO43/HR43,2),0)</f>
        <v/>
      </c>
      <c r="IA43" s="2" t="inlineStr">
        <is>
          <t>2023-10-18</t>
        </is>
      </c>
      <c r="IB43" s="5">
        <f>ROUND(0.18,2)</f>
        <v/>
      </c>
      <c r="IC43" s="3">
        <f>ROUND(87.0,2)</f>
        <v/>
      </c>
      <c r="ID43" s="3">
        <f>ROUND(18.0,2)</f>
        <v/>
      </c>
      <c r="IE43" s="3">
        <f>ROUND(0.0,2)</f>
        <v/>
      </c>
      <c r="IF43" s="3">
        <f>ROUND(0.0,2)</f>
        <v/>
      </c>
      <c r="IG43" s="3">
        <f>ROUND(0.0,2)</f>
        <v/>
      </c>
      <c r="IH43" s="3">
        <f>ROUND(0.0,2)</f>
        <v/>
      </c>
      <c r="II43" s="3">
        <f>ROUND(0.0,2)</f>
        <v/>
      </c>
      <c r="IJ43" s="4">
        <f>IFERROR((ID43/IC43),0)</f>
        <v/>
      </c>
      <c r="IK43" s="4">
        <f>IFERROR(((0+IB11+IB12+IB13+IB14+IB15+IB16+IB17+IB19+IB20+IB21+IB22+IB23+IB24+IB25+IB27+IB28+IB29+IB30+IB31+IB32+IB33+IB35+IB36+IB37+IB38+IB39+IB40+IB41+IB43)/T2),0)</f>
        <v/>
      </c>
      <c r="IL43" s="5">
        <f>IFERROR(ROUND(IB43/ID43,2),0)</f>
        <v/>
      </c>
      <c r="IM43" s="5">
        <f>IFERROR(ROUND(IB43/IE43,2),0)</f>
        <v/>
      </c>
      <c r="IN43" s="2" t="inlineStr">
        <is>
          <t>2023-10-18</t>
        </is>
      </c>
      <c r="IO43" s="5">
        <f>ROUND(0.8,2)</f>
        <v/>
      </c>
      <c r="IP43" s="3">
        <f>ROUND(4252.0,2)</f>
        <v/>
      </c>
      <c r="IQ43" s="3">
        <f>ROUND(80.0,2)</f>
        <v/>
      </c>
      <c r="IR43" s="3">
        <f>ROUND(0.0,2)</f>
        <v/>
      </c>
      <c r="IS43" s="3">
        <f>ROUND(0.0,2)</f>
        <v/>
      </c>
      <c r="IT43" s="3">
        <f>ROUND(0.0,2)</f>
        <v/>
      </c>
      <c r="IU43" s="3">
        <f>ROUND(0.0,2)</f>
        <v/>
      </c>
      <c r="IV43" s="3">
        <f>ROUND(0.0,2)</f>
        <v/>
      </c>
      <c r="IW43" s="4">
        <f>IFERROR((IQ43/IP43),0)</f>
        <v/>
      </c>
      <c r="IX43" s="4">
        <f>IFERROR(((0+IO11+IO12+IO13+IO14+IO15+IO16+IO17+IO19+IO20+IO21+IO22+IO23+IO24+IO25+IO27+IO28+IO29+IO30+IO31+IO32+IO33+IO35+IO36+IO37+IO38+IO39+IO40+IO41+IO43)/T2),0)</f>
        <v/>
      </c>
      <c r="IY43" s="5">
        <f>IFERROR(ROUND(IO43/IQ43,2),0)</f>
        <v/>
      </c>
      <c r="IZ43" s="5">
        <f>IFERROR(ROUND(IO43/IR43,2),0)</f>
        <v/>
      </c>
      <c r="JA43" s="2" t="inlineStr">
        <is>
          <t>2023-10-18</t>
        </is>
      </c>
      <c r="JB43" s="5">
        <f>ROUND(0.06,2)</f>
        <v/>
      </c>
      <c r="JC43" s="3">
        <f>ROUND(115.0,2)</f>
        <v/>
      </c>
      <c r="JD43" s="3">
        <f>ROUND(6.0,2)</f>
        <v/>
      </c>
      <c r="JE43" s="3">
        <f>ROUND(0.0,2)</f>
        <v/>
      </c>
      <c r="JF43" s="3">
        <f>ROUND(0.0,2)</f>
        <v/>
      </c>
      <c r="JG43" s="3">
        <f>ROUND(0.0,2)</f>
        <v/>
      </c>
      <c r="JH43" s="3">
        <f>ROUND(0.0,2)</f>
        <v/>
      </c>
      <c r="JI43" s="3">
        <f>ROUND(0.0,2)</f>
        <v/>
      </c>
      <c r="JJ43" s="4">
        <f>IFERROR((JD43/JC43),0)</f>
        <v/>
      </c>
      <c r="JK43" s="4">
        <f>IFERROR(((0+JB11+JB12+JB13+JB14+JB15+JB16+JB17+JB19+JB20+JB21+JB22+JB23+JB24+JB25+JB27+JB28+JB29+JB30+JB31+JB32+JB33+JB35+JB36+JB37+JB38+JB39+JB40+JB41+JB43)/T2),0)</f>
        <v/>
      </c>
      <c r="JL43" s="5">
        <f>IFERROR(ROUND(JB43/JD43,2),0)</f>
        <v/>
      </c>
      <c r="JM43" s="5">
        <f>IFERROR(ROUND(JB43/JE43,2),0)</f>
        <v/>
      </c>
      <c r="JN43" s="2" t="inlineStr">
        <is>
          <t>2023-10-18</t>
        </is>
      </c>
      <c r="JO43" s="5">
        <f>ROUND(0.01,2)</f>
        <v/>
      </c>
      <c r="JP43" s="3">
        <f>ROUND(62.0,2)</f>
        <v/>
      </c>
      <c r="JQ43" s="3">
        <f>ROUND(1.0,2)</f>
        <v/>
      </c>
      <c r="JR43" s="3">
        <f>ROUND(0.0,2)</f>
        <v/>
      </c>
      <c r="JS43" s="3">
        <f>ROUND(0.0,2)</f>
        <v/>
      </c>
      <c r="JT43" s="3">
        <f>ROUND(0.0,2)</f>
        <v/>
      </c>
      <c r="JU43" s="3">
        <f>ROUND(0.0,2)</f>
        <v/>
      </c>
      <c r="JV43" s="3">
        <f>ROUND(0.0,2)</f>
        <v/>
      </c>
      <c r="JW43" s="4">
        <f>IFERROR((JQ43/JP43),0)</f>
        <v/>
      </c>
      <c r="JX43" s="4">
        <f>IFERROR(((0+JO11+JO12+JO13+JO14+JO15+JO16+JO17+JO19+JO20+JO21+JO22+JO23+JO24+JO25+JO27+JO28+JO29+JO30+JO31+JO32+JO33+JO35+JO36+JO37+JO38+JO39+JO40+JO41+JO43)/T2),0)</f>
        <v/>
      </c>
      <c r="JY43" s="5">
        <f>IFERROR(ROUND(JO43/JQ43,2),0)</f>
        <v/>
      </c>
      <c r="JZ43" s="5">
        <f>IFERROR(ROUND(JO43/JR43,2),0)</f>
        <v/>
      </c>
      <c r="KA43" s="2" t="inlineStr">
        <is>
          <t>2023-10-18</t>
        </is>
      </c>
      <c r="KB43" s="5">
        <f>ROUND(0.03,2)</f>
        <v/>
      </c>
      <c r="KC43" s="3">
        <f>ROUND(72.0,2)</f>
        <v/>
      </c>
      <c r="KD43" s="3">
        <f>ROUND(3.0,2)</f>
        <v/>
      </c>
      <c r="KE43" s="3">
        <f>ROUND(0.0,2)</f>
        <v/>
      </c>
      <c r="KF43" s="3">
        <f>ROUND(0.0,2)</f>
        <v/>
      </c>
      <c r="KG43" s="3">
        <f>ROUND(0.0,2)</f>
        <v/>
      </c>
      <c r="KH43" s="3">
        <f>ROUND(0.0,2)</f>
        <v/>
      </c>
      <c r="KI43" s="3">
        <f>ROUND(0.0,2)</f>
        <v/>
      </c>
      <c r="KJ43" s="4">
        <f>IFERROR((KD43/KC43),0)</f>
        <v/>
      </c>
      <c r="KK43" s="4">
        <f>IFERROR(((0+KB11+KB12+KB13+KB14+KB15+KB16+KB17+KB19+KB20+KB21+KB22+KB23+KB24+KB25+KB27+KB28+KB29+KB30+KB31+KB32+KB33+KB35+KB36+KB37+KB38+KB39+KB40+KB41+KB43)/T2),0)</f>
        <v/>
      </c>
      <c r="KL43" s="5">
        <f>IFERROR(ROUND(KB43/KD43,2),0)</f>
        <v/>
      </c>
      <c r="KM43" s="5">
        <f>IFERROR(ROUND(KB43/KE43,2),0)</f>
        <v/>
      </c>
      <c r="KN43" s="2" t="inlineStr">
        <is>
          <t>2023-10-18</t>
        </is>
      </c>
      <c r="KO43" s="5">
        <f>ROUND(1.91,2)</f>
        <v/>
      </c>
      <c r="KP43" s="3">
        <f>ROUND(8406.0,2)</f>
        <v/>
      </c>
      <c r="KQ43" s="3">
        <f>ROUND(191.0,2)</f>
        <v/>
      </c>
      <c r="KR43" s="3">
        <f>ROUND(0.0,2)</f>
        <v/>
      </c>
      <c r="KS43" s="3">
        <f>ROUND(0.0,2)</f>
        <v/>
      </c>
      <c r="KT43" s="3">
        <f>ROUND(0.0,2)</f>
        <v/>
      </c>
      <c r="KU43" s="3">
        <f>ROUND(0.0,2)</f>
        <v/>
      </c>
      <c r="KV43" s="3">
        <f>ROUND(0.0,2)</f>
        <v/>
      </c>
      <c r="KW43" s="4">
        <f>IFERROR((KQ43/KP43),0)</f>
        <v/>
      </c>
      <c r="KX43" s="4">
        <f>IFERROR(((0+KO11+KO12+KO13+KO14+KO15+KO16+KO17+KO19+KO20+KO21+KO22+KO23+KO24+KO25+KO27+KO28+KO29+KO30+KO31+KO32+KO33+KO35+KO36+KO37+KO38+KO39+KO40+KO41+KO43)/T2),0)</f>
        <v/>
      </c>
      <c r="KY43" s="5">
        <f>IFERROR(ROUND(KO43/KQ43,2),0)</f>
        <v/>
      </c>
      <c r="KZ43" s="5">
        <f>IFERROR(ROUND(KO43/KR43,2),0)</f>
        <v/>
      </c>
      <c r="LA43" s="2" t="inlineStr">
        <is>
          <t>2023-10-18</t>
        </is>
      </c>
      <c r="LB43" s="5">
        <f>ROUND(0.8200000000000001,2)</f>
        <v/>
      </c>
      <c r="LC43" s="3">
        <f>ROUND(2640.0,2)</f>
        <v/>
      </c>
      <c r="LD43" s="3">
        <f>ROUND(82.0,2)</f>
        <v/>
      </c>
      <c r="LE43" s="3">
        <f>ROUND(0.0,2)</f>
        <v/>
      </c>
      <c r="LF43" s="3">
        <f>ROUND(0.0,2)</f>
        <v/>
      </c>
      <c r="LG43" s="3">
        <f>ROUND(0.0,2)</f>
        <v/>
      </c>
      <c r="LH43" s="3">
        <f>ROUND(0.0,2)</f>
        <v/>
      </c>
      <c r="LI43" s="3">
        <f>ROUND(0.0,2)</f>
        <v/>
      </c>
      <c r="LJ43" s="4">
        <f>IFERROR((LD43/LC43),0)</f>
        <v/>
      </c>
      <c r="LK43" s="4">
        <f>IFERROR(((0+LB11+LB12+LB13+LB14+LB15+LB16+LB17+LB19+LB20+LB21+LB22+LB23+LB24+LB25+LB27+LB28+LB29+LB30+LB31+LB32+LB33+LB35+LB36+LB37+LB38+LB39+LB40+LB41+LB43)/T2),0)</f>
        <v/>
      </c>
      <c r="LL43" s="5">
        <f>IFERROR(ROUND(LB43/LD43,2),0)</f>
        <v/>
      </c>
      <c r="LM43" s="5">
        <f>IFERROR(ROUND(LB43/LE43,2),0)</f>
        <v/>
      </c>
      <c r="LN43" s="2" t="inlineStr">
        <is>
          <t>2023-10-18</t>
        </is>
      </c>
      <c r="LO43" s="5">
        <f>ROUND(0.56,2)</f>
        <v/>
      </c>
      <c r="LP43" s="3">
        <f>ROUND(617.0,2)</f>
        <v/>
      </c>
      <c r="LQ43" s="3">
        <f>ROUND(56.0,2)</f>
        <v/>
      </c>
      <c r="LR43" s="3">
        <f>ROUND(0.0,2)</f>
        <v/>
      </c>
      <c r="LS43" s="3">
        <f>ROUND(0.0,2)</f>
        <v/>
      </c>
      <c r="LT43" s="3">
        <f>ROUND(0.0,2)</f>
        <v/>
      </c>
      <c r="LU43" s="3">
        <f>ROUND(0.0,2)</f>
        <v/>
      </c>
      <c r="LV43" s="3">
        <f>ROUND(0.0,2)</f>
        <v/>
      </c>
      <c r="LW43" s="4">
        <f>IFERROR((LQ43/LP43),0)</f>
        <v/>
      </c>
      <c r="LX43" s="4">
        <f>IFERROR(((0+LO11+LO12+LO13+LO14+LO15+LO16+LO17+LO19+LO20+LO21+LO22+LO23+LO24+LO25+LO27+LO28+LO29+LO30+LO31+LO32+LO33+LO35+LO36+LO37+LO38+LO39+LO40+LO41+LO43)/T2),0)</f>
        <v/>
      </c>
      <c r="LY43" s="5">
        <f>IFERROR(ROUND(LO43/LQ43,2),0)</f>
        <v/>
      </c>
      <c r="LZ43" s="5">
        <f>IFERROR(ROUND(LO43/LR43,2),0)</f>
        <v/>
      </c>
      <c r="MA43" s="2" t="inlineStr">
        <is>
          <t>2023-10-18</t>
        </is>
      </c>
      <c r="MB43" s="5">
        <f>ROUND(0.67,2)</f>
        <v/>
      </c>
      <c r="MC43" s="3">
        <f>ROUND(1721.0,2)</f>
        <v/>
      </c>
      <c r="MD43" s="3">
        <f>ROUND(67.0,2)</f>
        <v/>
      </c>
      <c r="ME43" s="3">
        <f>ROUND(0.0,2)</f>
        <v/>
      </c>
      <c r="MF43" s="3">
        <f>ROUND(0.0,2)</f>
        <v/>
      </c>
      <c r="MG43" s="3">
        <f>ROUND(0.0,2)</f>
        <v/>
      </c>
      <c r="MH43" s="3">
        <f>ROUND(0.0,2)</f>
        <v/>
      </c>
      <c r="MI43" s="3">
        <f>ROUND(0.0,2)</f>
        <v/>
      </c>
      <c r="MJ43" s="4">
        <f>IFERROR((MD43/MC43),0)</f>
        <v/>
      </c>
      <c r="MK43" s="4">
        <f>IFERROR(((0+MB11+MB12+MB13+MB14+MB15+MB16+MB17+MB19+MB20+MB21+MB22+MB23+MB24+MB25+MB27+MB28+MB29+MB30+MB31+MB32+MB33+MB35+MB36+MB37+MB38+MB39+MB40+MB41+MB43)/T2),0)</f>
        <v/>
      </c>
      <c r="ML43" s="5">
        <f>IFERROR(ROUND(MB43/MD43,2),0)</f>
        <v/>
      </c>
      <c r="MM43" s="5">
        <f>IFERROR(ROUND(MB43/ME43,2),0)</f>
        <v/>
      </c>
      <c r="MN43" s="2" t="inlineStr">
        <is>
          <t>2023-10-18</t>
        </is>
      </c>
      <c r="MO43" s="5">
        <f>ROUND(4.930000000000001,2)</f>
        <v/>
      </c>
      <c r="MP43" s="3">
        <f>ROUND(6722.0,2)</f>
        <v/>
      </c>
      <c r="MQ43" s="3">
        <f>ROUND(492.0,2)</f>
        <v/>
      </c>
      <c r="MR43" s="3">
        <f>ROUND(0.0,2)</f>
        <v/>
      </c>
      <c r="MS43" s="3">
        <f>ROUND(0.0,2)</f>
        <v/>
      </c>
      <c r="MT43" s="3">
        <f>ROUND(0.0,2)</f>
        <v/>
      </c>
      <c r="MU43" s="3">
        <f>ROUND(0.0,2)</f>
        <v/>
      </c>
      <c r="MV43" s="3">
        <f>ROUND(0.0,2)</f>
        <v/>
      </c>
      <c r="MW43" s="4">
        <f>IFERROR((MQ43/MP43),0)</f>
        <v/>
      </c>
      <c r="MX43" s="4">
        <f>IFERROR(((0+MO11+MO12+MO13+MO14+MO15+MO16+MO17+MO19+MO20+MO21+MO22+MO23+MO24+MO25+MO27+MO28+MO29+MO30+MO31+MO32+MO33+MO35+MO36+MO37+MO38+MO39+MO40+MO41+MO43)/T2),0)</f>
        <v/>
      </c>
      <c r="MY43" s="5">
        <f>IFERROR(ROUND(MO43/MQ43,2),0)</f>
        <v/>
      </c>
      <c r="MZ43" s="5">
        <f>IFERROR(ROUND(MO43/MR43,2),0)</f>
        <v/>
      </c>
      <c r="NA43" s="2" t="inlineStr">
        <is>
          <t>2023-10-18</t>
        </is>
      </c>
      <c r="NB43" s="5">
        <f>ROUND(1.27,2)</f>
        <v/>
      </c>
      <c r="NC43" s="3">
        <f>ROUND(5111.0,2)</f>
        <v/>
      </c>
      <c r="ND43" s="3">
        <f>ROUND(127.0,2)</f>
        <v/>
      </c>
      <c r="NE43" s="3">
        <f>ROUND(0.0,2)</f>
        <v/>
      </c>
      <c r="NF43" s="3">
        <f>ROUND(0.0,2)</f>
        <v/>
      </c>
      <c r="NG43" s="3">
        <f>ROUND(0.0,2)</f>
        <v/>
      </c>
      <c r="NH43" s="3">
        <f>ROUND(0.0,2)</f>
        <v/>
      </c>
      <c r="NI43" s="3">
        <f>ROUND(0.0,2)</f>
        <v/>
      </c>
      <c r="NJ43" s="4">
        <f>IFERROR((ND43/NC43),0)</f>
        <v/>
      </c>
      <c r="NK43" s="4">
        <f>IFERROR(((0+NB11+NB12+NB13+NB14+NB15+NB16+NB17+NB19+NB20+NB21+NB22+NB23+NB24+NB25+NB27+NB28+NB29+NB30+NB31+NB32+NB33+NB35+NB36+NB37+NB38+NB39+NB40+NB41+NB43)/T2),0)</f>
        <v/>
      </c>
      <c r="NL43" s="5">
        <f>IFERROR(ROUND(NB43/ND43,2),0)</f>
        <v/>
      </c>
      <c r="NM43" s="5">
        <f>IFERROR(ROUND(NB43/NE43,2),0)</f>
        <v/>
      </c>
      <c r="NN43" s="2" t="inlineStr">
        <is>
          <t>2023-10-18</t>
        </is>
      </c>
      <c r="NO43" s="5">
        <f>ROUND(0.02,2)</f>
        <v/>
      </c>
      <c r="NP43" s="3">
        <f>ROUND(62.0,2)</f>
        <v/>
      </c>
      <c r="NQ43" s="3">
        <f>ROUND(2.0,2)</f>
        <v/>
      </c>
      <c r="NR43" s="3">
        <f>ROUND(0.0,2)</f>
        <v/>
      </c>
      <c r="NS43" s="3">
        <f>ROUND(0.0,2)</f>
        <v/>
      </c>
      <c r="NT43" s="3">
        <f>ROUND(0.0,2)</f>
        <v/>
      </c>
      <c r="NU43" s="3">
        <f>ROUND(0.0,2)</f>
        <v/>
      </c>
      <c r="NV43" s="3">
        <f>ROUND(0.0,2)</f>
        <v/>
      </c>
      <c r="NW43" s="4">
        <f>IFERROR((NQ43/NP43),0)</f>
        <v/>
      </c>
      <c r="NX43" s="4">
        <f>IFERROR(((0+NO11+NO12+NO13+NO14+NO15+NO16+NO17+NO19+NO20+NO21+NO22+NO23+NO24+NO25+NO27+NO28+NO29+NO30+NO31+NO32+NO33+NO35+NO36+NO37+NO38+NO39+NO40+NO41+NO43)/T2),0)</f>
        <v/>
      </c>
      <c r="NY43" s="5">
        <f>IFERROR(ROUND(NO43/NQ43,2),0)</f>
        <v/>
      </c>
      <c r="NZ43" s="5">
        <f>IFERROR(ROUND(NO43/NR43,2),0)</f>
        <v/>
      </c>
      <c r="OA43" s="2" t="inlineStr">
        <is>
          <t>2023-10-18</t>
        </is>
      </c>
      <c r="OB43" s="5">
        <f>ROUND(0.0,2)</f>
        <v/>
      </c>
      <c r="OC43" s="3">
        <f>ROUND(19.0,2)</f>
        <v/>
      </c>
      <c r="OD43" s="3">
        <f>ROUND(0.0,2)</f>
        <v/>
      </c>
      <c r="OE43" s="3">
        <f>ROUND(0.0,2)</f>
        <v/>
      </c>
      <c r="OF43" s="3">
        <f>ROUND(0.0,2)</f>
        <v/>
      </c>
      <c r="OG43" s="3">
        <f>ROUND(0.0,2)</f>
        <v/>
      </c>
      <c r="OH43" s="3">
        <f>ROUND(0.0,2)</f>
        <v/>
      </c>
      <c r="OI43" s="3">
        <f>ROUND(0.0,2)</f>
        <v/>
      </c>
      <c r="OJ43" s="4">
        <f>IFERROR((OD43/OC43),0)</f>
        <v/>
      </c>
      <c r="OK43" s="4">
        <f>IFERROR(((0+OB11+OB12+OB13+OB14+OB15+OB16+OB17+OB19+OB20+OB21+OB22+OB23+OB24+OB25+OB27+OB28+OB29+OB30+OB31+OB32+OB33+OB35+OB36+OB37+OB38+OB39+OB40+OB41+OB43)/T2),0)</f>
        <v/>
      </c>
      <c r="OL43" s="5">
        <f>IFERROR(ROUND(OB43/OD43,2),0)</f>
        <v/>
      </c>
      <c r="OM43" s="5">
        <f>IFERROR(ROUND(OB43/OE43,2),0)</f>
        <v/>
      </c>
      <c r="ON43" s="2" t="inlineStr">
        <is>
          <t>2023-10-18</t>
        </is>
      </c>
      <c r="OO43" s="5">
        <f>ROUND(0.12,2)</f>
        <v/>
      </c>
      <c r="OP43" s="3">
        <f>ROUND(90.0,2)</f>
        <v/>
      </c>
      <c r="OQ43" s="3">
        <f>ROUND(12.0,2)</f>
        <v/>
      </c>
      <c r="OR43" s="3">
        <f>ROUND(0.0,2)</f>
        <v/>
      </c>
      <c r="OS43" s="3">
        <f>ROUND(0.0,2)</f>
        <v/>
      </c>
      <c r="OT43" s="3">
        <f>ROUND(0.0,2)</f>
        <v/>
      </c>
      <c r="OU43" s="3">
        <f>ROUND(0.0,2)</f>
        <v/>
      </c>
      <c r="OV43" s="3">
        <f>ROUND(0.0,2)</f>
        <v/>
      </c>
      <c r="OW43" s="4">
        <f>IFERROR((OQ43/OP43),0)</f>
        <v/>
      </c>
      <c r="OX43" s="4">
        <f>IFERROR(((0+OO11+OO12+OO13+OO14+OO15+OO16+OO17+OO19+OO20+OO21+OO22+OO23+OO24+OO25+OO27+OO28+OO29+OO30+OO31+OO32+OO33+OO35+OO36+OO37+OO38+OO39+OO40+OO41+OO43)/T2),0)</f>
        <v/>
      </c>
      <c r="OY43" s="5">
        <f>IFERROR(ROUND(OO43/OQ43,2),0)</f>
        <v/>
      </c>
      <c r="OZ43" s="5">
        <f>IFERROR(ROUND(OO43/OR43,2),0)</f>
        <v/>
      </c>
      <c r="PA43" s="2" t="inlineStr">
        <is>
          <t>2023-10-18</t>
        </is>
      </c>
      <c r="PB43" s="5">
        <f>ROUND(0.05,2)</f>
        <v/>
      </c>
      <c r="PC43" s="3">
        <f>ROUND(87.0,2)</f>
        <v/>
      </c>
      <c r="PD43" s="3">
        <f>ROUND(5.0,2)</f>
        <v/>
      </c>
      <c r="PE43" s="3">
        <f>ROUND(0.0,2)</f>
        <v/>
      </c>
      <c r="PF43" s="3">
        <f>ROUND(0.0,2)</f>
        <v/>
      </c>
      <c r="PG43" s="3">
        <f>ROUND(0.0,2)</f>
        <v/>
      </c>
      <c r="PH43" s="3">
        <f>ROUND(0.0,2)</f>
        <v/>
      </c>
      <c r="PI43" s="3">
        <f>ROUND(0.0,2)</f>
        <v/>
      </c>
      <c r="PJ43" s="4">
        <f>IFERROR((PD43/PC43),0)</f>
        <v/>
      </c>
      <c r="PK43" s="4">
        <f>IFERROR(((0+PB11+PB12+PB13+PB14+PB15+PB16+PB17+PB19+PB20+PB21+PB22+PB23+PB24+PB25+PB27+PB28+PB29+PB30+PB31+PB32+PB33+PB35+PB36+PB37+PB38+PB39+PB40+PB41+PB43)/T2),0)</f>
        <v/>
      </c>
      <c r="PL43" s="5">
        <f>IFERROR(ROUND(PB43/PD43,2),0)</f>
        <v/>
      </c>
      <c r="PM43" s="5">
        <f>IFERROR(ROUND(PB43/PE43,2),0)</f>
        <v/>
      </c>
      <c r="PN43" s="2" t="inlineStr">
        <is>
          <t>2023-10-18</t>
        </is>
      </c>
      <c r="PO43" s="5">
        <f>ROUND(2.7800000000000002,2)</f>
        <v/>
      </c>
      <c r="PP43" s="3">
        <f>ROUND(4258.0,2)</f>
        <v/>
      </c>
      <c r="PQ43" s="3">
        <f>ROUND(278.0,2)</f>
        <v/>
      </c>
      <c r="PR43" s="3">
        <f>ROUND(0.0,2)</f>
        <v/>
      </c>
      <c r="PS43" s="3">
        <f>ROUND(0.0,2)</f>
        <v/>
      </c>
      <c r="PT43" s="3">
        <f>ROUND(0.0,2)</f>
        <v/>
      </c>
      <c r="PU43" s="3">
        <f>ROUND(0.0,2)</f>
        <v/>
      </c>
      <c r="PV43" s="3">
        <f>ROUND(0.0,2)</f>
        <v/>
      </c>
      <c r="PW43" s="4">
        <f>IFERROR((PQ43/PP43),0)</f>
        <v/>
      </c>
      <c r="PX43" s="4">
        <f>IFERROR(((0+PO11+PO12+PO13+PO14+PO15+PO16+PO17+PO19+PO20+PO21+PO22+PO23+PO24+PO25+PO27+PO28+PO29+PO30+PO31+PO32+PO33+PO35+PO36+PO37+PO38+PO39+PO40+PO41+PO43)/T2),0)</f>
        <v/>
      </c>
      <c r="PY43" s="5">
        <f>IFERROR(ROUND(PO43/PQ43,2),0)</f>
        <v/>
      </c>
      <c r="PZ43" s="5">
        <f>IFERROR(ROUND(PO43/PR43,2),0)</f>
        <v/>
      </c>
      <c r="QA43" s="2" t="inlineStr">
        <is>
          <t>2023-10-18</t>
        </is>
      </c>
      <c r="QB43" s="5">
        <f>ROUND(0.04,2)</f>
        <v/>
      </c>
      <c r="QC43" s="3">
        <f>ROUND(40.0,2)</f>
        <v/>
      </c>
      <c r="QD43" s="3">
        <f>ROUND(4.0,2)</f>
        <v/>
      </c>
      <c r="QE43" s="3">
        <f>ROUND(0.0,2)</f>
        <v/>
      </c>
      <c r="QF43" s="3">
        <f>ROUND(0.0,2)</f>
        <v/>
      </c>
      <c r="QG43" s="3">
        <f>ROUND(0.0,2)</f>
        <v/>
      </c>
      <c r="QH43" s="3">
        <f>ROUND(0.0,2)</f>
        <v/>
      </c>
      <c r="QI43" s="3">
        <f>ROUND(0.0,2)</f>
        <v/>
      </c>
      <c r="QJ43" s="4">
        <f>IFERROR((QD43/QC43),0)</f>
        <v/>
      </c>
      <c r="QK43" s="4">
        <f>IFERROR(((0+QB11+QB12+QB13+QB14+QB15+QB16+QB17+QB19+QB20+QB21+QB22+QB23+QB24+QB25+QB27+QB28+QB29+QB30+QB31+QB32+QB33+QB35+QB36+QB37+QB38+QB39+QB40+QB41+QB43)/T2),0)</f>
        <v/>
      </c>
      <c r="QL43" s="5">
        <f>IFERROR(ROUND(QB43/QD43,2),0)</f>
        <v/>
      </c>
      <c r="QM43" s="5">
        <f>IFERROR(ROUND(QB43/QE43,2),0)</f>
        <v/>
      </c>
      <c r="QN43" s="2" t="inlineStr">
        <is>
          <t>2023-10-18</t>
        </is>
      </c>
      <c r="QO43" s="5">
        <f>ROUND(0.07,2)</f>
        <v/>
      </c>
      <c r="QP43" s="3">
        <f>ROUND(147.0,2)</f>
        <v/>
      </c>
      <c r="QQ43" s="3">
        <f>ROUND(7.0,2)</f>
        <v/>
      </c>
      <c r="QR43" s="3">
        <f>ROUND(0.0,2)</f>
        <v/>
      </c>
      <c r="QS43" s="3">
        <f>ROUND(0.0,2)</f>
        <v/>
      </c>
      <c r="QT43" s="3">
        <f>ROUND(0.0,2)</f>
        <v/>
      </c>
      <c r="QU43" s="3">
        <f>ROUND(0.0,2)</f>
        <v/>
      </c>
      <c r="QV43" s="3">
        <f>ROUND(0.0,2)</f>
        <v/>
      </c>
      <c r="QW43" s="4">
        <f>IFERROR((QQ43/QP43),0)</f>
        <v/>
      </c>
      <c r="QX43" s="4">
        <f>IFERROR(((0+QO11+QO12+QO13+QO14+QO15+QO16+QO17+QO19+QO20+QO21+QO22+QO23+QO24+QO25+QO27+QO28+QO29+QO30+QO31+QO32+QO33+QO35+QO36+QO37+QO38+QO39+QO40+QO41+QO43)/T2),0)</f>
        <v/>
      </c>
      <c r="QY43" s="5">
        <f>IFERROR(ROUND(QO43/QQ43,2),0)</f>
        <v/>
      </c>
      <c r="QZ43" s="5">
        <f>IFERROR(ROUND(QO43/QR43,2),0)</f>
        <v/>
      </c>
      <c r="RA43" s="2" t="inlineStr">
        <is>
          <t>2023-10-18</t>
        </is>
      </c>
      <c r="RB43" s="5">
        <f>ROUND(0.01,2)</f>
        <v/>
      </c>
      <c r="RC43" s="3">
        <f>ROUND(42.0,2)</f>
        <v/>
      </c>
      <c r="RD43" s="3">
        <f>ROUND(1.0,2)</f>
        <v/>
      </c>
      <c r="RE43" s="3">
        <f>ROUND(0.0,2)</f>
        <v/>
      </c>
      <c r="RF43" s="3">
        <f>ROUND(0.0,2)</f>
        <v/>
      </c>
      <c r="RG43" s="3">
        <f>ROUND(0.0,2)</f>
        <v/>
      </c>
      <c r="RH43" s="3">
        <f>ROUND(0.0,2)</f>
        <v/>
      </c>
      <c r="RI43" s="3">
        <f>ROUND(0.0,2)</f>
        <v/>
      </c>
      <c r="RJ43" s="4">
        <f>IFERROR((RD43/RC43),0)</f>
        <v/>
      </c>
      <c r="RK43" s="4">
        <f>IFERROR(((0+RB11+RB12+RB13+RB14+RB15+RB16+RB17+RB19+RB20+RB21+RB22+RB23+RB24+RB25+RB27+RB28+RB29+RB30+RB31+RB32+RB33+RB35+RB36+RB37+RB38+RB39+RB40+RB41+RB43)/T2),0)</f>
        <v/>
      </c>
      <c r="RL43" s="5">
        <f>IFERROR(ROUND(RB43/RD43,2),0)</f>
        <v/>
      </c>
      <c r="RM43" s="5">
        <f>IFERROR(ROUND(RB43/RE43,2),0)</f>
        <v/>
      </c>
      <c r="RN43" s="2" t="inlineStr">
        <is>
          <t>2023-10-18</t>
        </is>
      </c>
      <c r="RO43" s="5">
        <f>ROUND(0.05,2)</f>
        <v/>
      </c>
      <c r="RP43" s="3">
        <f>ROUND(73.0,2)</f>
        <v/>
      </c>
      <c r="RQ43" s="3">
        <f>ROUND(5.0,2)</f>
        <v/>
      </c>
      <c r="RR43" s="3">
        <f>ROUND(0.0,2)</f>
        <v/>
      </c>
      <c r="RS43" s="3">
        <f>ROUND(0.0,2)</f>
        <v/>
      </c>
      <c r="RT43" s="3">
        <f>ROUND(0.0,2)</f>
        <v/>
      </c>
      <c r="RU43" s="3">
        <f>ROUND(0.0,2)</f>
        <v/>
      </c>
      <c r="RV43" s="3">
        <f>ROUND(0.0,2)</f>
        <v/>
      </c>
      <c r="RW43" s="4">
        <f>IFERROR((RQ43/RP43),0)</f>
        <v/>
      </c>
      <c r="RX43" s="4">
        <f>IFERROR(((0+RO11+RO12+RO13+RO14+RO15+RO16+RO17+RO19+RO20+RO21+RO22+RO23+RO24+RO25+RO27+RO28+RO29+RO30+RO31+RO32+RO33+RO35+RO36+RO37+RO38+RO39+RO40+RO41+RO43)/T2),0)</f>
        <v/>
      </c>
      <c r="RY43" s="5">
        <f>IFERROR(ROUND(RO43/RQ43,2),0)</f>
        <v/>
      </c>
      <c r="RZ43" s="5">
        <f>IFERROR(ROUND(RO43/RR43,2),0)</f>
        <v/>
      </c>
      <c r="SA43" s="2" t="inlineStr">
        <is>
          <t>2023-10-18</t>
        </is>
      </c>
      <c r="SB43" s="5">
        <f>ROUND(0.9500000000000001,2)</f>
        <v/>
      </c>
      <c r="SC43" s="3">
        <f>ROUND(1392.0,2)</f>
        <v/>
      </c>
      <c r="SD43" s="3">
        <f>ROUND(95.0,2)</f>
        <v/>
      </c>
      <c r="SE43" s="3">
        <f>ROUND(0.0,2)</f>
        <v/>
      </c>
      <c r="SF43" s="3">
        <f>ROUND(0.0,2)</f>
        <v/>
      </c>
      <c r="SG43" s="3">
        <f>ROUND(0.0,2)</f>
        <v/>
      </c>
      <c r="SH43" s="3">
        <f>ROUND(0.0,2)</f>
        <v/>
      </c>
      <c r="SI43" s="3">
        <f>ROUND(0.0,2)</f>
        <v/>
      </c>
      <c r="SJ43" s="4">
        <f>IFERROR((SD43/SC43),0)</f>
        <v/>
      </c>
      <c r="SK43" s="4">
        <f>IFERROR(((0+SB11+SB12+SB13+SB14+SB15+SB16+SB17+SB19+SB20+SB21+SB22+SB23+SB24+SB25+SB27+SB28+SB29+SB30+SB31+SB32+SB33+SB35+SB36+SB37+SB38+SB39+SB40+SB41+SB43)/T2),0)</f>
        <v/>
      </c>
      <c r="SL43" s="5">
        <f>IFERROR(ROUND(SB43/SD43,2),0)</f>
        <v/>
      </c>
      <c r="SM43" s="5">
        <f>IFERROR(ROUND(SB43/SE43,2),0)</f>
        <v/>
      </c>
      <c r="SN43" s="2" t="inlineStr">
        <is>
          <t>2023-10-18</t>
        </is>
      </c>
      <c r="SO43" s="5">
        <f>ROUND(0.81,2)</f>
        <v/>
      </c>
      <c r="SP43" s="3">
        <f>ROUND(729.0,2)</f>
        <v/>
      </c>
      <c r="SQ43" s="3">
        <f>ROUND(81.0,2)</f>
        <v/>
      </c>
      <c r="SR43" s="3">
        <f>ROUND(0.0,2)</f>
        <v/>
      </c>
      <c r="SS43" s="3">
        <f>ROUND(0.0,2)</f>
        <v/>
      </c>
      <c r="ST43" s="3">
        <f>ROUND(0.0,2)</f>
        <v/>
      </c>
      <c r="SU43" s="3">
        <f>ROUND(0.0,2)</f>
        <v/>
      </c>
      <c r="SV43" s="3">
        <f>ROUND(0.0,2)</f>
        <v/>
      </c>
      <c r="SW43" s="4">
        <f>IFERROR((SQ43/SP43),0)</f>
        <v/>
      </c>
      <c r="SX43" s="4">
        <f>IFERROR(((0+SO11+SO12+SO13+SO14+SO15+SO16+SO17+SO19+SO20+SO21+SO22+SO23+SO24+SO25+SO27+SO28+SO29+SO30+SO31+SO32+SO33+SO35+SO36+SO37+SO38+SO39+SO40+SO41+SO43)/T2),0)</f>
        <v/>
      </c>
      <c r="SY43" s="5">
        <f>IFERROR(ROUND(SO43/SQ43,2),0)</f>
        <v/>
      </c>
      <c r="SZ43" s="5">
        <f>IFERROR(ROUND(SO43/SR43,2),0)</f>
        <v/>
      </c>
    </row>
    <row r="44">
      <c r="A44" s="2" t="inlineStr">
        <is>
          <t>2023-10-19</t>
        </is>
      </c>
      <c r="B44" s="5">
        <f>ROUND(25.02,2)</f>
        <v/>
      </c>
      <c r="C44" s="3">
        <f>ROUND(54992.0,2)</f>
        <v/>
      </c>
      <c r="D44" s="3">
        <f>ROUND(2502.0,2)</f>
        <v/>
      </c>
      <c r="E44" s="3">
        <f>ROUND(0.0,2)</f>
        <v/>
      </c>
      <c r="F44" s="3">
        <f>ROUND(0.0,2)</f>
        <v/>
      </c>
      <c r="G44" s="3">
        <f>ROUND(0.0,2)</f>
        <v/>
      </c>
      <c r="H44" s="3">
        <f>ROUND(0.0,2)</f>
        <v/>
      </c>
      <c r="I44" s="3">
        <f>ROUND(0.0,2)</f>
        <v/>
      </c>
      <c r="J44" s="4">
        <f>IFERROR((D44/C44),0)</f>
        <v/>
      </c>
      <c r="K44" s="4">
        <f>IFERROR(((0+B11+B12+B13+B14+B15+B16+B17+B19+B20+B21+B22+B23+B24+B25+B27+B28+B29+B30+B31+B32+B33+B35+B36+B37+B38+B39+B40+B41+B43+B44)/T2),0)</f>
        <v/>
      </c>
      <c r="L44" s="5">
        <f>IFERROR(ROUND(B44/D44,2),0)</f>
        <v/>
      </c>
      <c r="M44" s="5">
        <f>IFERROR(ROUND(B44/E44,2),0)</f>
        <v/>
      </c>
      <c r="N44" s="2" t="inlineStr">
        <is>
          <t>2023-10-19</t>
        </is>
      </c>
      <c r="O44" s="5">
        <f>ROUND(7.35,2)</f>
        <v/>
      </c>
      <c r="P44" s="3">
        <f>ROUND(9854.0,2)</f>
        <v/>
      </c>
      <c r="Q44" s="3">
        <f>ROUND(735.0,2)</f>
        <v/>
      </c>
      <c r="R44" s="3">
        <f>ROUND(0.0,2)</f>
        <v/>
      </c>
      <c r="S44" s="3">
        <f>ROUND(0.0,2)</f>
        <v/>
      </c>
      <c r="T44" s="3">
        <f>ROUND(0.0,2)</f>
        <v/>
      </c>
      <c r="U44" s="3">
        <f>ROUND(0.0,2)</f>
        <v/>
      </c>
      <c r="V44" s="3">
        <f>ROUND(0.0,2)</f>
        <v/>
      </c>
      <c r="W44" s="4">
        <f>IFERROR((Q44/P44),0)</f>
        <v/>
      </c>
      <c r="X44" s="4">
        <f>IFERROR(((0+O11+O12+O13+O14+O15+O16+O17+O19+O20+O21+O22+O23+O24+O25+O27+O28+O29+O30+O31+O32+O33+O35+O36+O37+O38+O39+O40+O41+O43+O44)/T2),0)</f>
        <v/>
      </c>
      <c r="Y44" s="5">
        <f>IFERROR(ROUND(O44/Q44,2),0)</f>
        <v/>
      </c>
      <c r="Z44" s="5">
        <f>IFERROR(ROUND(O44/R44,2),0)</f>
        <v/>
      </c>
      <c r="AA44" s="2" t="inlineStr">
        <is>
          <t>2023-10-19</t>
        </is>
      </c>
      <c r="AB44" s="5">
        <f>ROUND(0.03,2)</f>
        <v/>
      </c>
      <c r="AC44" s="3">
        <f>ROUND(23.0,2)</f>
        <v/>
      </c>
      <c r="AD44" s="3">
        <f>ROUND(3.0,2)</f>
        <v/>
      </c>
      <c r="AE44" s="3">
        <f>ROUND(0.0,2)</f>
        <v/>
      </c>
      <c r="AF44" s="3">
        <f>ROUND(0.0,2)</f>
        <v/>
      </c>
      <c r="AG44" s="3">
        <f>ROUND(0.0,2)</f>
        <v/>
      </c>
      <c r="AH44" s="3">
        <f>ROUND(0.0,2)</f>
        <v/>
      </c>
      <c r="AI44" s="3">
        <f>ROUND(0.0,2)</f>
        <v/>
      </c>
      <c r="AJ44" s="4">
        <f>IFERROR((AD44/AC44),0)</f>
        <v/>
      </c>
      <c r="AK44" s="4">
        <f>IFERROR(((0+AB11+AB12+AB13+AB14+AB15+AB16+AB17+AB19+AB20+AB21+AB22+AB23+AB24+AB25+AB27+AB28+AB29+AB30+AB31+AB32+AB33+AB35+AB36+AB37+AB38+AB39+AB40+AB41+AB43+AB44)/T2),0)</f>
        <v/>
      </c>
      <c r="AL44" s="5">
        <f>IFERROR(ROUND(AB44/AD44,2),0)</f>
        <v/>
      </c>
      <c r="AM44" s="5">
        <f>IFERROR(ROUND(AB44/AE44,2),0)</f>
        <v/>
      </c>
      <c r="AN44" s="2" t="inlineStr">
        <is>
          <t>2023-10-19</t>
        </is>
      </c>
      <c r="AO44" s="5">
        <f>ROUND(1.41,2)</f>
        <v/>
      </c>
      <c r="AP44" s="3">
        <f>ROUND(6977.0,2)</f>
        <v/>
      </c>
      <c r="AQ44" s="3">
        <f>ROUND(141.0,2)</f>
        <v/>
      </c>
      <c r="AR44" s="3">
        <f>ROUND(0.0,2)</f>
        <v/>
      </c>
      <c r="AS44" s="3">
        <f>ROUND(0.0,2)</f>
        <v/>
      </c>
      <c r="AT44" s="3">
        <f>ROUND(0.0,2)</f>
        <v/>
      </c>
      <c r="AU44" s="3">
        <f>ROUND(0.0,2)</f>
        <v/>
      </c>
      <c r="AV44" s="3">
        <f>ROUND(0.0,2)</f>
        <v/>
      </c>
      <c r="AW44" s="4">
        <f>IFERROR((AQ44/AP44),0)</f>
        <v/>
      </c>
      <c r="AX44" s="4">
        <f>IFERROR(((0+AO11+AO12+AO13+AO14+AO15+AO16+AO17+AO19+AO20+AO21+AO22+AO23+AO24+AO25+AO27+AO28+AO29+AO30+AO31+AO32+AO33+AO35+AO36+AO37+AO38+AO39+AO40+AO41+AO43+AO44)/T2),0)</f>
        <v/>
      </c>
      <c r="AY44" s="5">
        <f>IFERROR(ROUND(AO44/AQ44,2),0)</f>
        <v/>
      </c>
      <c r="AZ44" s="5">
        <f>IFERROR(ROUND(AO44/AR44,2),0)</f>
        <v/>
      </c>
      <c r="BA44" s="2" t="inlineStr">
        <is>
          <t>2023-10-19</t>
        </is>
      </c>
      <c r="BB44" s="5">
        <f>ROUND(0.01,2)</f>
        <v/>
      </c>
      <c r="BC44" s="3">
        <f>ROUND(30.0,2)</f>
        <v/>
      </c>
      <c r="BD44" s="3">
        <f>ROUND(1.0,2)</f>
        <v/>
      </c>
      <c r="BE44" s="3">
        <f>ROUND(0.0,2)</f>
        <v/>
      </c>
      <c r="BF44" s="3">
        <f>ROUND(0.0,2)</f>
        <v/>
      </c>
      <c r="BG44" s="3">
        <f>ROUND(0.0,2)</f>
        <v/>
      </c>
      <c r="BH44" s="3">
        <f>ROUND(0.0,2)</f>
        <v/>
      </c>
      <c r="BI44" s="3">
        <f>ROUND(0.0,2)</f>
        <v/>
      </c>
      <c r="BJ44" s="4">
        <f>IFERROR((BD44/BC44),0)</f>
        <v/>
      </c>
      <c r="BK44" s="4">
        <f>IFERROR(((0+BB11+BB12+BB13+BB14+BB15+BB16+BB17+BB19+BB20+BB21+BB22+BB23+BB24+BB25+BB27+BB28+BB29+BB30+BB31+BB32+BB33+BB35+BB36+BB37+BB38+BB39+BB40+BB41+BB43+BB44)/T2),0)</f>
        <v/>
      </c>
      <c r="BL44" s="5">
        <f>IFERROR(ROUND(BB44/BD44,2),0)</f>
        <v/>
      </c>
      <c r="BM44" s="5">
        <f>IFERROR(ROUND(BB44/BE44,2),0)</f>
        <v/>
      </c>
      <c r="BN44" s="2" t="inlineStr">
        <is>
          <t>2023-10-19</t>
        </is>
      </c>
      <c r="BO44" s="5">
        <f>ROUND(0.3,2)</f>
        <v/>
      </c>
      <c r="BP44" s="3">
        <f>ROUND(322.0,2)</f>
        <v/>
      </c>
      <c r="BQ44" s="3">
        <f>ROUND(30.0,2)</f>
        <v/>
      </c>
      <c r="BR44" s="3">
        <f>ROUND(0.0,2)</f>
        <v/>
      </c>
      <c r="BS44" s="3">
        <f>ROUND(0.0,2)</f>
        <v/>
      </c>
      <c r="BT44" s="3">
        <f>ROUND(0.0,2)</f>
        <v/>
      </c>
      <c r="BU44" s="3">
        <f>ROUND(0.0,2)</f>
        <v/>
      </c>
      <c r="BV44" s="3">
        <f>ROUND(0.0,2)</f>
        <v/>
      </c>
      <c r="BW44" s="4">
        <f>IFERROR((BQ44/BP44),0)</f>
        <v/>
      </c>
      <c r="BX44" s="4">
        <f>IFERROR(((0+BO11+BO12+BO13+BO14+BO15+BO16+BO17+BO19+BO20+BO21+BO22+BO23+BO24+BO25+BO27+BO28+BO29+BO30+BO31+BO32+BO33+BO35+BO36+BO37+BO38+BO39+BO40+BO41+BO43+BO44)/T2),0)</f>
        <v/>
      </c>
      <c r="BY44" s="5">
        <f>IFERROR(ROUND(BO44/BQ44,2),0)</f>
        <v/>
      </c>
      <c r="BZ44" s="5">
        <f>IFERROR(ROUND(BO44/BR44,2),0)</f>
        <v/>
      </c>
      <c r="CA44" s="2" t="inlineStr">
        <is>
          <t>2023-10-19</t>
        </is>
      </c>
      <c r="CB44" s="5">
        <f>ROUND(0.060000000000000005,2)</f>
        <v/>
      </c>
      <c r="CC44" s="3">
        <f>ROUND(36.0,2)</f>
        <v/>
      </c>
      <c r="CD44" s="3">
        <f>ROUND(6.0,2)</f>
        <v/>
      </c>
      <c r="CE44" s="3">
        <f>ROUND(0.0,2)</f>
        <v/>
      </c>
      <c r="CF44" s="3">
        <f>ROUND(0.0,2)</f>
        <v/>
      </c>
      <c r="CG44" s="3">
        <f>ROUND(0.0,2)</f>
        <v/>
      </c>
      <c r="CH44" s="3">
        <f>ROUND(0.0,2)</f>
        <v/>
      </c>
      <c r="CI44" s="3">
        <f>ROUND(0.0,2)</f>
        <v/>
      </c>
      <c r="CJ44" s="4">
        <f>IFERROR((CD44/CC44),0)</f>
        <v/>
      </c>
      <c r="CK44" s="4">
        <f>IFERROR(((0+CB11+CB12+CB13+CB14+CB15+CB16+CB17+CB19+CB20+CB21+CB22+CB23+CB24+CB25+CB27+CB28+CB29+CB30+CB31+CB32+CB33+CB35+CB36+CB37+CB38+CB39+CB40+CB41+CB43+CB44)/T2),0)</f>
        <v/>
      </c>
      <c r="CL44" s="5">
        <f>IFERROR(ROUND(CB44/CD44,2),0)</f>
        <v/>
      </c>
      <c r="CM44" s="5">
        <f>IFERROR(ROUND(CB44/CE44,2),0)</f>
        <v/>
      </c>
      <c r="CN44" s="2" t="inlineStr">
        <is>
          <t>2023-10-19</t>
        </is>
      </c>
      <c r="CO44" s="5">
        <f>ROUND(0.22,2)</f>
        <v/>
      </c>
      <c r="CP44" s="3">
        <f>ROUND(697.0,2)</f>
        <v/>
      </c>
      <c r="CQ44" s="3">
        <f>ROUND(22.0,2)</f>
        <v/>
      </c>
      <c r="CR44" s="3">
        <f>ROUND(0.0,2)</f>
        <v/>
      </c>
      <c r="CS44" s="3">
        <f>ROUND(0.0,2)</f>
        <v/>
      </c>
      <c r="CT44" s="3">
        <f>ROUND(0.0,2)</f>
        <v/>
      </c>
      <c r="CU44" s="3">
        <f>ROUND(0.0,2)</f>
        <v/>
      </c>
      <c r="CV44" s="3">
        <f>ROUND(0.0,2)</f>
        <v/>
      </c>
      <c r="CW44" s="4">
        <f>IFERROR((CQ44/CP44),0)</f>
        <v/>
      </c>
      <c r="CX44" s="4">
        <f>IFERROR(((0+CO11+CO12+CO13+CO14+CO15+CO16+CO17+CO19+CO20+CO21+CO22+CO23+CO24+CO25+CO27+CO28+CO29+CO30+CO31+CO32+CO33+CO35+CO36+CO37+CO38+CO39+CO40+CO41+CO43+CO44)/T2),0)</f>
        <v/>
      </c>
      <c r="CY44" s="5">
        <f>IFERROR(ROUND(CO44/CQ44,2),0)</f>
        <v/>
      </c>
      <c r="CZ44" s="5">
        <f>IFERROR(ROUND(CO44/CR44,2),0)</f>
        <v/>
      </c>
      <c r="DA44" s="2" t="inlineStr">
        <is>
          <t>2023-10-19</t>
        </is>
      </c>
      <c r="DB44" s="5">
        <f>ROUND(0.8,2)</f>
        <v/>
      </c>
      <c r="DC44" s="3">
        <f>ROUND(2162.0,2)</f>
        <v/>
      </c>
      <c r="DD44" s="3">
        <f>ROUND(80.0,2)</f>
        <v/>
      </c>
      <c r="DE44" s="3">
        <f>ROUND(0.0,2)</f>
        <v/>
      </c>
      <c r="DF44" s="3">
        <f>ROUND(0.0,2)</f>
        <v/>
      </c>
      <c r="DG44" s="3">
        <f>ROUND(0.0,2)</f>
        <v/>
      </c>
      <c r="DH44" s="3">
        <f>ROUND(0.0,2)</f>
        <v/>
      </c>
      <c r="DI44" s="3">
        <f>ROUND(0.0,2)</f>
        <v/>
      </c>
      <c r="DJ44" s="4">
        <f>IFERROR((DD44/DC44),0)</f>
        <v/>
      </c>
      <c r="DK44" s="4">
        <f>IFERROR(((0+DB11+DB12+DB13+DB14+DB15+DB16+DB17+DB19+DB20+DB21+DB22+DB23+DB24+DB25+DB27+DB28+DB29+DB30+DB31+DB32+DB33+DB35+DB36+DB37+DB38+DB39+DB40+DB41+DB43+DB44)/T2),0)</f>
        <v/>
      </c>
      <c r="DL44" s="5">
        <f>IFERROR(ROUND(DB44/DD44,2),0)</f>
        <v/>
      </c>
      <c r="DM44" s="5">
        <f>IFERROR(ROUND(DB44/DE44,2),0)</f>
        <v/>
      </c>
      <c r="DN44" s="2" t="inlineStr">
        <is>
          <t>2023-10-19</t>
        </is>
      </c>
      <c r="DO44" s="5">
        <f>ROUND(0.0,2)</f>
        <v/>
      </c>
      <c r="DP44" s="3">
        <f>ROUND(9.0,2)</f>
        <v/>
      </c>
      <c r="DQ44" s="3">
        <f>ROUND(0.0,2)</f>
        <v/>
      </c>
      <c r="DR44" s="3">
        <f>ROUND(0.0,2)</f>
        <v/>
      </c>
      <c r="DS44" s="3">
        <f>ROUND(0.0,2)</f>
        <v/>
      </c>
      <c r="DT44" s="3">
        <f>ROUND(0.0,2)</f>
        <v/>
      </c>
      <c r="DU44" s="3">
        <f>ROUND(0.0,2)</f>
        <v/>
      </c>
      <c r="DV44" s="3">
        <f>ROUND(0.0,2)</f>
        <v/>
      </c>
      <c r="DW44" s="4">
        <f>IFERROR((DQ44/DP44),0)</f>
        <v/>
      </c>
      <c r="DX44" s="4">
        <f>IFERROR(((0+DO11+DO12+DO13+DO14+DO15+DO16+DO17+DO19+DO20+DO21+DO22+DO23+DO24+DO25+DO27+DO28+DO29+DO30+DO31+DO32+DO33+DO35+DO36+DO37+DO38+DO39+DO40+DO41+DO43+DO44)/T2),0)</f>
        <v/>
      </c>
      <c r="DY44" s="5">
        <f>IFERROR(ROUND(DO44/DQ44,2),0)</f>
        <v/>
      </c>
      <c r="DZ44" s="5">
        <f>IFERROR(ROUND(DO44/DR44,2),0)</f>
        <v/>
      </c>
      <c r="EA44" s="2" t="inlineStr">
        <is>
          <t>2023-10-19</t>
        </is>
      </c>
      <c r="EB44" s="5">
        <f>ROUND(1.17,2)</f>
        <v/>
      </c>
      <c r="EC44" s="3">
        <f>ROUND(5241.0,2)</f>
        <v/>
      </c>
      <c r="ED44" s="3">
        <f>ROUND(117.0,2)</f>
        <v/>
      </c>
      <c r="EE44" s="3">
        <f>ROUND(0.0,2)</f>
        <v/>
      </c>
      <c r="EF44" s="3">
        <f>ROUND(0.0,2)</f>
        <v/>
      </c>
      <c r="EG44" s="3">
        <f>ROUND(0.0,2)</f>
        <v/>
      </c>
      <c r="EH44" s="3">
        <f>ROUND(0.0,2)</f>
        <v/>
      </c>
      <c r="EI44" s="3">
        <f>ROUND(0.0,2)</f>
        <v/>
      </c>
      <c r="EJ44" s="4">
        <f>IFERROR((ED44/EC44),0)</f>
        <v/>
      </c>
      <c r="EK44" s="4">
        <f>IFERROR(((0+EB11+EB12+EB13+EB14+EB15+EB16+EB17+EB19+EB20+EB21+EB22+EB23+EB24+EB25+EB27+EB28+EB29+EB30+EB31+EB32+EB33+EB35+EB36+EB37+EB38+EB39+EB40+EB41+EB43+EB44)/T2),0)</f>
        <v/>
      </c>
      <c r="EL44" s="5">
        <f>IFERROR(ROUND(EB44/ED44,2),0)</f>
        <v/>
      </c>
      <c r="EM44" s="5">
        <f>IFERROR(ROUND(EB44/EE44,2),0)</f>
        <v/>
      </c>
      <c r="EN44" s="2" t="inlineStr">
        <is>
          <t>2023-10-19</t>
        </is>
      </c>
      <c r="EO44" s="5">
        <f>ROUND(0.01,2)</f>
        <v/>
      </c>
      <c r="EP44" s="3">
        <f>ROUND(24.0,2)</f>
        <v/>
      </c>
      <c r="EQ44" s="3">
        <f>ROUND(1.0,2)</f>
        <v/>
      </c>
      <c r="ER44" s="3">
        <f>ROUND(0.0,2)</f>
        <v/>
      </c>
      <c r="ES44" s="3">
        <f>ROUND(0.0,2)</f>
        <v/>
      </c>
      <c r="ET44" s="3">
        <f>ROUND(0.0,2)</f>
        <v/>
      </c>
      <c r="EU44" s="3">
        <f>ROUND(0.0,2)</f>
        <v/>
      </c>
      <c r="EV44" s="3">
        <f>ROUND(0.0,2)</f>
        <v/>
      </c>
      <c r="EW44" s="4">
        <f>IFERROR((EQ44/EP44),0)</f>
        <v/>
      </c>
      <c r="EX44" s="4">
        <f>IFERROR(((0+EO11+EO12+EO13+EO14+EO15+EO16+EO17+EO19+EO20+EO21+EO22+EO23+EO24+EO25+EO27+EO28+EO29+EO30+EO31+EO32+EO33+EO35+EO36+EO37+EO38+EO39+EO40+EO41+EO43+EO44)/T2),0)</f>
        <v/>
      </c>
      <c r="EY44" s="5">
        <f>IFERROR(ROUND(EO44/EQ44,2),0)</f>
        <v/>
      </c>
      <c r="EZ44" s="5">
        <f>IFERROR(ROUND(EO44/ER44,2),0)</f>
        <v/>
      </c>
      <c r="FA44" s="2" t="inlineStr">
        <is>
          <t>2023-10-19</t>
        </is>
      </c>
      <c r="FB44" s="5">
        <f>ROUND(0.35,2)</f>
        <v/>
      </c>
      <c r="FC44" s="3">
        <f>ROUND(1246.0,2)</f>
        <v/>
      </c>
      <c r="FD44" s="3">
        <f>ROUND(35.0,2)</f>
        <v/>
      </c>
      <c r="FE44" s="3">
        <f>ROUND(0.0,2)</f>
        <v/>
      </c>
      <c r="FF44" s="3">
        <f>ROUND(0.0,2)</f>
        <v/>
      </c>
      <c r="FG44" s="3">
        <f>ROUND(0.0,2)</f>
        <v/>
      </c>
      <c r="FH44" s="3">
        <f>ROUND(0.0,2)</f>
        <v/>
      </c>
      <c r="FI44" s="3">
        <f>ROUND(0.0,2)</f>
        <v/>
      </c>
      <c r="FJ44" s="4">
        <f>IFERROR((FD44/FC44),0)</f>
        <v/>
      </c>
      <c r="FK44" s="4">
        <f>IFERROR(((0+FB11+FB12+FB13+FB14+FB15+FB16+FB17+FB19+FB20+FB21+FB22+FB23+FB24+FB25+FB27+FB28+FB29+FB30+FB31+FB32+FB33+FB35+FB36+FB37+FB38+FB39+FB40+FB41+FB43+FB44)/T2),0)</f>
        <v/>
      </c>
      <c r="FL44" s="5">
        <f>IFERROR(ROUND(FB44/FD44,2),0)</f>
        <v/>
      </c>
      <c r="FM44" s="5">
        <f>IFERROR(ROUND(FB44/FE44,2),0)</f>
        <v/>
      </c>
      <c r="FN44" s="2" t="inlineStr">
        <is>
          <t>2023-10-19</t>
        </is>
      </c>
      <c r="FO44" s="5">
        <f>ROUND(0.15,2)</f>
        <v/>
      </c>
      <c r="FP44" s="3">
        <f>ROUND(333.0,2)</f>
        <v/>
      </c>
      <c r="FQ44" s="3">
        <f>ROUND(15.0,2)</f>
        <v/>
      </c>
      <c r="FR44" s="3">
        <f>ROUND(0.0,2)</f>
        <v/>
      </c>
      <c r="FS44" s="3">
        <f>ROUND(0.0,2)</f>
        <v/>
      </c>
      <c r="FT44" s="3">
        <f>ROUND(0.0,2)</f>
        <v/>
      </c>
      <c r="FU44" s="3">
        <f>ROUND(0.0,2)</f>
        <v/>
      </c>
      <c r="FV44" s="3">
        <f>ROUND(0.0,2)</f>
        <v/>
      </c>
      <c r="FW44" s="4">
        <f>IFERROR((FQ44/FP44),0)</f>
        <v/>
      </c>
      <c r="FX44" s="4">
        <f>IFERROR(((0+FO11+FO12+FO13+FO14+FO15+FO16+FO17+FO19+FO20+FO21+FO22+FO23+FO24+FO25+FO27+FO28+FO29+FO30+FO31+FO32+FO33+FO35+FO36+FO37+FO38+FO39+FO40+FO41+FO43+FO44)/T2),0)</f>
        <v/>
      </c>
      <c r="FY44" s="5">
        <f>IFERROR(ROUND(FO44/FQ44,2),0)</f>
        <v/>
      </c>
      <c r="FZ44" s="5">
        <f>IFERROR(ROUND(FO44/FR44,2),0)</f>
        <v/>
      </c>
      <c r="GA44" s="2" t="inlineStr">
        <is>
          <t>2023-10-19</t>
        </is>
      </c>
      <c r="GB44" s="5">
        <f>ROUND(0.03,2)</f>
        <v/>
      </c>
      <c r="GC44" s="3">
        <f>ROUND(16.0,2)</f>
        <v/>
      </c>
      <c r="GD44" s="3">
        <f>ROUND(3.0,2)</f>
        <v/>
      </c>
      <c r="GE44" s="3">
        <f>ROUND(0.0,2)</f>
        <v/>
      </c>
      <c r="GF44" s="3">
        <f>ROUND(0.0,2)</f>
        <v/>
      </c>
      <c r="GG44" s="3">
        <f>ROUND(0.0,2)</f>
        <v/>
      </c>
      <c r="GH44" s="3">
        <f>ROUND(0.0,2)</f>
        <v/>
      </c>
      <c r="GI44" s="3">
        <f>ROUND(0.0,2)</f>
        <v/>
      </c>
      <c r="GJ44" s="4">
        <f>IFERROR((GD44/GC44),0)</f>
        <v/>
      </c>
      <c r="GK44" s="4">
        <f>IFERROR(((0+GB11+GB12+GB13+GB14+GB15+GB16+GB17+GB19+GB20+GB21+GB22+GB23+GB24+GB25+GB27+GB28+GB29+GB30+GB31+GB32+GB33+GB35+GB36+GB37+GB38+GB39+GB40+GB41+GB43+GB44)/T2),0)</f>
        <v/>
      </c>
      <c r="GL44" s="5">
        <f>IFERROR(ROUND(GB44/GD44,2),0)</f>
        <v/>
      </c>
      <c r="GM44" s="5">
        <f>IFERROR(ROUND(GB44/GE44,2),0)</f>
        <v/>
      </c>
      <c r="GN44" s="2" t="inlineStr">
        <is>
          <t>2023-10-19</t>
        </is>
      </c>
      <c r="GO44" s="5">
        <f>ROUND(0.29000000000000004,2)</f>
        <v/>
      </c>
      <c r="GP44" s="3">
        <f>ROUND(354.0,2)</f>
        <v/>
      </c>
      <c r="GQ44" s="3">
        <f>ROUND(29.0,2)</f>
        <v/>
      </c>
      <c r="GR44" s="3">
        <f>ROUND(0.0,2)</f>
        <v/>
      </c>
      <c r="GS44" s="3">
        <f>ROUND(0.0,2)</f>
        <v/>
      </c>
      <c r="GT44" s="3">
        <f>ROUND(0.0,2)</f>
        <v/>
      </c>
      <c r="GU44" s="3">
        <f>ROUND(0.0,2)</f>
        <v/>
      </c>
      <c r="GV44" s="3">
        <f>ROUND(0.0,2)</f>
        <v/>
      </c>
      <c r="GW44" s="4">
        <f>IFERROR((GQ44/GP44),0)</f>
        <v/>
      </c>
      <c r="GX44" s="4">
        <f>IFERROR(((0+GO11+GO12+GO13+GO14+GO15+GO16+GO17+GO19+GO20+GO21+GO22+GO23+GO24+GO25+GO27+GO28+GO29+GO30+GO31+GO32+GO33+GO35+GO36+GO37+GO38+GO39+GO40+GO41+GO43+GO44)/T2),0)</f>
        <v/>
      </c>
      <c r="GY44" s="5">
        <f>IFERROR(ROUND(GO44/GQ44,2),0)</f>
        <v/>
      </c>
      <c r="GZ44" s="5">
        <f>IFERROR(ROUND(GO44/GR44,2),0)</f>
        <v/>
      </c>
      <c r="HA44" s="2" t="inlineStr">
        <is>
          <t>2023-10-19</t>
        </is>
      </c>
      <c r="HB44" s="5">
        <f>ROUND(3.32,2)</f>
        <v/>
      </c>
      <c r="HC44" s="3">
        <f>ROUND(4532.0,2)</f>
        <v/>
      </c>
      <c r="HD44" s="3">
        <f>ROUND(332.0,2)</f>
        <v/>
      </c>
      <c r="HE44" s="3">
        <f>ROUND(0.0,2)</f>
        <v/>
      </c>
      <c r="HF44" s="3">
        <f>ROUND(0.0,2)</f>
        <v/>
      </c>
      <c r="HG44" s="3">
        <f>ROUND(0.0,2)</f>
        <v/>
      </c>
      <c r="HH44" s="3">
        <f>ROUND(0.0,2)</f>
        <v/>
      </c>
      <c r="HI44" s="3">
        <f>ROUND(0.0,2)</f>
        <v/>
      </c>
      <c r="HJ44" s="4">
        <f>IFERROR((HD44/HC44),0)</f>
        <v/>
      </c>
      <c r="HK44" s="4">
        <f>IFERROR(((0+HB11+HB12+HB13+HB14+HB15+HB16+HB17+HB19+HB20+HB21+HB22+HB23+HB24+HB25+HB27+HB28+HB29+HB30+HB31+HB32+HB33+HB35+HB36+HB37+HB38+HB39+HB40+HB41+HB43+HB44)/T2),0)</f>
        <v/>
      </c>
      <c r="HL44" s="5">
        <f>IFERROR(ROUND(HB44/HD44,2),0)</f>
        <v/>
      </c>
      <c r="HM44" s="5">
        <f>IFERROR(ROUND(HB44/HE44,2),0)</f>
        <v/>
      </c>
      <c r="HN44" s="2" t="inlineStr">
        <is>
          <t>2023-10-19</t>
        </is>
      </c>
      <c r="HO44" s="5">
        <f>ROUND(0.0,2)</f>
        <v/>
      </c>
      <c r="HP44" s="3">
        <f>ROUND(16.0,2)</f>
        <v/>
      </c>
      <c r="HQ44" s="3">
        <f>ROUND(0.0,2)</f>
        <v/>
      </c>
      <c r="HR44" s="3">
        <f>ROUND(0.0,2)</f>
        <v/>
      </c>
      <c r="HS44" s="3">
        <f>ROUND(0.0,2)</f>
        <v/>
      </c>
      <c r="HT44" s="3">
        <f>ROUND(0.0,2)</f>
        <v/>
      </c>
      <c r="HU44" s="3">
        <f>ROUND(0.0,2)</f>
        <v/>
      </c>
      <c r="HV44" s="3">
        <f>ROUND(0.0,2)</f>
        <v/>
      </c>
      <c r="HW44" s="4">
        <f>IFERROR((HQ44/HP44),0)</f>
        <v/>
      </c>
      <c r="HX44" s="4">
        <f>IFERROR(((0+HO11+HO12+HO13+HO14+HO15+HO16+HO17+HO19+HO20+HO21+HO22+HO23+HO24+HO25+HO27+HO28+HO29+HO30+HO31+HO32+HO33+HO35+HO36+HO37+HO38+HO39+HO40+HO41+HO43+HO44)/T2),0)</f>
        <v/>
      </c>
      <c r="HY44" s="5">
        <f>IFERROR(ROUND(HO44/HQ44,2),0)</f>
        <v/>
      </c>
      <c r="HZ44" s="5">
        <f>IFERROR(ROUND(HO44/HR44,2),0)</f>
        <v/>
      </c>
      <c r="IA44" s="2" t="inlineStr">
        <is>
          <t>2023-10-19</t>
        </is>
      </c>
      <c r="IB44" s="5">
        <f>ROUND(0.1,2)</f>
        <v/>
      </c>
      <c r="IC44" s="3">
        <f>ROUND(63.0,2)</f>
        <v/>
      </c>
      <c r="ID44" s="3">
        <f>ROUND(10.0,2)</f>
        <v/>
      </c>
      <c r="IE44" s="3">
        <f>ROUND(0.0,2)</f>
        <v/>
      </c>
      <c r="IF44" s="3">
        <f>ROUND(0.0,2)</f>
        <v/>
      </c>
      <c r="IG44" s="3">
        <f>ROUND(0.0,2)</f>
        <v/>
      </c>
      <c r="IH44" s="3">
        <f>ROUND(0.0,2)</f>
        <v/>
      </c>
      <c r="II44" s="3">
        <f>ROUND(0.0,2)</f>
        <v/>
      </c>
      <c r="IJ44" s="4">
        <f>IFERROR((ID44/IC44),0)</f>
        <v/>
      </c>
      <c r="IK44" s="4">
        <f>IFERROR(((0+IB11+IB12+IB13+IB14+IB15+IB16+IB17+IB19+IB20+IB21+IB22+IB23+IB24+IB25+IB27+IB28+IB29+IB30+IB31+IB32+IB33+IB35+IB36+IB37+IB38+IB39+IB40+IB41+IB43+IB44)/T2),0)</f>
        <v/>
      </c>
      <c r="IL44" s="5">
        <f>IFERROR(ROUND(IB44/ID44,2),0)</f>
        <v/>
      </c>
      <c r="IM44" s="5">
        <f>IFERROR(ROUND(IB44/IE44,2),0)</f>
        <v/>
      </c>
      <c r="IN44" s="2" t="inlineStr">
        <is>
          <t>2023-10-19</t>
        </is>
      </c>
      <c r="IO44" s="5">
        <f>ROUND(0.71,2)</f>
        <v/>
      </c>
      <c r="IP44" s="3">
        <f>ROUND(2858.0,2)</f>
        <v/>
      </c>
      <c r="IQ44" s="3">
        <f>ROUND(71.0,2)</f>
        <v/>
      </c>
      <c r="IR44" s="3">
        <f>ROUND(0.0,2)</f>
        <v/>
      </c>
      <c r="IS44" s="3">
        <f>ROUND(0.0,2)</f>
        <v/>
      </c>
      <c r="IT44" s="3">
        <f>ROUND(0.0,2)</f>
        <v/>
      </c>
      <c r="IU44" s="3">
        <f>ROUND(0.0,2)</f>
        <v/>
      </c>
      <c r="IV44" s="3">
        <f>ROUND(0.0,2)</f>
        <v/>
      </c>
      <c r="IW44" s="4">
        <f>IFERROR((IQ44/IP44),0)</f>
        <v/>
      </c>
      <c r="IX44" s="4">
        <f>IFERROR(((0+IO11+IO12+IO13+IO14+IO15+IO16+IO17+IO19+IO20+IO21+IO22+IO23+IO24+IO25+IO27+IO28+IO29+IO30+IO31+IO32+IO33+IO35+IO36+IO37+IO38+IO39+IO40+IO41+IO43+IO44)/T2),0)</f>
        <v/>
      </c>
      <c r="IY44" s="5">
        <f>IFERROR(ROUND(IO44/IQ44,2),0)</f>
        <v/>
      </c>
      <c r="IZ44" s="5">
        <f>IFERROR(ROUND(IO44/IR44,2),0)</f>
        <v/>
      </c>
      <c r="JA44" s="2" t="inlineStr">
        <is>
          <t>2023-10-19</t>
        </is>
      </c>
      <c r="JB44" s="5">
        <f>ROUND(0.030000000000000002,2)</f>
        <v/>
      </c>
      <c r="JC44" s="3">
        <f>ROUND(76.0,2)</f>
        <v/>
      </c>
      <c r="JD44" s="3">
        <f>ROUND(3.0,2)</f>
        <v/>
      </c>
      <c r="JE44" s="3">
        <f>ROUND(0.0,2)</f>
        <v/>
      </c>
      <c r="JF44" s="3">
        <f>ROUND(0.0,2)</f>
        <v/>
      </c>
      <c r="JG44" s="3">
        <f>ROUND(0.0,2)</f>
        <v/>
      </c>
      <c r="JH44" s="3">
        <f>ROUND(0.0,2)</f>
        <v/>
      </c>
      <c r="JI44" s="3">
        <f>ROUND(0.0,2)</f>
        <v/>
      </c>
      <c r="JJ44" s="4">
        <f>IFERROR((JD44/JC44),0)</f>
        <v/>
      </c>
      <c r="JK44" s="4">
        <f>IFERROR(((0+JB11+JB12+JB13+JB14+JB15+JB16+JB17+JB19+JB20+JB21+JB22+JB23+JB24+JB25+JB27+JB28+JB29+JB30+JB31+JB32+JB33+JB35+JB36+JB37+JB38+JB39+JB40+JB41+JB43+JB44)/T2),0)</f>
        <v/>
      </c>
      <c r="JL44" s="5">
        <f>IFERROR(ROUND(JB44/JD44,2),0)</f>
        <v/>
      </c>
      <c r="JM44" s="5">
        <f>IFERROR(ROUND(JB44/JE44,2),0)</f>
        <v/>
      </c>
      <c r="JN44" s="2" t="inlineStr">
        <is>
          <t>2023-10-19</t>
        </is>
      </c>
      <c r="JO44" s="5">
        <f>ROUND(0.03,2)</f>
        <v/>
      </c>
      <c r="JP44" s="3">
        <f>ROUND(45.0,2)</f>
        <v/>
      </c>
      <c r="JQ44" s="3">
        <f>ROUND(3.0,2)</f>
        <v/>
      </c>
      <c r="JR44" s="3">
        <f>ROUND(0.0,2)</f>
        <v/>
      </c>
      <c r="JS44" s="3">
        <f>ROUND(0.0,2)</f>
        <v/>
      </c>
      <c r="JT44" s="3">
        <f>ROUND(0.0,2)</f>
        <v/>
      </c>
      <c r="JU44" s="3">
        <f>ROUND(0.0,2)</f>
        <v/>
      </c>
      <c r="JV44" s="3">
        <f>ROUND(0.0,2)</f>
        <v/>
      </c>
      <c r="JW44" s="4">
        <f>IFERROR((JQ44/JP44),0)</f>
        <v/>
      </c>
      <c r="JX44" s="4">
        <f>IFERROR(((0+JO11+JO12+JO13+JO14+JO15+JO16+JO17+JO19+JO20+JO21+JO22+JO23+JO24+JO25+JO27+JO28+JO29+JO30+JO31+JO32+JO33+JO35+JO36+JO37+JO38+JO39+JO40+JO41+JO43+JO44)/T2),0)</f>
        <v/>
      </c>
      <c r="JY44" s="5">
        <f>IFERROR(ROUND(JO44/JQ44,2),0)</f>
        <v/>
      </c>
      <c r="JZ44" s="5">
        <f>IFERROR(ROUND(JO44/JR44,2),0)</f>
        <v/>
      </c>
      <c r="KA44" s="2" t="inlineStr">
        <is>
          <t>2023-10-19</t>
        </is>
      </c>
      <c r="KB44" s="5">
        <f>ROUND(0.02,2)</f>
        <v/>
      </c>
      <c r="KC44" s="3">
        <f>ROUND(53.0,2)</f>
        <v/>
      </c>
      <c r="KD44" s="3">
        <f>ROUND(2.0,2)</f>
        <v/>
      </c>
      <c r="KE44" s="3">
        <f>ROUND(0.0,2)</f>
        <v/>
      </c>
      <c r="KF44" s="3">
        <f>ROUND(0.0,2)</f>
        <v/>
      </c>
      <c r="KG44" s="3">
        <f>ROUND(0.0,2)</f>
        <v/>
      </c>
      <c r="KH44" s="3">
        <f>ROUND(0.0,2)</f>
        <v/>
      </c>
      <c r="KI44" s="3">
        <f>ROUND(0.0,2)</f>
        <v/>
      </c>
      <c r="KJ44" s="4">
        <f>IFERROR((KD44/KC44),0)</f>
        <v/>
      </c>
      <c r="KK44" s="4">
        <f>IFERROR(((0+KB11+KB12+KB13+KB14+KB15+KB16+KB17+KB19+KB20+KB21+KB22+KB23+KB24+KB25+KB27+KB28+KB29+KB30+KB31+KB32+KB33+KB35+KB36+KB37+KB38+KB39+KB40+KB41+KB43+KB44)/T2),0)</f>
        <v/>
      </c>
      <c r="KL44" s="5">
        <f>IFERROR(ROUND(KB44/KD44,2),0)</f>
        <v/>
      </c>
      <c r="KM44" s="5">
        <f>IFERROR(ROUND(KB44/KE44,2),0)</f>
        <v/>
      </c>
      <c r="KN44" s="2" t="inlineStr">
        <is>
          <t>2023-10-19</t>
        </is>
      </c>
      <c r="KO44" s="5">
        <f>ROUND(1.02,2)</f>
        <v/>
      </c>
      <c r="KP44" s="3">
        <f>ROUND(4744.0,2)</f>
        <v/>
      </c>
      <c r="KQ44" s="3">
        <f>ROUND(102.0,2)</f>
        <v/>
      </c>
      <c r="KR44" s="3">
        <f>ROUND(0.0,2)</f>
        <v/>
      </c>
      <c r="KS44" s="3">
        <f>ROUND(0.0,2)</f>
        <v/>
      </c>
      <c r="KT44" s="3">
        <f>ROUND(0.0,2)</f>
        <v/>
      </c>
      <c r="KU44" s="3">
        <f>ROUND(0.0,2)</f>
        <v/>
      </c>
      <c r="KV44" s="3">
        <f>ROUND(0.0,2)</f>
        <v/>
      </c>
      <c r="KW44" s="4">
        <f>IFERROR((KQ44/KP44),0)</f>
        <v/>
      </c>
      <c r="KX44" s="4">
        <f>IFERROR(((0+KO11+KO12+KO13+KO14+KO15+KO16+KO17+KO19+KO20+KO21+KO22+KO23+KO24+KO25+KO27+KO28+KO29+KO30+KO31+KO32+KO33+KO35+KO36+KO37+KO38+KO39+KO40+KO41+KO43+KO44)/T2),0)</f>
        <v/>
      </c>
      <c r="KY44" s="5">
        <f>IFERROR(ROUND(KO44/KQ44,2),0)</f>
        <v/>
      </c>
      <c r="KZ44" s="5">
        <f>IFERROR(ROUND(KO44/KR44,2),0)</f>
        <v/>
      </c>
      <c r="LA44" s="2" t="inlineStr">
        <is>
          <t>2023-10-19</t>
        </is>
      </c>
      <c r="LB44" s="5">
        <f>ROUND(0.32999999999999996,2)</f>
        <v/>
      </c>
      <c r="LC44" s="3">
        <f>ROUND(1583.0,2)</f>
        <v/>
      </c>
      <c r="LD44" s="3">
        <f>ROUND(33.0,2)</f>
        <v/>
      </c>
      <c r="LE44" s="3">
        <f>ROUND(0.0,2)</f>
        <v/>
      </c>
      <c r="LF44" s="3">
        <f>ROUND(0.0,2)</f>
        <v/>
      </c>
      <c r="LG44" s="3">
        <f>ROUND(0.0,2)</f>
        <v/>
      </c>
      <c r="LH44" s="3">
        <f>ROUND(0.0,2)</f>
        <v/>
      </c>
      <c r="LI44" s="3">
        <f>ROUND(0.0,2)</f>
        <v/>
      </c>
      <c r="LJ44" s="4">
        <f>IFERROR((LD44/LC44),0)</f>
        <v/>
      </c>
      <c r="LK44" s="4">
        <f>IFERROR(((0+LB11+LB12+LB13+LB14+LB15+LB16+LB17+LB19+LB20+LB21+LB22+LB23+LB24+LB25+LB27+LB28+LB29+LB30+LB31+LB32+LB33+LB35+LB36+LB37+LB38+LB39+LB40+LB41+LB43+LB44)/T2),0)</f>
        <v/>
      </c>
      <c r="LL44" s="5">
        <f>IFERROR(ROUND(LB44/LD44,2),0)</f>
        <v/>
      </c>
      <c r="LM44" s="5">
        <f>IFERROR(ROUND(LB44/LE44,2),0)</f>
        <v/>
      </c>
      <c r="LN44" s="2" t="inlineStr">
        <is>
          <t>2023-10-19</t>
        </is>
      </c>
      <c r="LO44" s="5">
        <f>ROUND(0.28,2)</f>
        <v/>
      </c>
      <c r="LP44" s="3">
        <f>ROUND(341.0,2)</f>
        <v/>
      </c>
      <c r="LQ44" s="3">
        <f>ROUND(28.0,2)</f>
        <v/>
      </c>
      <c r="LR44" s="3">
        <f>ROUND(0.0,2)</f>
        <v/>
      </c>
      <c r="LS44" s="3">
        <f>ROUND(0.0,2)</f>
        <v/>
      </c>
      <c r="LT44" s="3">
        <f>ROUND(0.0,2)</f>
        <v/>
      </c>
      <c r="LU44" s="3">
        <f>ROUND(0.0,2)</f>
        <v/>
      </c>
      <c r="LV44" s="3">
        <f>ROUND(0.0,2)</f>
        <v/>
      </c>
      <c r="LW44" s="4">
        <f>IFERROR((LQ44/LP44),0)</f>
        <v/>
      </c>
      <c r="LX44" s="4">
        <f>IFERROR(((0+LO11+LO12+LO13+LO14+LO15+LO16+LO17+LO19+LO20+LO21+LO22+LO23+LO24+LO25+LO27+LO28+LO29+LO30+LO31+LO32+LO33+LO35+LO36+LO37+LO38+LO39+LO40+LO41+LO43+LO44)/T2),0)</f>
        <v/>
      </c>
      <c r="LY44" s="5">
        <f>IFERROR(ROUND(LO44/LQ44,2),0)</f>
        <v/>
      </c>
      <c r="LZ44" s="5">
        <f>IFERROR(ROUND(LO44/LR44,2),0)</f>
        <v/>
      </c>
      <c r="MA44" s="2" t="inlineStr">
        <is>
          <t>2023-10-19</t>
        </is>
      </c>
      <c r="MB44" s="5">
        <f>ROUND(0.23,2)</f>
        <v/>
      </c>
      <c r="MC44" s="3">
        <f>ROUND(956.0,2)</f>
        <v/>
      </c>
      <c r="MD44" s="3">
        <f>ROUND(23.0,2)</f>
        <v/>
      </c>
      <c r="ME44" s="3">
        <f>ROUND(0.0,2)</f>
        <v/>
      </c>
      <c r="MF44" s="3">
        <f>ROUND(0.0,2)</f>
        <v/>
      </c>
      <c r="MG44" s="3">
        <f>ROUND(0.0,2)</f>
        <v/>
      </c>
      <c r="MH44" s="3">
        <f>ROUND(0.0,2)</f>
        <v/>
      </c>
      <c r="MI44" s="3">
        <f>ROUND(0.0,2)</f>
        <v/>
      </c>
      <c r="MJ44" s="4">
        <f>IFERROR((MD44/MC44),0)</f>
        <v/>
      </c>
      <c r="MK44" s="4">
        <f>IFERROR(((0+MB11+MB12+MB13+MB14+MB15+MB16+MB17+MB19+MB20+MB21+MB22+MB23+MB24+MB25+MB27+MB28+MB29+MB30+MB31+MB32+MB33+MB35+MB36+MB37+MB38+MB39+MB40+MB41+MB43+MB44)/T2),0)</f>
        <v/>
      </c>
      <c r="ML44" s="5">
        <f>IFERROR(ROUND(MB44/MD44,2),0)</f>
        <v/>
      </c>
      <c r="MM44" s="5">
        <f>IFERROR(ROUND(MB44/ME44,2),0)</f>
        <v/>
      </c>
      <c r="MN44" s="2" t="inlineStr">
        <is>
          <t>2023-10-19</t>
        </is>
      </c>
      <c r="MO44" s="5">
        <f>ROUND(2.41,2)</f>
        <v/>
      </c>
      <c r="MP44" s="3">
        <f>ROUND(3855.0,2)</f>
        <v/>
      </c>
      <c r="MQ44" s="3">
        <f>ROUND(241.0,2)</f>
        <v/>
      </c>
      <c r="MR44" s="3">
        <f>ROUND(0.0,2)</f>
        <v/>
      </c>
      <c r="MS44" s="3">
        <f>ROUND(0.0,2)</f>
        <v/>
      </c>
      <c r="MT44" s="3">
        <f>ROUND(0.0,2)</f>
        <v/>
      </c>
      <c r="MU44" s="3">
        <f>ROUND(0.0,2)</f>
        <v/>
      </c>
      <c r="MV44" s="3">
        <f>ROUND(0.0,2)</f>
        <v/>
      </c>
      <c r="MW44" s="4">
        <f>IFERROR((MQ44/MP44),0)</f>
        <v/>
      </c>
      <c r="MX44" s="4">
        <f>IFERROR(((0+MO11+MO12+MO13+MO14+MO15+MO16+MO17+MO19+MO20+MO21+MO22+MO23+MO24+MO25+MO27+MO28+MO29+MO30+MO31+MO32+MO33+MO35+MO36+MO37+MO38+MO39+MO40+MO41+MO43+MO44)/T2),0)</f>
        <v/>
      </c>
      <c r="MY44" s="5">
        <f>IFERROR(ROUND(MO44/MQ44,2),0)</f>
        <v/>
      </c>
      <c r="MZ44" s="5">
        <f>IFERROR(ROUND(MO44/MR44,2),0)</f>
        <v/>
      </c>
      <c r="NA44" s="2" t="inlineStr">
        <is>
          <t>2023-10-19</t>
        </is>
      </c>
      <c r="NB44" s="5">
        <f>ROUND(0.75,2)</f>
        <v/>
      </c>
      <c r="NC44" s="3">
        <f>ROUND(2743.0,2)</f>
        <v/>
      </c>
      <c r="ND44" s="3">
        <f>ROUND(75.0,2)</f>
        <v/>
      </c>
      <c r="NE44" s="3">
        <f>ROUND(0.0,2)</f>
        <v/>
      </c>
      <c r="NF44" s="3">
        <f>ROUND(0.0,2)</f>
        <v/>
      </c>
      <c r="NG44" s="3">
        <f>ROUND(0.0,2)</f>
        <v/>
      </c>
      <c r="NH44" s="3">
        <f>ROUND(0.0,2)</f>
        <v/>
      </c>
      <c r="NI44" s="3">
        <f>ROUND(0.0,2)</f>
        <v/>
      </c>
      <c r="NJ44" s="4">
        <f>IFERROR((ND44/NC44),0)</f>
        <v/>
      </c>
      <c r="NK44" s="4">
        <f>IFERROR(((0+NB11+NB12+NB13+NB14+NB15+NB16+NB17+NB19+NB20+NB21+NB22+NB23+NB24+NB25+NB27+NB28+NB29+NB30+NB31+NB32+NB33+NB35+NB36+NB37+NB38+NB39+NB40+NB41+NB43+NB44)/T2),0)</f>
        <v/>
      </c>
      <c r="NL44" s="5">
        <f>IFERROR(ROUND(NB44/ND44,2),0)</f>
        <v/>
      </c>
      <c r="NM44" s="5">
        <f>IFERROR(ROUND(NB44/NE44,2),0)</f>
        <v/>
      </c>
      <c r="NN44" s="2" t="inlineStr">
        <is>
          <t>2023-10-19</t>
        </is>
      </c>
      <c r="NO44" s="5">
        <f>ROUND(0.0,2)</f>
        <v/>
      </c>
      <c r="NP44" s="3">
        <f>ROUND(23.0,2)</f>
        <v/>
      </c>
      <c r="NQ44" s="3">
        <f>ROUND(0.0,2)</f>
        <v/>
      </c>
      <c r="NR44" s="3">
        <f>ROUND(0.0,2)</f>
        <v/>
      </c>
      <c r="NS44" s="3">
        <f>ROUND(0.0,2)</f>
        <v/>
      </c>
      <c r="NT44" s="3">
        <f>ROUND(0.0,2)</f>
        <v/>
      </c>
      <c r="NU44" s="3">
        <f>ROUND(0.0,2)</f>
        <v/>
      </c>
      <c r="NV44" s="3">
        <f>ROUND(0.0,2)</f>
        <v/>
      </c>
      <c r="NW44" s="4">
        <f>IFERROR((NQ44/NP44),0)</f>
        <v/>
      </c>
      <c r="NX44" s="4">
        <f>IFERROR(((0+NO11+NO12+NO13+NO14+NO15+NO16+NO17+NO19+NO20+NO21+NO22+NO23+NO24+NO25+NO27+NO28+NO29+NO30+NO31+NO32+NO33+NO35+NO36+NO37+NO38+NO39+NO40+NO41+NO43+NO44)/T2),0)</f>
        <v/>
      </c>
      <c r="NY44" s="5">
        <f>IFERROR(ROUND(NO44/NQ44,2),0)</f>
        <v/>
      </c>
      <c r="NZ44" s="5">
        <f>IFERROR(ROUND(NO44/NR44,2),0)</f>
        <v/>
      </c>
      <c r="OA44" s="2" t="inlineStr">
        <is>
          <t>2023-10-19</t>
        </is>
      </c>
      <c r="OB44" s="5">
        <f>ROUND(0.01,2)</f>
        <v/>
      </c>
      <c r="OC44" s="3">
        <f>ROUND(43.0,2)</f>
        <v/>
      </c>
      <c r="OD44" s="3">
        <f>ROUND(1.0,2)</f>
        <v/>
      </c>
      <c r="OE44" s="3">
        <f>ROUND(0.0,2)</f>
        <v/>
      </c>
      <c r="OF44" s="3">
        <f>ROUND(0.0,2)</f>
        <v/>
      </c>
      <c r="OG44" s="3">
        <f>ROUND(0.0,2)</f>
        <v/>
      </c>
      <c r="OH44" s="3">
        <f>ROUND(0.0,2)</f>
        <v/>
      </c>
      <c r="OI44" s="3">
        <f>ROUND(0.0,2)</f>
        <v/>
      </c>
      <c r="OJ44" s="4">
        <f>IFERROR((OD44/OC44),0)</f>
        <v/>
      </c>
      <c r="OK44" s="4">
        <f>IFERROR(((0+OB11+OB12+OB13+OB14+OB15+OB16+OB17+OB19+OB20+OB21+OB22+OB23+OB24+OB25+OB27+OB28+OB29+OB30+OB31+OB32+OB33+OB35+OB36+OB37+OB38+OB39+OB40+OB41+OB43+OB44)/T2),0)</f>
        <v/>
      </c>
      <c r="OL44" s="5">
        <f>IFERROR(ROUND(OB44/OD44,2),0)</f>
        <v/>
      </c>
      <c r="OM44" s="5">
        <f>IFERROR(ROUND(OB44/OE44,2),0)</f>
        <v/>
      </c>
      <c r="ON44" s="2" t="inlineStr">
        <is>
          <t>2023-10-19</t>
        </is>
      </c>
      <c r="OO44" s="5">
        <f>ROUND(0.38,2)</f>
        <v/>
      </c>
      <c r="OP44" s="3">
        <f>ROUND(795.0,2)</f>
        <v/>
      </c>
      <c r="OQ44" s="3">
        <f>ROUND(38.0,2)</f>
        <v/>
      </c>
      <c r="OR44" s="3">
        <f>ROUND(0.0,2)</f>
        <v/>
      </c>
      <c r="OS44" s="3">
        <f>ROUND(0.0,2)</f>
        <v/>
      </c>
      <c r="OT44" s="3">
        <f>ROUND(0.0,2)</f>
        <v/>
      </c>
      <c r="OU44" s="3">
        <f>ROUND(0.0,2)</f>
        <v/>
      </c>
      <c r="OV44" s="3">
        <f>ROUND(0.0,2)</f>
        <v/>
      </c>
      <c r="OW44" s="4">
        <f>IFERROR((OQ44/OP44),0)</f>
        <v/>
      </c>
      <c r="OX44" s="4">
        <f>IFERROR(((0+OO11+OO12+OO13+OO14+OO15+OO16+OO17+OO19+OO20+OO21+OO22+OO23+OO24+OO25+OO27+OO28+OO29+OO30+OO31+OO32+OO33+OO35+OO36+OO37+OO38+OO39+OO40+OO41+OO43+OO44)/T2),0)</f>
        <v/>
      </c>
      <c r="OY44" s="5">
        <f>IFERROR(ROUND(OO44/OQ44,2),0)</f>
        <v/>
      </c>
      <c r="OZ44" s="5">
        <f>IFERROR(ROUND(OO44/OR44,2),0)</f>
        <v/>
      </c>
      <c r="PA44" s="2" t="inlineStr">
        <is>
          <t>2023-10-19</t>
        </is>
      </c>
      <c r="PB44" s="5">
        <f>ROUND(0.16,2)</f>
        <v/>
      </c>
      <c r="PC44" s="3">
        <f>ROUND(152.0,2)</f>
        <v/>
      </c>
      <c r="PD44" s="3">
        <f>ROUND(16.0,2)</f>
        <v/>
      </c>
      <c r="PE44" s="3">
        <f>ROUND(0.0,2)</f>
        <v/>
      </c>
      <c r="PF44" s="3">
        <f>ROUND(0.0,2)</f>
        <v/>
      </c>
      <c r="PG44" s="3">
        <f>ROUND(0.0,2)</f>
        <v/>
      </c>
      <c r="PH44" s="3">
        <f>ROUND(0.0,2)</f>
        <v/>
      </c>
      <c r="PI44" s="3">
        <f>ROUND(0.0,2)</f>
        <v/>
      </c>
      <c r="PJ44" s="4">
        <f>IFERROR((PD44/PC44),0)</f>
        <v/>
      </c>
      <c r="PK44" s="4">
        <f>IFERROR(((0+PB11+PB12+PB13+PB14+PB15+PB16+PB17+PB19+PB20+PB21+PB22+PB23+PB24+PB25+PB27+PB28+PB29+PB30+PB31+PB32+PB33+PB35+PB36+PB37+PB38+PB39+PB40+PB41+PB43+PB44)/T2),0)</f>
        <v/>
      </c>
      <c r="PL44" s="5">
        <f>IFERROR(ROUND(PB44/PD44,2),0)</f>
        <v/>
      </c>
      <c r="PM44" s="5">
        <f>IFERROR(ROUND(PB44/PE44,2),0)</f>
        <v/>
      </c>
      <c r="PN44" s="2" t="inlineStr">
        <is>
          <t>2023-10-19</t>
        </is>
      </c>
      <c r="PO44" s="5">
        <f>ROUND(1.03,2)</f>
        <v/>
      </c>
      <c r="PP44" s="3">
        <f>ROUND(2042.0,2)</f>
        <v/>
      </c>
      <c r="PQ44" s="3">
        <f>ROUND(103.0,2)</f>
        <v/>
      </c>
      <c r="PR44" s="3">
        <f>ROUND(0.0,2)</f>
        <v/>
      </c>
      <c r="PS44" s="3">
        <f>ROUND(0.0,2)</f>
        <v/>
      </c>
      <c r="PT44" s="3">
        <f>ROUND(0.0,2)</f>
        <v/>
      </c>
      <c r="PU44" s="3">
        <f>ROUND(0.0,2)</f>
        <v/>
      </c>
      <c r="PV44" s="3">
        <f>ROUND(0.0,2)</f>
        <v/>
      </c>
      <c r="PW44" s="4">
        <f>IFERROR((PQ44/PP44),0)</f>
        <v/>
      </c>
      <c r="PX44" s="4">
        <f>IFERROR(((0+PO11+PO12+PO13+PO14+PO15+PO16+PO17+PO19+PO20+PO21+PO22+PO23+PO24+PO25+PO27+PO28+PO29+PO30+PO31+PO32+PO33+PO35+PO36+PO37+PO38+PO39+PO40+PO41+PO43+PO44)/T2),0)</f>
        <v/>
      </c>
      <c r="PY44" s="5">
        <f>IFERROR(ROUND(PO44/PQ44,2),0)</f>
        <v/>
      </c>
      <c r="PZ44" s="5">
        <f>IFERROR(ROUND(PO44/PR44,2),0)</f>
        <v/>
      </c>
      <c r="QA44" s="2" t="inlineStr">
        <is>
          <t>2023-10-19</t>
        </is>
      </c>
      <c r="QB44" s="5">
        <f>ROUND(0.05,2)</f>
        <v/>
      </c>
      <c r="QC44" s="3">
        <f>ROUND(38.0,2)</f>
        <v/>
      </c>
      <c r="QD44" s="3">
        <f>ROUND(5.0,2)</f>
        <v/>
      </c>
      <c r="QE44" s="3">
        <f>ROUND(0.0,2)</f>
        <v/>
      </c>
      <c r="QF44" s="3">
        <f>ROUND(0.0,2)</f>
        <v/>
      </c>
      <c r="QG44" s="3">
        <f>ROUND(0.0,2)</f>
        <v/>
      </c>
      <c r="QH44" s="3">
        <f>ROUND(0.0,2)</f>
        <v/>
      </c>
      <c r="QI44" s="3">
        <f>ROUND(0.0,2)</f>
        <v/>
      </c>
      <c r="QJ44" s="4">
        <f>IFERROR((QD44/QC44),0)</f>
        <v/>
      </c>
      <c r="QK44" s="4">
        <f>IFERROR(((0+QB11+QB12+QB13+QB14+QB15+QB16+QB17+QB19+QB20+QB21+QB22+QB23+QB24+QB25+QB27+QB28+QB29+QB30+QB31+QB32+QB33+QB35+QB36+QB37+QB38+QB39+QB40+QB41+QB43+QB44)/T2),0)</f>
        <v/>
      </c>
      <c r="QL44" s="5">
        <f>IFERROR(ROUND(QB44/QD44,2),0)</f>
        <v/>
      </c>
      <c r="QM44" s="5">
        <f>IFERROR(ROUND(QB44/QE44,2),0)</f>
        <v/>
      </c>
      <c r="QN44" s="2" t="inlineStr">
        <is>
          <t>2023-10-19</t>
        </is>
      </c>
      <c r="QO44" s="5">
        <f>ROUND(0.07,2)</f>
        <v/>
      </c>
      <c r="QP44" s="3">
        <f>ROUND(83.0,2)</f>
        <v/>
      </c>
      <c r="QQ44" s="3">
        <f>ROUND(7.0,2)</f>
        <v/>
      </c>
      <c r="QR44" s="3">
        <f>ROUND(0.0,2)</f>
        <v/>
      </c>
      <c r="QS44" s="3">
        <f>ROUND(0.0,2)</f>
        <v/>
      </c>
      <c r="QT44" s="3">
        <f>ROUND(0.0,2)</f>
        <v/>
      </c>
      <c r="QU44" s="3">
        <f>ROUND(0.0,2)</f>
        <v/>
      </c>
      <c r="QV44" s="3">
        <f>ROUND(0.0,2)</f>
        <v/>
      </c>
      <c r="QW44" s="4">
        <f>IFERROR((QQ44/QP44),0)</f>
        <v/>
      </c>
      <c r="QX44" s="4">
        <f>IFERROR(((0+QO11+QO12+QO13+QO14+QO15+QO16+QO17+QO19+QO20+QO21+QO22+QO23+QO24+QO25+QO27+QO28+QO29+QO30+QO31+QO32+QO33+QO35+QO36+QO37+QO38+QO39+QO40+QO41+QO43+QO44)/T2),0)</f>
        <v/>
      </c>
      <c r="QY44" s="5">
        <f>IFERROR(ROUND(QO44/QQ44,2),0)</f>
        <v/>
      </c>
      <c r="QZ44" s="5">
        <f>IFERROR(ROUND(QO44/QR44,2),0)</f>
        <v/>
      </c>
      <c r="RA44" s="2" t="inlineStr">
        <is>
          <t>2023-10-19</t>
        </is>
      </c>
      <c r="RB44" s="5">
        <f>ROUND(0.05,2)</f>
        <v/>
      </c>
      <c r="RC44" s="3">
        <f>ROUND(57.0,2)</f>
        <v/>
      </c>
      <c r="RD44" s="3">
        <f>ROUND(5.0,2)</f>
        <v/>
      </c>
      <c r="RE44" s="3">
        <f>ROUND(0.0,2)</f>
        <v/>
      </c>
      <c r="RF44" s="3">
        <f>ROUND(0.0,2)</f>
        <v/>
      </c>
      <c r="RG44" s="3">
        <f>ROUND(0.0,2)</f>
        <v/>
      </c>
      <c r="RH44" s="3">
        <f>ROUND(0.0,2)</f>
        <v/>
      </c>
      <c r="RI44" s="3">
        <f>ROUND(0.0,2)</f>
        <v/>
      </c>
      <c r="RJ44" s="4">
        <f>IFERROR((RD44/RC44),0)</f>
        <v/>
      </c>
      <c r="RK44" s="4">
        <f>IFERROR(((0+RB11+RB12+RB13+RB14+RB15+RB16+RB17+RB19+RB20+RB21+RB22+RB23+RB24+RB25+RB27+RB28+RB29+RB30+RB31+RB32+RB33+RB35+RB36+RB37+RB38+RB39+RB40+RB41+RB43+RB44)/T2),0)</f>
        <v/>
      </c>
      <c r="RL44" s="5">
        <f>IFERROR(ROUND(RB44/RD44,2),0)</f>
        <v/>
      </c>
      <c r="RM44" s="5">
        <f>IFERROR(ROUND(RB44/RE44,2),0)</f>
        <v/>
      </c>
      <c r="RN44" s="2" t="inlineStr">
        <is>
          <t>2023-10-19</t>
        </is>
      </c>
      <c r="RO44" s="5">
        <f>ROUND(0.02,2)</f>
        <v/>
      </c>
      <c r="RP44" s="3">
        <f>ROUND(37.0,2)</f>
        <v/>
      </c>
      <c r="RQ44" s="3">
        <f>ROUND(2.0,2)</f>
        <v/>
      </c>
      <c r="RR44" s="3">
        <f>ROUND(0.0,2)</f>
        <v/>
      </c>
      <c r="RS44" s="3">
        <f>ROUND(0.0,2)</f>
        <v/>
      </c>
      <c r="RT44" s="3">
        <f>ROUND(0.0,2)</f>
        <v/>
      </c>
      <c r="RU44" s="3">
        <f>ROUND(0.0,2)</f>
        <v/>
      </c>
      <c r="RV44" s="3">
        <f>ROUND(0.0,2)</f>
        <v/>
      </c>
      <c r="RW44" s="4">
        <f>IFERROR((RQ44/RP44),0)</f>
        <v/>
      </c>
      <c r="RX44" s="4">
        <f>IFERROR(((0+RO11+RO12+RO13+RO14+RO15+RO16+RO17+RO19+RO20+RO21+RO22+RO23+RO24+RO25+RO27+RO28+RO29+RO30+RO31+RO32+RO33+RO35+RO36+RO37+RO38+RO39+RO40+RO41+RO43+RO44)/T2),0)</f>
        <v/>
      </c>
      <c r="RY44" s="5">
        <f>IFERROR(ROUND(RO44/RQ44,2),0)</f>
        <v/>
      </c>
      <c r="RZ44" s="5">
        <f>IFERROR(ROUND(RO44/RR44,2),0)</f>
        <v/>
      </c>
      <c r="SA44" s="2" t="inlineStr">
        <is>
          <t>2023-10-19</t>
        </is>
      </c>
      <c r="SB44" s="5">
        <f>ROUND(1.77,2)</f>
        <v/>
      </c>
      <c r="SC44" s="3">
        <f>ROUND(2404.0,2)</f>
        <v/>
      </c>
      <c r="SD44" s="3">
        <f>ROUND(177.0,2)</f>
        <v/>
      </c>
      <c r="SE44" s="3">
        <f>ROUND(0.0,2)</f>
        <v/>
      </c>
      <c r="SF44" s="3">
        <f>ROUND(0.0,2)</f>
        <v/>
      </c>
      <c r="SG44" s="3">
        <f>ROUND(0.0,2)</f>
        <v/>
      </c>
      <c r="SH44" s="3">
        <f>ROUND(0.0,2)</f>
        <v/>
      </c>
      <c r="SI44" s="3">
        <f>ROUND(0.0,2)</f>
        <v/>
      </c>
      <c r="SJ44" s="4">
        <f>IFERROR((SD44/SC44),0)</f>
        <v/>
      </c>
      <c r="SK44" s="4">
        <f>IFERROR(((0+SB11+SB12+SB13+SB14+SB15+SB16+SB17+SB19+SB20+SB21+SB22+SB23+SB24+SB25+SB27+SB28+SB29+SB30+SB31+SB32+SB33+SB35+SB36+SB37+SB38+SB39+SB40+SB41+SB43+SB44)/T2),0)</f>
        <v/>
      </c>
      <c r="SL44" s="5">
        <f>IFERROR(ROUND(SB44/SD44,2),0)</f>
        <v/>
      </c>
      <c r="SM44" s="5">
        <f>IFERROR(ROUND(SB44/SE44,2),0)</f>
        <v/>
      </c>
      <c r="SN44" s="2" t="inlineStr">
        <is>
          <t>2023-10-19</t>
        </is>
      </c>
      <c r="SO44" s="5">
        <f>ROUND(0.06999999999999999,2)</f>
        <v/>
      </c>
      <c r="SP44" s="3">
        <f>ROUND(129.0,2)</f>
        <v/>
      </c>
      <c r="SQ44" s="3">
        <f>ROUND(7.0,2)</f>
        <v/>
      </c>
      <c r="SR44" s="3">
        <f>ROUND(0.0,2)</f>
        <v/>
      </c>
      <c r="SS44" s="3">
        <f>ROUND(0.0,2)</f>
        <v/>
      </c>
      <c r="ST44" s="3">
        <f>ROUND(0.0,2)</f>
        <v/>
      </c>
      <c r="SU44" s="3">
        <f>ROUND(0.0,2)</f>
        <v/>
      </c>
      <c r="SV44" s="3">
        <f>ROUND(0.0,2)</f>
        <v/>
      </c>
      <c r="SW44" s="4">
        <f>IFERROR((SQ44/SP44),0)</f>
        <v/>
      </c>
      <c r="SX44" s="4">
        <f>IFERROR(((0+SO11+SO12+SO13+SO14+SO15+SO16+SO17+SO19+SO20+SO21+SO22+SO23+SO24+SO25+SO27+SO28+SO29+SO30+SO31+SO32+SO33+SO35+SO36+SO37+SO38+SO39+SO40+SO41+SO43+SO44)/T2),0)</f>
        <v/>
      </c>
      <c r="SY44" s="5">
        <f>IFERROR(ROUND(SO44/SQ44,2),0)</f>
        <v/>
      </c>
      <c r="SZ44" s="5">
        <f>IFERROR(ROUND(SO44/SR44,2),0)</f>
        <v/>
      </c>
    </row>
    <row r="45">
      <c r="A45" s="2" t="inlineStr">
        <is>
          <t>2023-10-20</t>
        </is>
      </c>
      <c r="B45" s="5">
        <f>ROUND(0.0,2)</f>
        <v/>
      </c>
      <c r="C45" s="3">
        <f>ROUND(0.0,2)</f>
        <v/>
      </c>
      <c r="D45" s="3">
        <f>ROUND(0.0,2)</f>
        <v/>
      </c>
      <c r="E45" s="3">
        <f>ROUND(0.0,2)</f>
        <v/>
      </c>
      <c r="F45" s="3">
        <f>ROUND(0.0,2)</f>
        <v/>
      </c>
      <c r="G45" s="3">
        <f>ROUND(0.0,2)</f>
        <v/>
      </c>
      <c r="H45" s="3">
        <f>ROUND(0.0,2)</f>
        <v/>
      </c>
      <c r="I45" s="3">
        <f>ROUND(0.0,2)</f>
        <v/>
      </c>
      <c r="J45" s="4">
        <f>IFERROR((D45/C45),0)</f>
        <v/>
      </c>
      <c r="K45" s="4">
        <f>IFERROR(((0+B11+B12+B13+B14+B15+B16+B17+B19+B20+B21+B22+B23+B24+B25+B27+B28+B29+B30+B31+B32+B33+B35+B36+B37+B38+B39+B40+B41+B43+B44+B45)/T2),0)</f>
        <v/>
      </c>
      <c r="L45" s="5">
        <f>IFERROR(ROUND(B45/D45,2),0)</f>
        <v/>
      </c>
      <c r="M45" s="5">
        <f>IFERROR(ROUND(B45/E45,2),0)</f>
        <v/>
      </c>
      <c r="N45" s="2" t="inlineStr">
        <is>
          <t>2023-10-20</t>
        </is>
      </c>
      <c r="O45" s="5">
        <f>ROUND(0.0,2)</f>
        <v/>
      </c>
      <c r="P45" s="3">
        <f>ROUND(0.0,2)</f>
        <v/>
      </c>
      <c r="Q45" s="3">
        <f>ROUND(0.0,2)</f>
        <v/>
      </c>
      <c r="R45" s="3">
        <f>ROUND(0.0,2)</f>
        <v/>
      </c>
      <c r="S45" s="3">
        <f>ROUND(0.0,2)</f>
        <v/>
      </c>
      <c r="T45" s="3">
        <f>ROUND(0.0,2)</f>
        <v/>
      </c>
      <c r="U45" s="3">
        <f>ROUND(0.0,2)</f>
        <v/>
      </c>
      <c r="V45" s="3">
        <f>ROUND(0.0,2)</f>
        <v/>
      </c>
      <c r="W45" s="4">
        <f>IFERROR((Q45/P45),0)</f>
        <v/>
      </c>
      <c r="X45" s="4">
        <f>IFERROR(((0+O11+O12+O13+O14+O15+O16+O17+O19+O20+O21+O22+O23+O24+O25+O27+O28+O29+O30+O31+O32+O33+O35+O36+O37+O38+O39+O40+O41+O43+O44+O45)/T2),0)</f>
        <v/>
      </c>
      <c r="Y45" s="5">
        <f>IFERROR(ROUND(O45/Q45,2),0)</f>
        <v/>
      </c>
      <c r="Z45" s="5">
        <f>IFERROR(ROUND(O45/R45,2),0)</f>
        <v/>
      </c>
      <c r="AA45" s="2" t="inlineStr">
        <is>
          <t>2023-10-20</t>
        </is>
      </c>
      <c r="AB45" s="5">
        <f>ROUND(0.0,2)</f>
        <v/>
      </c>
      <c r="AC45" s="3">
        <f>ROUND(0.0,2)</f>
        <v/>
      </c>
      <c r="AD45" s="3">
        <f>ROUND(0.0,2)</f>
        <v/>
      </c>
      <c r="AE45" s="3">
        <f>ROUND(0.0,2)</f>
        <v/>
      </c>
      <c r="AF45" s="3">
        <f>ROUND(0.0,2)</f>
        <v/>
      </c>
      <c r="AG45" s="3">
        <f>ROUND(0.0,2)</f>
        <v/>
      </c>
      <c r="AH45" s="3">
        <f>ROUND(0.0,2)</f>
        <v/>
      </c>
      <c r="AI45" s="3">
        <f>ROUND(0.0,2)</f>
        <v/>
      </c>
      <c r="AJ45" s="4">
        <f>IFERROR((AD45/AC45),0)</f>
        <v/>
      </c>
      <c r="AK45" s="4">
        <f>IFERROR(((0+AB11+AB12+AB13+AB14+AB15+AB16+AB17+AB19+AB20+AB21+AB22+AB23+AB24+AB25+AB27+AB28+AB29+AB30+AB31+AB32+AB33+AB35+AB36+AB37+AB38+AB39+AB40+AB41+AB43+AB44+AB45)/T2),0)</f>
        <v/>
      </c>
      <c r="AL45" s="5">
        <f>IFERROR(ROUND(AB45/AD45,2),0)</f>
        <v/>
      </c>
      <c r="AM45" s="5">
        <f>IFERROR(ROUND(AB45/AE45,2),0)</f>
        <v/>
      </c>
      <c r="AN45" s="2" t="inlineStr">
        <is>
          <t>2023-10-20</t>
        </is>
      </c>
      <c r="AO45" s="5">
        <f>ROUND(0.0,2)</f>
        <v/>
      </c>
      <c r="AP45" s="3">
        <f>ROUND(0.0,2)</f>
        <v/>
      </c>
      <c r="AQ45" s="3">
        <f>ROUND(0.0,2)</f>
        <v/>
      </c>
      <c r="AR45" s="3">
        <f>ROUND(0.0,2)</f>
        <v/>
      </c>
      <c r="AS45" s="3">
        <f>ROUND(0.0,2)</f>
        <v/>
      </c>
      <c r="AT45" s="3">
        <f>ROUND(0.0,2)</f>
        <v/>
      </c>
      <c r="AU45" s="3">
        <f>ROUND(0.0,2)</f>
        <v/>
      </c>
      <c r="AV45" s="3">
        <f>ROUND(0.0,2)</f>
        <v/>
      </c>
      <c r="AW45" s="4">
        <f>IFERROR((AQ45/AP45),0)</f>
        <v/>
      </c>
      <c r="AX45" s="4">
        <f>IFERROR(((0+AO11+AO12+AO13+AO14+AO15+AO16+AO17+AO19+AO20+AO21+AO22+AO23+AO24+AO25+AO27+AO28+AO29+AO30+AO31+AO32+AO33+AO35+AO36+AO37+AO38+AO39+AO40+AO41+AO43+AO44+AO45)/T2),0)</f>
        <v/>
      </c>
      <c r="AY45" s="5">
        <f>IFERROR(ROUND(AO45/AQ45,2),0)</f>
        <v/>
      </c>
      <c r="AZ45" s="5">
        <f>IFERROR(ROUND(AO45/AR45,2),0)</f>
        <v/>
      </c>
      <c r="BA45" s="2" t="inlineStr">
        <is>
          <t>2023-10-20</t>
        </is>
      </c>
      <c r="BB45" s="5">
        <f>ROUND(0.0,2)</f>
        <v/>
      </c>
      <c r="BC45" s="3">
        <f>ROUND(0.0,2)</f>
        <v/>
      </c>
      <c r="BD45" s="3">
        <f>ROUND(0.0,2)</f>
        <v/>
      </c>
      <c r="BE45" s="3">
        <f>ROUND(0.0,2)</f>
        <v/>
      </c>
      <c r="BF45" s="3">
        <f>ROUND(0.0,2)</f>
        <v/>
      </c>
      <c r="BG45" s="3">
        <f>ROUND(0.0,2)</f>
        <v/>
      </c>
      <c r="BH45" s="3">
        <f>ROUND(0.0,2)</f>
        <v/>
      </c>
      <c r="BI45" s="3">
        <f>ROUND(0.0,2)</f>
        <v/>
      </c>
      <c r="BJ45" s="4">
        <f>IFERROR((BD45/BC45),0)</f>
        <v/>
      </c>
      <c r="BK45" s="4">
        <f>IFERROR(((0+BB11+BB12+BB13+BB14+BB15+BB16+BB17+BB19+BB20+BB21+BB22+BB23+BB24+BB25+BB27+BB28+BB29+BB30+BB31+BB32+BB33+BB35+BB36+BB37+BB38+BB39+BB40+BB41+BB43+BB44+BB45)/T2),0)</f>
        <v/>
      </c>
      <c r="BL45" s="5">
        <f>IFERROR(ROUND(BB45/BD45,2),0)</f>
        <v/>
      </c>
      <c r="BM45" s="5">
        <f>IFERROR(ROUND(BB45/BE45,2),0)</f>
        <v/>
      </c>
      <c r="BN45" s="2" t="inlineStr">
        <is>
          <t>2023-10-20</t>
        </is>
      </c>
      <c r="BO45" s="5">
        <f>ROUND(0.0,2)</f>
        <v/>
      </c>
      <c r="BP45" s="3">
        <f>ROUND(0.0,2)</f>
        <v/>
      </c>
      <c r="BQ45" s="3">
        <f>ROUND(0.0,2)</f>
        <v/>
      </c>
      <c r="BR45" s="3">
        <f>ROUND(0.0,2)</f>
        <v/>
      </c>
      <c r="BS45" s="3">
        <f>ROUND(0.0,2)</f>
        <v/>
      </c>
      <c r="BT45" s="3">
        <f>ROUND(0.0,2)</f>
        <v/>
      </c>
      <c r="BU45" s="3">
        <f>ROUND(0.0,2)</f>
        <v/>
      </c>
      <c r="BV45" s="3">
        <f>ROUND(0.0,2)</f>
        <v/>
      </c>
      <c r="BW45" s="4">
        <f>IFERROR((BQ45/BP45),0)</f>
        <v/>
      </c>
      <c r="BX45" s="4">
        <f>IFERROR(((0+BO11+BO12+BO13+BO14+BO15+BO16+BO17+BO19+BO20+BO21+BO22+BO23+BO24+BO25+BO27+BO28+BO29+BO30+BO31+BO32+BO33+BO35+BO36+BO37+BO38+BO39+BO40+BO41+BO43+BO44+BO45)/T2),0)</f>
        <v/>
      </c>
      <c r="BY45" s="5">
        <f>IFERROR(ROUND(BO45/BQ45,2),0)</f>
        <v/>
      </c>
      <c r="BZ45" s="5">
        <f>IFERROR(ROUND(BO45/BR45,2),0)</f>
        <v/>
      </c>
      <c r="CA45" s="2" t="inlineStr">
        <is>
          <t>2023-10-20</t>
        </is>
      </c>
      <c r="CB45" s="5">
        <f>ROUND(0.0,2)</f>
        <v/>
      </c>
      <c r="CC45" s="3">
        <f>ROUND(0.0,2)</f>
        <v/>
      </c>
      <c r="CD45" s="3">
        <f>ROUND(0.0,2)</f>
        <v/>
      </c>
      <c r="CE45" s="3">
        <f>ROUND(0.0,2)</f>
        <v/>
      </c>
      <c r="CF45" s="3">
        <f>ROUND(0.0,2)</f>
        <v/>
      </c>
      <c r="CG45" s="3">
        <f>ROUND(0.0,2)</f>
        <v/>
      </c>
      <c r="CH45" s="3">
        <f>ROUND(0.0,2)</f>
        <v/>
      </c>
      <c r="CI45" s="3">
        <f>ROUND(0.0,2)</f>
        <v/>
      </c>
      <c r="CJ45" s="4">
        <f>IFERROR((CD45/CC45),0)</f>
        <v/>
      </c>
      <c r="CK45" s="4">
        <f>IFERROR(((0+CB11+CB12+CB13+CB14+CB15+CB16+CB17+CB19+CB20+CB21+CB22+CB23+CB24+CB25+CB27+CB28+CB29+CB30+CB31+CB32+CB33+CB35+CB36+CB37+CB38+CB39+CB40+CB41+CB43+CB44+CB45)/T2),0)</f>
        <v/>
      </c>
      <c r="CL45" s="5">
        <f>IFERROR(ROUND(CB45/CD45,2),0)</f>
        <v/>
      </c>
      <c r="CM45" s="5">
        <f>IFERROR(ROUND(CB45/CE45,2),0)</f>
        <v/>
      </c>
      <c r="CN45" s="2" t="inlineStr">
        <is>
          <t>2023-10-20</t>
        </is>
      </c>
      <c r="CO45" s="5">
        <f>ROUND(0.0,2)</f>
        <v/>
      </c>
      <c r="CP45" s="3">
        <f>ROUND(0.0,2)</f>
        <v/>
      </c>
      <c r="CQ45" s="3">
        <f>ROUND(0.0,2)</f>
        <v/>
      </c>
      <c r="CR45" s="3">
        <f>ROUND(0.0,2)</f>
        <v/>
      </c>
      <c r="CS45" s="3">
        <f>ROUND(0.0,2)</f>
        <v/>
      </c>
      <c r="CT45" s="3">
        <f>ROUND(0.0,2)</f>
        <v/>
      </c>
      <c r="CU45" s="3">
        <f>ROUND(0.0,2)</f>
        <v/>
      </c>
      <c r="CV45" s="3">
        <f>ROUND(0.0,2)</f>
        <v/>
      </c>
      <c r="CW45" s="4">
        <f>IFERROR((CQ45/CP45),0)</f>
        <v/>
      </c>
      <c r="CX45" s="4">
        <f>IFERROR(((0+CO11+CO12+CO13+CO14+CO15+CO16+CO17+CO19+CO20+CO21+CO22+CO23+CO24+CO25+CO27+CO28+CO29+CO30+CO31+CO32+CO33+CO35+CO36+CO37+CO38+CO39+CO40+CO41+CO43+CO44+CO45)/T2),0)</f>
        <v/>
      </c>
      <c r="CY45" s="5">
        <f>IFERROR(ROUND(CO45/CQ45,2),0)</f>
        <v/>
      </c>
      <c r="CZ45" s="5">
        <f>IFERROR(ROUND(CO45/CR45,2),0)</f>
        <v/>
      </c>
      <c r="DA45" s="2" t="inlineStr">
        <is>
          <t>2023-10-20</t>
        </is>
      </c>
      <c r="DB45" s="5">
        <f>ROUND(0.0,2)</f>
        <v/>
      </c>
      <c r="DC45" s="3">
        <f>ROUND(0.0,2)</f>
        <v/>
      </c>
      <c r="DD45" s="3">
        <f>ROUND(0.0,2)</f>
        <v/>
      </c>
      <c r="DE45" s="3">
        <f>ROUND(0.0,2)</f>
        <v/>
      </c>
      <c r="DF45" s="3">
        <f>ROUND(0.0,2)</f>
        <v/>
      </c>
      <c r="DG45" s="3">
        <f>ROUND(0.0,2)</f>
        <v/>
      </c>
      <c r="DH45" s="3">
        <f>ROUND(0.0,2)</f>
        <v/>
      </c>
      <c r="DI45" s="3">
        <f>ROUND(0.0,2)</f>
        <v/>
      </c>
      <c r="DJ45" s="4">
        <f>IFERROR((DD45/DC45),0)</f>
        <v/>
      </c>
      <c r="DK45" s="4">
        <f>IFERROR(((0+DB11+DB12+DB13+DB14+DB15+DB16+DB17+DB19+DB20+DB21+DB22+DB23+DB24+DB25+DB27+DB28+DB29+DB30+DB31+DB32+DB33+DB35+DB36+DB37+DB38+DB39+DB40+DB41+DB43+DB44+DB45)/T2),0)</f>
        <v/>
      </c>
      <c r="DL45" s="5">
        <f>IFERROR(ROUND(DB45/DD45,2),0)</f>
        <v/>
      </c>
      <c r="DM45" s="5">
        <f>IFERROR(ROUND(DB45/DE45,2),0)</f>
        <v/>
      </c>
      <c r="DN45" s="2" t="inlineStr">
        <is>
          <t>2023-10-20</t>
        </is>
      </c>
      <c r="DO45" s="5">
        <f>ROUND(0.0,2)</f>
        <v/>
      </c>
      <c r="DP45" s="3">
        <f>ROUND(0.0,2)</f>
        <v/>
      </c>
      <c r="DQ45" s="3">
        <f>ROUND(0.0,2)</f>
        <v/>
      </c>
      <c r="DR45" s="3">
        <f>ROUND(0.0,2)</f>
        <v/>
      </c>
      <c r="DS45" s="3">
        <f>ROUND(0.0,2)</f>
        <v/>
      </c>
      <c r="DT45" s="3">
        <f>ROUND(0.0,2)</f>
        <v/>
      </c>
      <c r="DU45" s="3">
        <f>ROUND(0.0,2)</f>
        <v/>
      </c>
      <c r="DV45" s="3">
        <f>ROUND(0.0,2)</f>
        <v/>
      </c>
      <c r="DW45" s="4">
        <f>IFERROR((DQ45/DP45),0)</f>
        <v/>
      </c>
      <c r="DX45" s="4">
        <f>IFERROR(((0+DO11+DO12+DO13+DO14+DO15+DO16+DO17+DO19+DO20+DO21+DO22+DO23+DO24+DO25+DO27+DO28+DO29+DO30+DO31+DO32+DO33+DO35+DO36+DO37+DO38+DO39+DO40+DO41+DO43+DO44+DO45)/T2),0)</f>
        <v/>
      </c>
      <c r="DY45" s="5">
        <f>IFERROR(ROUND(DO45/DQ45,2),0)</f>
        <v/>
      </c>
      <c r="DZ45" s="5">
        <f>IFERROR(ROUND(DO45/DR45,2),0)</f>
        <v/>
      </c>
      <c r="EA45" s="2" t="inlineStr">
        <is>
          <t>2023-10-20</t>
        </is>
      </c>
      <c r="EB45" s="5">
        <f>ROUND(0.0,2)</f>
        <v/>
      </c>
      <c r="EC45" s="3">
        <f>ROUND(0.0,2)</f>
        <v/>
      </c>
      <c r="ED45" s="3">
        <f>ROUND(0.0,2)</f>
        <v/>
      </c>
      <c r="EE45" s="3">
        <f>ROUND(0.0,2)</f>
        <v/>
      </c>
      <c r="EF45" s="3">
        <f>ROUND(0.0,2)</f>
        <v/>
      </c>
      <c r="EG45" s="3">
        <f>ROUND(0.0,2)</f>
        <v/>
      </c>
      <c r="EH45" s="3">
        <f>ROUND(0.0,2)</f>
        <v/>
      </c>
      <c r="EI45" s="3">
        <f>ROUND(0.0,2)</f>
        <v/>
      </c>
      <c r="EJ45" s="4">
        <f>IFERROR((ED45/EC45),0)</f>
        <v/>
      </c>
      <c r="EK45" s="4">
        <f>IFERROR(((0+EB11+EB12+EB13+EB14+EB15+EB16+EB17+EB19+EB20+EB21+EB22+EB23+EB24+EB25+EB27+EB28+EB29+EB30+EB31+EB32+EB33+EB35+EB36+EB37+EB38+EB39+EB40+EB41+EB43+EB44+EB45)/T2),0)</f>
        <v/>
      </c>
      <c r="EL45" s="5">
        <f>IFERROR(ROUND(EB45/ED45,2),0)</f>
        <v/>
      </c>
      <c r="EM45" s="5">
        <f>IFERROR(ROUND(EB45/EE45,2),0)</f>
        <v/>
      </c>
      <c r="EN45" s="2" t="inlineStr">
        <is>
          <t>2023-10-20</t>
        </is>
      </c>
      <c r="EO45" s="5">
        <f>ROUND(0.0,2)</f>
        <v/>
      </c>
      <c r="EP45" s="3">
        <f>ROUND(0.0,2)</f>
        <v/>
      </c>
      <c r="EQ45" s="3">
        <f>ROUND(0.0,2)</f>
        <v/>
      </c>
      <c r="ER45" s="3">
        <f>ROUND(0.0,2)</f>
        <v/>
      </c>
      <c r="ES45" s="3">
        <f>ROUND(0.0,2)</f>
        <v/>
      </c>
      <c r="ET45" s="3">
        <f>ROUND(0.0,2)</f>
        <v/>
      </c>
      <c r="EU45" s="3">
        <f>ROUND(0.0,2)</f>
        <v/>
      </c>
      <c r="EV45" s="3">
        <f>ROUND(0.0,2)</f>
        <v/>
      </c>
      <c r="EW45" s="4">
        <f>IFERROR((EQ45/EP45),0)</f>
        <v/>
      </c>
      <c r="EX45" s="4">
        <f>IFERROR(((0+EO11+EO12+EO13+EO14+EO15+EO16+EO17+EO19+EO20+EO21+EO22+EO23+EO24+EO25+EO27+EO28+EO29+EO30+EO31+EO32+EO33+EO35+EO36+EO37+EO38+EO39+EO40+EO41+EO43+EO44+EO45)/T2),0)</f>
        <v/>
      </c>
      <c r="EY45" s="5">
        <f>IFERROR(ROUND(EO45/EQ45,2),0)</f>
        <v/>
      </c>
      <c r="EZ45" s="5">
        <f>IFERROR(ROUND(EO45/ER45,2),0)</f>
        <v/>
      </c>
      <c r="FA45" s="2" t="inlineStr">
        <is>
          <t>2023-10-20</t>
        </is>
      </c>
      <c r="FB45" s="5">
        <f>ROUND(0.0,2)</f>
        <v/>
      </c>
      <c r="FC45" s="3">
        <f>ROUND(0.0,2)</f>
        <v/>
      </c>
      <c r="FD45" s="3">
        <f>ROUND(0.0,2)</f>
        <v/>
      </c>
      <c r="FE45" s="3">
        <f>ROUND(0.0,2)</f>
        <v/>
      </c>
      <c r="FF45" s="3">
        <f>ROUND(0.0,2)</f>
        <v/>
      </c>
      <c r="FG45" s="3">
        <f>ROUND(0.0,2)</f>
        <v/>
      </c>
      <c r="FH45" s="3">
        <f>ROUND(0.0,2)</f>
        <v/>
      </c>
      <c r="FI45" s="3">
        <f>ROUND(0.0,2)</f>
        <v/>
      </c>
      <c r="FJ45" s="4">
        <f>IFERROR((FD45/FC45),0)</f>
        <v/>
      </c>
      <c r="FK45" s="4">
        <f>IFERROR(((0+FB11+FB12+FB13+FB14+FB15+FB16+FB17+FB19+FB20+FB21+FB22+FB23+FB24+FB25+FB27+FB28+FB29+FB30+FB31+FB32+FB33+FB35+FB36+FB37+FB38+FB39+FB40+FB41+FB43+FB44+FB45)/T2),0)</f>
        <v/>
      </c>
      <c r="FL45" s="5">
        <f>IFERROR(ROUND(FB45/FD45,2),0)</f>
        <v/>
      </c>
      <c r="FM45" s="5">
        <f>IFERROR(ROUND(FB45/FE45,2),0)</f>
        <v/>
      </c>
      <c r="FN45" s="2" t="inlineStr">
        <is>
          <t>2023-10-20</t>
        </is>
      </c>
      <c r="FO45" s="5">
        <f>ROUND(0.0,2)</f>
        <v/>
      </c>
      <c r="FP45" s="3">
        <f>ROUND(0.0,2)</f>
        <v/>
      </c>
      <c r="FQ45" s="3">
        <f>ROUND(0.0,2)</f>
        <v/>
      </c>
      <c r="FR45" s="3">
        <f>ROUND(0.0,2)</f>
        <v/>
      </c>
      <c r="FS45" s="3">
        <f>ROUND(0.0,2)</f>
        <v/>
      </c>
      <c r="FT45" s="3">
        <f>ROUND(0.0,2)</f>
        <v/>
      </c>
      <c r="FU45" s="3">
        <f>ROUND(0.0,2)</f>
        <v/>
      </c>
      <c r="FV45" s="3">
        <f>ROUND(0.0,2)</f>
        <v/>
      </c>
      <c r="FW45" s="4">
        <f>IFERROR((FQ45/FP45),0)</f>
        <v/>
      </c>
      <c r="FX45" s="4">
        <f>IFERROR(((0+FO11+FO12+FO13+FO14+FO15+FO16+FO17+FO19+FO20+FO21+FO22+FO23+FO24+FO25+FO27+FO28+FO29+FO30+FO31+FO32+FO33+FO35+FO36+FO37+FO38+FO39+FO40+FO41+FO43+FO44+FO45)/T2),0)</f>
        <v/>
      </c>
      <c r="FY45" s="5">
        <f>IFERROR(ROUND(FO45/FQ45,2),0)</f>
        <v/>
      </c>
      <c r="FZ45" s="5">
        <f>IFERROR(ROUND(FO45/FR45,2),0)</f>
        <v/>
      </c>
      <c r="GA45" s="2" t="inlineStr">
        <is>
          <t>2023-10-20</t>
        </is>
      </c>
      <c r="GB45" s="5">
        <f>ROUND(0.0,2)</f>
        <v/>
      </c>
      <c r="GC45" s="3">
        <f>ROUND(0.0,2)</f>
        <v/>
      </c>
      <c r="GD45" s="3">
        <f>ROUND(0.0,2)</f>
        <v/>
      </c>
      <c r="GE45" s="3">
        <f>ROUND(0.0,2)</f>
        <v/>
      </c>
      <c r="GF45" s="3">
        <f>ROUND(0.0,2)</f>
        <v/>
      </c>
      <c r="GG45" s="3">
        <f>ROUND(0.0,2)</f>
        <v/>
      </c>
      <c r="GH45" s="3">
        <f>ROUND(0.0,2)</f>
        <v/>
      </c>
      <c r="GI45" s="3">
        <f>ROUND(0.0,2)</f>
        <v/>
      </c>
      <c r="GJ45" s="4">
        <f>IFERROR((GD45/GC45),0)</f>
        <v/>
      </c>
      <c r="GK45" s="4">
        <f>IFERROR(((0+GB11+GB12+GB13+GB14+GB15+GB16+GB17+GB19+GB20+GB21+GB22+GB23+GB24+GB25+GB27+GB28+GB29+GB30+GB31+GB32+GB33+GB35+GB36+GB37+GB38+GB39+GB40+GB41+GB43+GB44+GB45)/T2),0)</f>
        <v/>
      </c>
      <c r="GL45" s="5">
        <f>IFERROR(ROUND(GB45/GD45,2),0)</f>
        <v/>
      </c>
      <c r="GM45" s="5">
        <f>IFERROR(ROUND(GB45/GE45,2),0)</f>
        <v/>
      </c>
      <c r="GN45" s="2" t="inlineStr">
        <is>
          <t>2023-10-20</t>
        </is>
      </c>
      <c r="GO45" s="5">
        <f>ROUND(0.0,2)</f>
        <v/>
      </c>
      <c r="GP45" s="3">
        <f>ROUND(0.0,2)</f>
        <v/>
      </c>
      <c r="GQ45" s="3">
        <f>ROUND(0.0,2)</f>
        <v/>
      </c>
      <c r="GR45" s="3">
        <f>ROUND(0.0,2)</f>
        <v/>
      </c>
      <c r="GS45" s="3">
        <f>ROUND(0.0,2)</f>
        <v/>
      </c>
      <c r="GT45" s="3">
        <f>ROUND(0.0,2)</f>
        <v/>
      </c>
      <c r="GU45" s="3">
        <f>ROUND(0.0,2)</f>
        <v/>
      </c>
      <c r="GV45" s="3">
        <f>ROUND(0.0,2)</f>
        <v/>
      </c>
      <c r="GW45" s="4">
        <f>IFERROR((GQ45/GP45),0)</f>
        <v/>
      </c>
      <c r="GX45" s="4">
        <f>IFERROR(((0+GO11+GO12+GO13+GO14+GO15+GO16+GO17+GO19+GO20+GO21+GO22+GO23+GO24+GO25+GO27+GO28+GO29+GO30+GO31+GO32+GO33+GO35+GO36+GO37+GO38+GO39+GO40+GO41+GO43+GO44+GO45)/T2),0)</f>
        <v/>
      </c>
      <c r="GY45" s="5">
        <f>IFERROR(ROUND(GO45/GQ45,2),0)</f>
        <v/>
      </c>
      <c r="GZ45" s="5">
        <f>IFERROR(ROUND(GO45/GR45,2),0)</f>
        <v/>
      </c>
      <c r="HA45" s="2" t="inlineStr">
        <is>
          <t>2023-10-20</t>
        </is>
      </c>
      <c r="HB45" s="5">
        <f>ROUND(0.0,2)</f>
        <v/>
      </c>
      <c r="HC45" s="3">
        <f>ROUND(0.0,2)</f>
        <v/>
      </c>
      <c r="HD45" s="3">
        <f>ROUND(0.0,2)</f>
        <v/>
      </c>
      <c r="HE45" s="3">
        <f>ROUND(0.0,2)</f>
        <v/>
      </c>
      <c r="HF45" s="3">
        <f>ROUND(0.0,2)</f>
        <v/>
      </c>
      <c r="HG45" s="3">
        <f>ROUND(0.0,2)</f>
        <v/>
      </c>
      <c r="HH45" s="3">
        <f>ROUND(0.0,2)</f>
        <v/>
      </c>
      <c r="HI45" s="3">
        <f>ROUND(0.0,2)</f>
        <v/>
      </c>
      <c r="HJ45" s="4">
        <f>IFERROR((HD45/HC45),0)</f>
        <v/>
      </c>
      <c r="HK45" s="4">
        <f>IFERROR(((0+HB11+HB12+HB13+HB14+HB15+HB16+HB17+HB19+HB20+HB21+HB22+HB23+HB24+HB25+HB27+HB28+HB29+HB30+HB31+HB32+HB33+HB35+HB36+HB37+HB38+HB39+HB40+HB41+HB43+HB44+HB45)/T2),0)</f>
        <v/>
      </c>
      <c r="HL45" s="5">
        <f>IFERROR(ROUND(HB45/HD45,2),0)</f>
        <v/>
      </c>
      <c r="HM45" s="5">
        <f>IFERROR(ROUND(HB45/HE45,2),0)</f>
        <v/>
      </c>
      <c r="HN45" s="2" t="inlineStr">
        <is>
          <t>2023-10-20</t>
        </is>
      </c>
      <c r="HO45" s="5">
        <f>ROUND(0.0,2)</f>
        <v/>
      </c>
      <c r="HP45" s="3">
        <f>ROUND(0.0,2)</f>
        <v/>
      </c>
      <c r="HQ45" s="3">
        <f>ROUND(0.0,2)</f>
        <v/>
      </c>
      <c r="HR45" s="3">
        <f>ROUND(0.0,2)</f>
        <v/>
      </c>
      <c r="HS45" s="3">
        <f>ROUND(0.0,2)</f>
        <v/>
      </c>
      <c r="HT45" s="3">
        <f>ROUND(0.0,2)</f>
        <v/>
      </c>
      <c r="HU45" s="3">
        <f>ROUND(0.0,2)</f>
        <v/>
      </c>
      <c r="HV45" s="3">
        <f>ROUND(0.0,2)</f>
        <v/>
      </c>
      <c r="HW45" s="4">
        <f>IFERROR((HQ45/HP45),0)</f>
        <v/>
      </c>
      <c r="HX45" s="4">
        <f>IFERROR(((0+HO11+HO12+HO13+HO14+HO15+HO16+HO17+HO19+HO20+HO21+HO22+HO23+HO24+HO25+HO27+HO28+HO29+HO30+HO31+HO32+HO33+HO35+HO36+HO37+HO38+HO39+HO40+HO41+HO43+HO44+HO45)/T2),0)</f>
        <v/>
      </c>
      <c r="HY45" s="5">
        <f>IFERROR(ROUND(HO45/HQ45,2),0)</f>
        <v/>
      </c>
      <c r="HZ45" s="5">
        <f>IFERROR(ROUND(HO45/HR45,2),0)</f>
        <v/>
      </c>
      <c r="IA45" s="2" t="inlineStr">
        <is>
          <t>2023-10-20</t>
        </is>
      </c>
      <c r="IB45" s="5">
        <f>ROUND(0.0,2)</f>
        <v/>
      </c>
      <c r="IC45" s="3">
        <f>ROUND(0.0,2)</f>
        <v/>
      </c>
      <c r="ID45" s="3">
        <f>ROUND(0.0,2)</f>
        <v/>
      </c>
      <c r="IE45" s="3">
        <f>ROUND(0.0,2)</f>
        <v/>
      </c>
      <c r="IF45" s="3">
        <f>ROUND(0.0,2)</f>
        <v/>
      </c>
      <c r="IG45" s="3">
        <f>ROUND(0.0,2)</f>
        <v/>
      </c>
      <c r="IH45" s="3">
        <f>ROUND(0.0,2)</f>
        <v/>
      </c>
      <c r="II45" s="3">
        <f>ROUND(0.0,2)</f>
        <v/>
      </c>
      <c r="IJ45" s="4">
        <f>IFERROR((ID45/IC45),0)</f>
        <v/>
      </c>
      <c r="IK45" s="4">
        <f>IFERROR(((0+IB11+IB12+IB13+IB14+IB15+IB16+IB17+IB19+IB20+IB21+IB22+IB23+IB24+IB25+IB27+IB28+IB29+IB30+IB31+IB32+IB33+IB35+IB36+IB37+IB38+IB39+IB40+IB41+IB43+IB44+IB45)/T2),0)</f>
        <v/>
      </c>
      <c r="IL45" s="5">
        <f>IFERROR(ROUND(IB45/ID45,2),0)</f>
        <v/>
      </c>
      <c r="IM45" s="5">
        <f>IFERROR(ROUND(IB45/IE45,2),0)</f>
        <v/>
      </c>
      <c r="IN45" s="2" t="inlineStr">
        <is>
          <t>2023-10-20</t>
        </is>
      </c>
      <c r="IO45" s="5">
        <f>ROUND(0.0,2)</f>
        <v/>
      </c>
      <c r="IP45" s="3">
        <f>ROUND(0.0,2)</f>
        <v/>
      </c>
      <c r="IQ45" s="3">
        <f>ROUND(0.0,2)</f>
        <v/>
      </c>
      <c r="IR45" s="3">
        <f>ROUND(0.0,2)</f>
        <v/>
      </c>
      <c r="IS45" s="3">
        <f>ROUND(0.0,2)</f>
        <v/>
      </c>
      <c r="IT45" s="3">
        <f>ROUND(0.0,2)</f>
        <v/>
      </c>
      <c r="IU45" s="3">
        <f>ROUND(0.0,2)</f>
        <v/>
      </c>
      <c r="IV45" s="3">
        <f>ROUND(0.0,2)</f>
        <v/>
      </c>
      <c r="IW45" s="4">
        <f>IFERROR((IQ45/IP45),0)</f>
        <v/>
      </c>
      <c r="IX45" s="4">
        <f>IFERROR(((0+IO11+IO12+IO13+IO14+IO15+IO16+IO17+IO19+IO20+IO21+IO22+IO23+IO24+IO25+IO27+IO28+IO29+IO30+IO31+IO32+IO33+IO35+IO36+IO37+IO38+IO39+IO40+IO41+IO43+IO44+IO45)/T2),0)</f>
        <v/>
      </c>
      <c r="IY45" s="5">
        <f>IFERROR(ROUND(IO45/IQ45,2),0)</f>
        <v/>
      </c>
      <c r="IZ45" s="5">
        <f>IFERROR(ROUND(IO45/IR45,2),0)</f>
        <v/>
      </c>
      <c r="JA45" s="2" t="inlineStr">
        <is>
          <t>2023-10-20</t>
        </is>
      </c>
      <c r="JB45" s="5">
        <f>ROUND(0.0,2)</f>
        <v/>
      </c>
      <c r="JC45" s="3">
        <f>ROUND(0.0,2)</f>
        <v/>
      </c>
      <c r="JD45" s="3">
        <f>ROUND(0.0,2)</f>
        <v/>
      </c>
      <c r="JE45" s="3">
        <f>ROUND(0.0,2)</f>
        <v/>
      </c>
      <c r="JF45" s="3">
        <f>ROUND(0.0,2)</f>
        <v/>
      </c>
      <c r="JG45" s="3">
        <f>ROUND(0.0,2)</f>
        <v/>
      </c>
      <c r="JH45" s="3">
        <f>ROUND(0.0,2)</f>
        <v/>
      </c>
      <c r="JI45" s="3">
        <f>ROUND(0.0,2)</f>
        <v/>
      </c>
      <c r="JJ45" s="4">
        <f>IFERROR((JD45/JC45),0)</f>
        <v/>
      </c>
      <c r="JK45" s="4">
        <f>IFERROR(((0+JB11+JB12+JB13+JB14+JB15+JB16+JB17+JB19+JB20+JB21+JB22+JB23+JB24+JB25+JB27+JB28+JB29+JB30+JB31+JB32+JB33+JB35+JB36+JB37+JB38+JB39+JB40+JB41+JB43+JB44+JB45)/T2),0)</f>
        <v/>
      </c>
      <c r="JL45" s="5">
        <f>IFERROR(ROUND(JB45/JD45,2),0)</f>
        <v/>
      </c>
      <c r="JM45" s="5">
        <f>IFERROR(ROUND(JB45/JE45,2),0)</f>
        <v/>
      </c>
      <c r="JN45" s="2" t="inlineStr">
        <is>
          <t>2023-10-20</t>
        </is>
      </c>
      <c r="JO45" s="5">
        <f>ROUND(0.0,2)</f>
        <v/>
      </c>
      <c r="JP45" s="3">
        <f>ROUND(0.0,2)</f>
        <v/>
      </c>
      <c r="JQ45" s="3">
        <f>ROUND(0.0,2)</f>
        <v/>
      </c>
      <c r="JR45" s="3">
        <f>ROUND(0.0,2)</f>
        <v/>
      </c>
      <c r="JS45" s="3">
        <f>ROUND(0.0,2)</f>
        <v/>
      </c>
      <c r="JT45" s="3">
        <f>ROUND(0.0,2)</f>
        <v/>
      </c>
      <c r="JU45" s="3">
        <f>ROUND(0.0,2)</f>
        <v/>
      </c>
      <c r="JV45" s="3">
        <f>ROUND(0.0,2)</f>
        <v/>
      </c>
      <c r="JW45" s="4">
        <f>IFERROR((JQ45/JP45),0)</f>
        <v/>
      </c>
      <c r="JX45" s="4">
        <f>IFERROR(((0+JO11+JO12+JO13+JO14+JO15+JO16+JO17+JO19+JO20+JO21+JO22+JO23+JO24+JO25+JO27+JO28+JO29+JO30+JO31+JO32+JO33+JO35+JO36+JO37+JO38+JO39+JO40+JO41+JO43+JO44+JO45)/T2),0)</f>
        <v/>
      </c>
      <c r="JY45" s="5">
        <f>IFERROR(ROUND(JO45/JQ45,2),0)</f>
        <v/>
      </c>
      <c r="JZ45" s="5">
        <f>IFERROR(ROUND(JO45/JR45,2),0)</f>
        <v/>
      </c>
      <c r="KA45" s="2" t="inlineStr">
        <is>
          <t>2023-10-20</t>
        </is>
      </c>
      <c r="KB45" s="5">
        <f>ROUND(0.0,2)</f>
        <v/>
      </c>
      <c r="KC45" s="3">
        <f>ROUND(0.0,2)</f>
        <v/>
      </c>
      <c r="KD45" s="3">
        <f>ROUND(0.0,2)</f>
        <v/>
      </c>
      <c r="KE45" s="3">
        <f>ROUND(0.0,2)</f>
        <v/>
      </c>
      <c r="KF45" s="3">
        <f>ROUND(0.0,2)</f>
        <v/>
      </c>
      <c r="KG45" s="3">
        <f>ROUND(0.0,2)</f>
        <v/>
      </c>
      <c r="KH45" s="3">
        <f>ROUND(0.0,2)</f>
        <v/>
      </c>
      <c r="KI45" s="3">
        <f>ROUND(0.0,2)</f>
        <v/>
      </c>
      <c r="KJ45" s="4">
        <f>IFERROR((KD45/KC45),0)</f>
        <v/>
      </c>
      <c r="KK45" s="4">
        <f>IFERROR(((0+KB11+KB12+KB13+KB14+KB15+KB16+KB17+KB19+KB20+KB21+KB22+KB23+KB24+KB25+KB27+KB28+KB29+KB30+KB31+KB32+KB33+KB35+KB36+KB37+KB38+KB39+KB40+KB41+KB43+KB44+KB45)/T2),0)</f>
        <v/>
      </c>
      <c r="KL45" s="5">
        <f>IFERROR(ROUND(KB45/KD45,2),0)</f>
        <v/>
      </c>
      <c r="KM45" s="5">
        <f>IFERROR(ROUND(KB45/KE45,2),0)</f>
        <v/>
      </c>
      <c r="KN45" s="2" t="inlineStr">
        <is>
          <t>2023-10-20</t>
        </is>
      </c>
      <c r="KO45" s="5">
        <f>ROUND(0.0,2)</f>
        <v/>
      </c>
      <c r="KP45" s="3">
        <f>ROUND(0.0,2)</f>
        <v/>
      </c>
      <c r="KQ45" s="3">
        <f>ROUND(0.0,2)</f>
        <v/>
      </c>
      <c r="KR45" s="3">
        <f>ROUND(0.0,2)</f>
        <v/>
      </c>
      <c r="KS45" s="3">
        <f>ROUND(0.0,2)</f>
        <v/>
      </c>
      <c r="KT45" s="3">
        <f>ROUND(0.0,2)</f>
        <v/>
      </c>
      <c r="KU45" s="3">
        <f>ROUND(0.0,2)</f>
        <v/>
      </c>
      <c r="KV45" s="3">
        <f>ROUND(0.0,2)</f>
        <v/>
      </c>
      <c r="KW45" s="4">
        <f>IFERROR((KQ45/KP45),0)</f>
        <v/>
      </c>
      <c r="KX45" s="4">
        <f>IFERROR(((0+KO11+KO12+KO13+KO14+KO15+KO16+KO17+KO19+KO20+KO21+KO22+KO23+KO24+KO25+KO27+KO28+KO29+KO30+KO31+KO32+KO33+KO35+KO36+KO37+KO38+KO39+KO40+KO41+KO43+KO44+KO45)/T2),0)</f>
        <v/>
      </c>
      <c r="KY45" s="5">
        <f>IFERROR(ROUND(KO45/KQ45,2),0)</f>
        <v/>
      </c>
      <c r="KZ45" s="5">
        <f>IFERROR(ROUND(KO45/KR45,2),0)</f>
        <v/>
      </c>
      <c r="LA45" s="2" t="inlineStr">
        <is>
          <t>2023-10-20</t>
        </is>
      </c>
      <c r="LB45" s="5">
        <f>ROUND(0.0,2)</f>
        <v/>
      </c>
      <c r="LC45" s="3">
        <f>ROUND(0.0,2)</f>
        <v/>
      </c>
      <c r="LD45" s="3">
        <f>ROUND(0.0,2)</f>
        <v/>
      </c>
      <c r="LE45" s="3">
        <f>ROUND(0.0,2)</f>
        <v/>
      </c>
      <c r="LF45" s="3">
        <f>ROUND(0.0,2)</f>
        <v/>
      </c>
      <c r="LG45" s="3">
        <f>ROUND(0.0,2)</f>
        <v/>
      </c>
      <c r="LH45" s="3">
        <f>ROUND(0.0,2)</f>
        <v/>
      </c>
      <c r="LI45" s="3">
        <f>ROUND(0.0,2)</f>
        <v/>
      </c>
      <c r="LJ45" s="4">
        <f>IFERROR((LD45/LC45),0)</f>
        <v/>
      </c>
      <c r="LK45" s="4">
        <f>IFERROR(((0+LB11+LB12+LB13+LB14+LB15+LB16+LB17+LB19+LB20+LB21+LB22+LB23+LB24+LB25+LB27+LB28+LB29+LB30+LB31+LB32+LB33+LB35+LB36+LB37+LB38+LB39+LB40+LB41+LB43+LB44+LB45)/T2),0)</f>
        <v/>
      </c>
      <c r="LL45" s="5">
        <f>IFERROR(ROUND(LB45/LD45,2),0)</f>
        <v/>
      </c>
      <c r="LM45" s="5">
        <f>IFERROR(ROUND(LB45/LE45,2),0)</f>
        <v/>
      </c>
      <c r="LN45" s="2" t="inlineStr">
        <is>
          <t>2023-10-20</t>
        </is>
      </c>
      <c r="LO45" s="5">
        <f>ROUND(0.0,2)</f>
        <v/>
      </c>
      <c r="LP45" s="3">
        <f>ROUND(0.0,2)</f>
        <v/>
      </c>
      <c r="LQ45" s="3">
        <f>ROUND(0.0,2)</f>
        <v/>
      </c>
      <c r="LR45" s="3">
        <f>ROUND(0.0,2)</f>
        <v/>
      </c>
      <c r="LS45" s="3">
        <f>ROUND(0.0,2)</f>
        <v/>
      </c>
      <c r="LT45" s="3">
        <f>ROUND(0.0,2)</f>
        <v/>
      </c>
      <c r="LU45" s="3">
        <f>ROUND(0.0,2)</f>
        <v/>
      </c>
      <c r="LV45" s="3">
        <f>ROUND(0.0,2)</f>
        <v/>
      </c>
      <c r="LW45" s="4">
        <f>IFERROR((LQ45/LP45),0)</f>
        <v/>
      </c>
      <c r="LX45" s="4">
        <f>IFERROR(((0+LO11+LO12+LO13+LO14+LO15+LO16+LO17+LO19+LO20+LO21+LO22+LO23+LO24+LO25+LO27+LO28+LO29+LO30+LO31+LO32+LO33+LO35+LO36+LO37+LO38+LO39+LO40+LO41+LO43+LO44+LO45)/T2),0)</f>
        <v/>
      </c>
      <c r="LY45" s="5">
        <f>IFERROR(ROUND(LO45/LQ45,2),0)</f>
        <v/>
      </c>
      <c r="LZ45" s="5">
        <f>IFERROR(ROUND(LO45/LR45,2),0)</f>
        <v/>
      </c>
      <c r="MA45" s="2" t="inlineStr">
        <is>
          <t>2023-10-20</t>
        </is>
      </c>
      <c r="MB45" s="5">
        <f>ROUND(0.0,2)</f>
        <v/>
      </c>
      <c r="MC45" s="3">
        <f>ROUND(0.0,2)</f>
        <v/>
      </c>
      <c r="MD45" s="3">
        <f>ROUND(0.0,2)</f>
        <v/>
      </c>
      <c r="ME45" s="3">
        <f>ROUND(0.0,2)</f>
        <v/>
      </c>
      <c r="MF45" s="3">
        <f>ROUND(0.0,2)</f>
        <v/>
      </c>
      <c r="MG45" s="3">
        <f>ROUND(0.0,2)</f>
        <v/>
      </c>
      <c r="MH45" s="3">
        <f>ROUND(0.0,2)</f>
        <v/>
      </c>
      <c r="MI45" s="3">
        <f>ROUND(0.0,2)</f>
        <v/>
      </c>
      <c r="MJ45" s="4">
        <f>IFERROR((MD45/MC45),0)</f>
        <v/>
      </c>
      <c r="MK45" s="4">
        <f>IFERROR(((0+MB11+MB12+MB13+MB14+MB15+MB16+MB17+MB19+MB20+MB21+MB22+MB23+MB24+MB25+MB27+MB28+MB29+MB30+MB31+MB32+MB33+MB35+MB36+MB37+MB38+MB39+MB40+MB41+MB43+MB44+MB45)/T2),0)</f>
        <v/>
      </c>
      <c r="ML45" s="5">
        <f>IFERROR(ROUND(MB45/MD45,2),0)</f>
        <v/>
      </c>
      <c r="MM45" s="5">
        <f>IFERROR(ROUND(MB45/ME45,2),0)</f>
        <v/>
      </c>
      <c r="MN45" s="2" t="inlineStr">
        <is>
          <t>2023-10-20</t>
        </is>
      </c>
      <c r="MO45" s="5">
        <f>ROUND(0.0,2)</f>
        <v/>
      </c>
      <c r="MP45" s="3">
        <f>ROUND(0.0,2)</f>
        <v/>
      </c>
      <c r="MQ45" s="3">
        <f>ROUND(0.0,2)</f>
        <v/>
      </c>
      <c r="MR45" s="3">
        <f>ROUND(0.0,2)</f>
        <v/>
      </c>
      <c r="MS45" s="3">
        <f>ROUND(0.0,2)</f>
        <v/>
      </c>
      <c r="MT45" s="3">
        <f>ROUND(0.0,2)</f>
        <v/>
      </c>
      <c r="MU45" s="3">
        <f>ROUND(0.0,2)</f>
        <v/>
      </c>
      <c r="MV45" s="3">
        <f>ROUND(0.0,2)</f>
        <v/>
      </c>
      <c r="MW45" s="4">
        <f>IFERROR((MQ45/MP45),0)</f>
        <v/>
      </c>
      <c r="MX45" s="4">
        <f>IFERROR(((0+MO11+MO12+MO13+MO14+MO15+MO16+MO17+MO19+MO20+MO21+MO22+MO23+MO24+MO25+MO27+MO28+MO29+MO30+MO31+MO32+MO33+MO35+MO36+MO37+MO38+MO39+MO40+MO41+MO43+MO44+MO45)/T2),0)</f>
        <v/>
      </c>
      <c r="MY45" s="5">
        <f>IFERROR(ROUND(MO45/MQ45,2),0)</f>
        <v/>
      </c>
      <c r="MZ45" s="5">
        <f>IFERROR(ROUND(MO45/MR45,2),0)</f>
        <v/>
      </c>
      <c r="NA45" s="2" t="inlineStr">
        <is>
          <t>2023-10-20</t>
        </is>
      </c>
      <c r="NB45" s="5">
        <f>ROUND(0.0,2)</f>
        <v/>
      </c>
      <c r="NC45" s="3">
        <f>ROUND(0.0,2)</f>
        <v/>
      </c>
      <c r="ND45" s="3">
        <f>ROUND(0.0,2)</f>
        <v/>
      </c>
      <c r="NE45" s="3">
        <f>ROUND(0.0,2)</f>
        <v/>
      </c>
      <c r="NF45" s="3">
        <f>ROUND(0.0,2)</f>
        <v/>
      </c>
      <c r="NG45" s="3">
        <f>ROUND(0.0,2)</f>
        <v/>
      </c>
      <c r="NH45" s="3">
        <f>ROUND(0.0,2)</f>
        <v/>
      </c>
      <c r="NI45" s="3">
        <f>ROUND(0.0,2)</f>
        <v/>
      </c>
      <c r="NJ45" s="4">
        <f>IFERROR((ND45/NC45),0)</f>
        <v/>
      </c>
      <c r="NK45" s="4">
        <f>IFERROR(((0+NB11+NB12+NB13+NB14+NB15+NB16+NB17+NB19+NB20+NB21+NB22+NB23+NB24+NB25+NB27+NB28+NB29+NB30+NB31+NB32+NB33+NB35+NB36+NB37+NB38+NB39+NB40+NB41+NB43+NB44+NB45)/T2),0)</f>
        <v/>
      </c>
      <c r="NL45" s="5">
        <f>IFERROR(ROUND(NB45/ND45,2),0)</f>
        <v/>
      </c>
      <c r="NM45" s="5">
        <f>IFERROR(ROUND(NB45/NE45,2),0)</f>
        <v/>
      </c>
      <c r="NN45" s="2" t="inlineStr">
        <is>
          <t>2023-10-20</t>
        </is>
      </c>
      <c r="NO45" s="5">
        <f>ROUND(0.0,2)</f>
        <v/>
      </c>
      <c r="NP45" s="3">
        <f>ROUND(0.0,2)</f>
        <v/>
      </c>
      <c r="NQ45" s="3">
        <f>ROUND(0.0,2)</f>
        <v/>
      </c>
      <c r="NR45" s="3">
        <f>ROUND(0.0,2)</f>
        <v/>
      </c>
      <c r="NS45" s="3">
        <f>ROUND(0.0,2)</f>
        <v/>
      </c>
      <c r="NT45" s="3">
        <f>ROUND(0.0,2)</f>
        <v/>
      </c>
      <c r="NU45" s="3">
        <f>ROUND(0.0,2)</f>
        <v/>
      </c>
      <c r="NV45" s="3">
        <f>ROUND(0.0,2)</f>
        <v/>
      </c>
      <c r="NW45" s="4">
        <f>IFERROR((NQ45/NP45),0)</f>
        <v/>
      </c>
      <c r="NX45" s="4">
        <f>IFERROR(((0+NO11+NO12+NO13+NO14+NO15+NO16+NO17+NO19+NO20+NO21+NO22+NO23+NO24+NO25+NO27+NO28+NO29+NO30+NO31+NO32+NO33+NO35+NO36+NO37+NO38+NO39+NO40+NO41+NO43+NO44+NO45)/T2),0)</f>
        <v/>
      </c>
      <c r="NY45" s="5">
        <f>IFERROR(ROUND(NO45/NQ45,2),0)</f>
        <v/>
      </c>
      <c r="NZ45" s="5">
        <f>IFERROR(ROUND(NO45/NR45,2),0)</f>
        <v/>
      </c>
      <c r="OA45" s="2" t="inlineStr">
        <is>
          <t>2023-10-20</t>
        </is>
      </c>
      <c r="OB45" s="5">
        <f>ROUND(0.0,2)</f>
        <v/>
      </c>
      <c r="OC45" s="3">
        <f>ROUND(0.0,2)</f>
        <v/>
      </c>
      <c r="OD45" s="3">
        <f>ROUND(0.0,2)</f>
        <v/>
      </c>
      <c r="OE45" s="3">
        <f>ROUND(0.0,2)</f>
        <v/>
      </c>
      <c r="OF45" s="3">
        <f>ROUND(0.0,2)</f>
        <v/>
      </c>
      <c r="OG45" s="3">
        <f>ROUND(0.0,2)</f>
        <v/>
      </c>
      <c r="OH45" s="3">
        <f>ROUND(0.0,2)</f>
        <v/>
      </c>
      <c r="OI45" s="3">
        <f>ROUND(0.0,2)</f>
        <v/>
      </c>
      <c r="OJ45" s="4">
        <f>IFERROR((OD45/OC45),0)</f>
        <v/>
      </c>
      <c r="OK45" s="4">
        <f>IFERROR(((0+OB11+OB12+OB13+OB14+OB15+OB16+OB17+OB19+OB20+OB21+OB22+OB23+OB24+OB25+OB27+OB28+OB29+OB30+OB31+OB32+OB33+OB35+OB36+OB37+OB38+OB39+OB40+OB41+OB43+OB44+OB45)/T2),0)</f>
        <v/>
      </c>
      <c r="OL45" s="5">
        <f>IFERROR(ROUND(OB45/OD45,2),0)</f>
        <v/>
      </c>
      <c r="OM45" s="5">
        <f>IFERROR(ROUND(OB45/OE45,2),0)</f>
        <v/>
      </c>
      <c r="ON45" s="2" t="inlineStr">
        <is>
          <t>2023-10-20</t>
        </is>
      </c>
      <c r="OO45" s="5">
        <f>ROUND(0.0,2)</f>
        <v/>
      </c>
      <c r="OP45" s="3">
        <f>ROUND(0.0,2)</f>
        <v/>
      </c>
      <c r="OQ45" s="3">
        <f>ROUND(0.0,2)</f>
        <v/>
      </c>
      <c r="OR45" s="3">
        <f>ROUND(0.0,2)</f>
        <v/>
      </c>
      <c r="OS45" s="3">
        <f>ROUND(0.0,2)</f>
        <v/>
      </c>
      <c r="OT45" s="3">
        <f>ROUND(0.0,2)</f>
        <v/>
      </c>
      <c r="OU45" s="3">
        <f>ROUND(0.0,2)</f>
        <v/>
      </c>
      <c r="OV45" s="3">
        <f>ROUND(0.0,2)</f>
        <v/>
      </c>
      <c r="OW45" s="4">
        <f>IFERROR((OQ45/OP45),0)</f>
        <v/>
      </c>
      <c r="OX45" s="4">
        <f>IFERROR(((0+OO11+OO12+OO13+OO14+OO15+OO16+OO17+OO19+OO20+OO21+OO22+OO23+OO24+OO25+OO27+OO28+OO29+OO30+OO31+OO32+OO33+OO35+OO36+OO37+OO38+OO39+OO40+OO41+OO43+OO44+OO45)/T2),0)</f>
        <v/>
      </c>
      <c r="OY45" s="5">
        <f>IFERROR(ROUND(OO45/OQ45,2),0)</f>
        <v/>
      </c>
      <c r="OZ45" s="5">
        <f>IFERROR(ROUND(OO45/OR45,2),0)</f>
        <v/>
      </c>
      <c r="PA45" s="2" t="inlineStr">
        <is>
          <t>2023-10-20</t>
        </is>
      </c>
      <c r="PB45" s="5">
        <f>ROUND(0.0,2)</f>
        <v/>
      </c>
      <c r="PC45" s="3">
        <f>ROUND(0.0,2)</f>
        <v/>
      </c>
      <c r="PD45" s="3">
        <f>ROUND(0.0,2)</f>
        <v/>
      </c>
      <c r="PE45" s="3">
        <f>ROUND(0.0,2)</f>
        <v/>
      </c>
      <c r="PF45" s="3">
        <f>ROUND(0.0,2)</f>
        <v/>
      </c>
      <c r="PG45" s="3">
        <f>ROUND(0.0,2)</f>
        <v/>
      </c>
      <c r="PH45" s="3">
        <f>ROUND(0.0,2)</f>
        <v/>
      </c>
      <c r="PI45" s="3">
        <f>ROUND(0.0,2)</f>
        <v/>
      </c>
      <c r="PJ45" s="4">
        <f>IFERROR((PD45/PC45),0)</f>
        <v/>
      </c>
      <c r="PK45" s="4">
        <f>IFERROR(((0+PB11+PB12+PB13+PB14+PB15+PB16+PB17+PB19+PB20+PB21+PB22+PB23+PB24+PB25+PB27+PB28+PB29+PB30+PB31+PB32+PB33+PB35+PB36+PB37+PB38+PB39+PB40+PB41+PB43+PB44+PB45)/T2),0)</f>
        <v/>
      </c>
      <c r="PL45" s="5">
        <f>IFERROR(ROUND(PB45/PD45,2),0)</f>
        <v/>
      </c>
      <c r="PM45" s="5">
        <f>IFERROR(ROUND(PB45/PE45,2),0)</f>
        <v/>
      </c>
      <c r="PN45" s="2" t="inlineStr">
        <is>
          <t>2023-10-20</t>
        </is>
      </c>
      <c r="PO45" s="5">
        <f>ROUND(0.0,2)</f>
        <v/>
      </c>
      <c r="PP45" s="3">
        <f>ROUND(0.0,2)</f>
        <v/>
      </c>
      <c r="PQ45" s="3">
        <f>ROUND(0.0,2)</f>
        <v/>
      </c>
      <c r="PR45" s="3">
        <f>ROUND(0.0,2)</f>
        <v/>
      </c>
      <c r="PS45" s="3">
        <f>ROUND(0.0,2)</f>
        <v/>
      </c>
      <c r="PT45" s="3">
        <f>ROUND(0.0,2)</f>
        <v/>
      </c>
      <c r="PU45" s="3">
        <f>ROUND(0.0,2)</f>
        <v/>
      </c>
      <c r="PV45" s="3">
        <f>ROUND(0.0,2)</f>
        <v/>
      </c>
      <c r="PW45" s="4">
        <f>IFERROR((PQ45/PP45),0)</f>
        <v/>
      </c>
      <c r="PX45" s="4">
        <f>IFERROR(((0+PO11+PO12+PO13+PO14+PO15+PO16+PO17+PO19+PO20+PO21+PO22+PO23+PO24+PO25+PO27+PO28+PO29+PO30+PO31+PO32+PO33+PO35+PO36+PO37+PO38+PO39+PO40+PO41+PO43+PO44+PO45)/T2),0)</f>
        <v/>
      </c>
      <c r="PY45" s="5">
        <f>IFERROR(ROUND(PO45/PQ45,2),0)</f>
        <v/>
      </c>
      <c r="PZ45" s="5">
        <f>IFERROR(ROUND(PO45/PR45,2),0)</f>
        <v/>
      </c>
      <c r="QA45" s="2" t="inlineStr">
        <is>
          <t>2023-10-20</t>
        </is>
      </c>
      <c r="QB45" s="5">
        <f>ROUND(0.0,2)</f>
        <v/>
      </c>
      <c r="QC45" s="3">
        <f>ROUND(0.0,2)</f>
        <v/>
      </c>
      <c r="QD45" s="3">
        <f>ROUND(0.0,2)</f>
        <v/>
      </c>
      <c r="QE45" s="3">
        <f>ROUND(0.0,2)</f>
        <v/>
      </c>
      <c r="QF45" s="3">
        <f>ROUND(0.0,2)</f>
        <v/>
      </c>
      <c r="QG45" s="3">
        <f>ROUND(0.0,2)</f>
        <v/>
      </c>
      <c r="QH45" s="3">
        <f>ROUND(0.0,2)</f>
        <v/>
      </c>
      <c r="QI45" s="3">
        <f>ROUND(0.0,2)</f>
        <v/>
      </c>
      <c r="QJ45" s="4">
        <f>IFERROR((QD45/QC45),0)</f>
        <v/>
      </c>
      <c r="QK45" s="4">
        <f>IFERROR(((0+QB11+QB12+QB13+QB14+QB15+QB16+QB17+QB19+QB20+QB21+QB22+QB23+QB24+QB25+QB27+QB28+QB29+QB30+QB31+QB32+QB33+QB35+QB36+QB37+QB38+QB39+QB40+QB41+QB43+QB44+QB45)/T2),0)</f>
        <v/>
      </c>
      <c r="QL45" s="5">
        <f>IFERROR(ROUND(QB45/QD45,2),0)</f>
        <v/>
      </c>
      <c r="QM45" s="5">
        <f>IFERROR(ROUND(QB45/QE45,2),0)</f>
        <v/>
      </c>
      <c r="QN45" s="2" t="inlineStr">
        <is>
          <t>2023-10-20</t>
        </is>
      </c>
      <c r="QO45" s="5">
        <f>ROUND(0.0,2)</f>
        <v/>
      </c>
      <c r="QP45" s="3">
        <f>ROUND(0.0,2)</f>
        <v/>
      </c>
      <c r="QQ45" s="3">
        <f>ROUND(0.0,2)</f>
        <v/>
      </c>
      <c r="QR45" s="3">
        <f>ROUND(0.0,2)</f>
        <v/>
      </c>
      <c r="QS45" s="3">
        <f>ROUND(0.0,2)</f>
        <v/>
      </c>
      <c r="QT45" s="3">
        <f>ROUND(0.0,2)</f>
        <v/>
      </c>
      <c r="QU45" s="3">
        <f>ROUND(0.0,2)</f>
        <v/>
      </c>
      <c r="QV45" s="3">
        <f>ROUND(0.0,2)</f>
        <v/>
      </c>
      <c r="QW45" s="4">
        <f>IFERROR((QQ45/QP45),0)</f>
        <v/>
      </c>
      <c r="QX45" s="4">
        <f>IFERROR(((0+QO11+QO12+QO13+QO14+QO15+QO16+QO17+QO19+QO20+QO21+QO22+QO23+QO24+QO25+QO27+QO28+QO29+QO30+QO31+QO32+QO33+QO35+QO36+QO37+QO38+QO39+QO40+QO41+QO43+QO44+QO45)/T2),0)</f>
        <v/>
      </c>
      <c r="QY45" s="5">
        <f>IFERROR(ROUND(QO45/QQ45,2),0)</f>
        <v/>
      </c>
      <c r="QZ45" s="5">
        <f>IFERROR(ROUND(QO45/QR45,2),0)</f>
        <v/>
      </c>
      <c r="RA45" s="2" t="inlineStr">
        <is>
          <t>2023-10-20</t>
        </is>
      </c>
      <c r="RB45" s="5">
        <f>ROUND(0.0,2)</f>
        <v/>
      </c>
      <c r="RC45" s="3">
        <f>ROUND(0.0,2)</f>
        <v/>
      </c>
      <c r="RD45" s="3">
        <f>ROUND(0.0,2)</f>
        <v/>
      </c>
      <c r="RE45" s="3">
        <f>ROUND(0.0,2)</f>
        <v/>
      </c>
      <c r="RF45" s="3">
        <f>ROUND(0.0,2)</f>
        <v/>
      </c>
      <c r="RG45" s="3">
        <f>ROUND(0.0,2)</f>
        <v/>
      </c>
      <c r="RH45" s="3">
        <f>ROUND(0.0,2)</f>
        <v/>
      </c>
      <c r="RI45" s="3">
        <f>ROUND(0.0,2)</f>
        <v/>
      </c>
      <c r="RJ45" s="4">
        <f>IFERROR((RD45/RC45),0)</f>
        <v/>
      </c>
      <c r="RK45" s="4">
        <f>IFERROR(((0+RB11+RB12+RB13+RB14+RB15+RB16+RB17+RB19+RB20+RB21+RB22+RB23+RB24+RB25+RB27+RB28+RB29+RB30+RB31+RB32+RB33+RB35+RB36+RB37+RB38+RB39+RB40+RB41+RB43+RB44+RB45)/T2),0)</f>
        <v/>
      </c>
      <c r="RL45" s="5">
        <f>IFERROR(ROUND(RB45/RD45,2),0)</f>
        <v/>
      </c>
      <c r="RM45" s="5">
        <f>IFERROR(ROUND(RB45/RE45,2),0)</f>
        <v/>
      </c>
      <c r="RN45" s="2" t="inlineStr">
        <is>
          <t>2023-10-20</t>
        </is>
      </c>
      <c r="RO45" s="5">
        <f>ROUND(0.0,2)</f>
        <v/>
      </c>
      <c r="RP45" s="3">
        <f>ROUND(0.0,2)</f>
        <v/>
      </c>
      <c r="RQ45" s="3">
        <f>ROUND(0.0,2)</f>
        <v/>
      </c>
      <c r="RR45" s="3">
        <f>ROUND(0.0,2)</f>
        <v/>
      </c>
      <c r="RS45" s="3">
        <f>ROUND(0.0,2)</f>
        <v/>
      </c>
      <c r="RT45" s="3">
        <f>ROUND(0.0,2)</f>
        <v/>
      </c>
      <c r="RU45" s="3">
        <f>ROUND(0.0,2)</f>
        <v/>
      </c>
      <c r="RV45" s="3">
        <f>ROUND(0.0,2)</f>
        <v/>
      </c>
      <c r="RW45" s="4">
        <f>IFERROR((RQ45/RP45),0)</f>
        <v/>
      </c>
      <c r="RX45" s="4">
        <f>IFERROR(((0+RO11+RO12+RO13+RO14+RO15+RO16+RO17+RO19+RO20+RO21+RO22+RO23+RO24+RO25+RO27+RO28+RO29+RO30+RO31+RO32+RO33+RO35+RO36+RO37+RO38+RO39+RO40+RO41+RO43+RO44+RO45)/T2),0)</f>
        <v/>
      </c>
      <c r="RY45" s="5">
        <f>IFERROR(ROUND(RO45/RQ45,2),0)</f>
        <v/>
      </c>
      <c r="RZ45" s="5">
        <f>IFERROR(ROUND(RO45/RR45,2),0)</f>
        <v/>
      </c>
      <c r="SA45" s="2" t="inlineStr">
        <is>
          <t>2023-10-20</t>
        </is>
      </c>
      <c r="SB45" s="5">
        <f>ROUND(0.0,2)</f>
        <v/>
      </c>
      <c r="SC45" s="3">
        <f>ROUND(0.0,2)</f>
        <v/>
      </c>
      <c r="SD45" s="3">
        <f>ROUND(0.0,2)</f>
        <v/>
      </c>
      <c r="SE45" s="3">
        <f>ROUND(0.0,2)</f>
        <v/>
      </c>
      <c r="SF45" s="3">
        <f>ROUND(0.0,2)</f>
        <v/>
      </c>
      <c r="SG45" s="3">
        <f>ROUND(0.0,2)</f>
        <v/>
      </c>
      <c r="SH45" s="3">
        <f>ROUND(0.0,2)</f>
        <v/>
      </c>
      <c r="SI45" s="3">
        <f>ROUND(0.0,2)</f>
        <v/>
      </c>
      <c r="SJ45" s="4">
        <f>IFERROR((SD45/SC45),0)</f>
        <v/>
      </c>
      <c r="SK45" s="4">
        <f>IFERROR(((0+SB11+SB12+SB13+SB14+SB15+SB16+SB17+SB19+SB20+SB21+SB22+SB23+SB24+SB25+SB27+SB28+SB29+SB30+SB31+SB32+SB33+SB35+SB36+SB37+SB38+SB39+SB40+SB41+SB43+SB44+SB45)/T2),0)</f>
        <v/>
      </c>
      <c r="SL45" s="5">
        <f>IFERROR(ROUND(SB45/SD45,2),0)</f>
        <v/>
      </c>
      <c r="SM45" s="5">
        <f>IFERROR(ROUND(SB45/SE45,2),0)</f>
        <v/>
      </c>
      <c r="SN45" s="2" t="inlineStr">
        <is>
          <t>2023-10-20</t>
        </is>
      </c>
      <c r="SO45" s="5">
        <f>ROUND(0.0,2)</f>
        <v/>
      </c>
      <c r="SP45" s="3">
        <f>ROUND(0.0,2)</f>
        <v/>
      </c>
      <c r="SQ45" s="3">
        <f>ROUND(0.0,2)</f>
        <v/>
      </c>
      <c r="SR45" s="3">
        <f>ROUND(0.0,2)</f>
        <v/>
      </c>
      <c r="SS45" s="3">
        <f>ROUND(0.0,2)</f>
        <v/>
      </c>
      <c r="ST45" s="3">
        <f>ROUND(0.0,2)</f>
        <v/>
      </c>
      <c r="SU45" s="3">
        <f>ROUND(0.0,2)</f>
        <v/>
      </c>
      <c r="SV45" s="3">
        <f>ROUND(0.0,2)</f>
        <v/>
      </c>
      <c r="SW45" s="4">
        <f>IFERROR((SQ45/SP45),0)</f>
        <v/>
      </c>
      <c r="SX45" s="4">
        <f>IFERROR(((0+SO11+SO12+SO13+SO14+SO15+SO16+SO17+SO19+SO20+SO21+SO22+SO23+SO24+SO25+SO27+SO28+SO29+SO30+SO31+SO32+SO33+SO35+SO36+SO37+SO38+SO39+SO40+SO41+SO43+SO44+SO45)/T2),0)</f>
        <v/>
      </c>
      <c r="SY45" s="5">
        <f>IFERROR(ROUND(SO45/SQ45,2),0)</f>
        <v/>
      </c>
      <c r="SZ45" s="5">
        <f>IFERROR(ROUND(SO45/SR45,2),0)</f>
        <v/>
      </c>
    </row>
    <row r="46">
      <c r="A46" s="2" t="inlineStr">
        <is>
          <t>2023-10-21</t>
        </is>
      </c>
      <c r="B46" s="5">
        <f>ROUND(0.0,2)</f>
        <v/>
      </c>
      <c r="C46" s="3">
        <f>ROUND(0.0,2)</f>
        <v/>
      </c>
      <c r="D46" s="3">
        <f>ROUND(0.0,2)</f>
        <v/>
      </c>
      <c r="E46" s="3">
        <f>ROUND(0.0,2)</f>
        <v/>
      </c>
      <c r="F46" s="3">
        <f>ROUND(0.0,2)</f>
        <v/>
      </c>
      <c r="G46" s="3">
        <f>ROUND(0.0,2)</f>
        <v/>
      </c>
      <c r="H46" s="3">
        <f>ROUND(0.0,2)</f>
        <v/>
      </c>
      <c r="I46" s="3">
        <f>ROUND(0.0,2)</f>
        <v/>
      </c>
      <c r="J46" s="4">
        <f>IFERROR((D46/C46),0)</f>
        <v/>
      </c>
      <c r="K46" s="4">
        <f>IFERROR(((0+B11+B12+B13+B14+B15+B16+B17+B19+B20+B21+B22+B23+B24+B25+B27+B28+B29+B30+B31+B32+B33+B35+B36+B37+B38+B39+B40+B41+B43+B44+B45+B46)/T2),0)</f>
        <v/>
      </c>
      <c r="L46" s="5">
        <f>IFERROR(ROUND(B46/D46,2),0)</f>
        <v/>
      </c>
      <c r="M46" s="5">
        <f>IFERROR(ROUND(B46/E46,2),0)</f>
        <v/>
      </c>
      <c r="N46" s="2" t="inlineStr">
        <is>
          <t>2023-10-21</t>
        </is>
      </c>
      <c r="O46" s="5">
        <f>ROUND(0.0,2)</f>
        <v/>
      </c>
      <c r="P46" s="3">
        <f>ROUND(0.0,2)</f>
        <v/>
      </c>
      <c r="Q46" s="3">
        <f>ROUND(0.0,2)</f>
        <v/>
      </c>
      <c r="R46" s="3">
        <f>ROUND(0.0,2)</f>
        <v/>
      </c>
      <c r="S46" s="3">
        <f>ROUND(0.0,2)</f>
        <v/>
      </c>
      <c r="T46" s="3">
        <f>ROUND(0.0,2)</f>
        <v/>
      </c>
      <c r="U46" s="3">
        <f>ROUND(0.0,2)</f>
        <v/>
      </c>
      <c r="V46" s="3">
        <f>ROUND(0.0,2)</f>
        <v/>
      </c>
      <c r="W46" s="4">
        <f>IFERROR((Q46/P46),0)</f>
        <v/>
      </c>
      <c r="X46" s="4">
        <f>IFERROR(((0+O11+O12+O13+O14+O15+O16+O17+O19+O20+O21+O22+O23+O24+O25+O27+O28+O29+O30+O31+O32+O33+O35+O36+O37+O38+O39+O40+O41+O43+O44+O45+O46)/T2),0)</f>
        <v/>
      </c>
      <c r="Y46" s="5">
        <f>IFERROR(ROUND(O46/Q46,2),0)</f>
        <v/>
      </c>
      <c r="Z46" s="5">
        <f>IFERROR(ROUND(O46/R46,2),0)</f>
        <v/>
      </c>
      <c r="AA46" s="2" t="inlineStr">
        <is>
          <t>2023-10-21</t>
        </is>
      </c>
      <c r="AB46" s="5">
        <f>ROUND(0.0,2)</f>
        <v/>
      </c>
      <c r="AC46" s="3">
        <f>ROUND(0.0,2)</f>
        <v/>
      </c>
      <c r="AD46" s="3">
        <f>ROUND(0.0,2)</f>
        <v/>
      </c>
      <c r="AE46" s="3">
        <f>ROUND(0.0,2)</f>
        <v/>
      </c>
      <c r="AF46" s="3">
        <f>ROUND(0.0,2)</f>
        <v/>
      </c>
      <c r="AG46" s="3">
        <f>ROUND(0.0,2)</f>
        <v/>
      </c>
      <c r="AH46" s="3">
        <f>ROUND(0.0,2)</f>
        <v/>
      </c>
      <c r="AI46" s="3">
        <f>ROUND(0.0,2)</f>
        <v/>
      </c>
      <c r="AJ46" s="4">
        <f>IFERROR((AD46/AC46),0)</f>
        <v/>
      </c>
      <c r="AK46" s="4">
        <f>IFERROR(((0+AB11+AB12+AB13+AB14+AB15+AB16+AB17+AB19+AB20+AB21+AB22+AB23+AB24+AB25+AB27+AB28+AB29+AB30+AB31+AB32+AB33+AB35+AB36+AB37+AB38+AB39+AB40+AB41+AB43+AB44+AB45+AB46)/T2),0)</f>
        <v/>
      </c>
      <c r="AL46" s="5">
        <f>IFERROR(ROUND(AB46/AD46,2),0)</f>
        <v/>
      </c>
      <c r="AM46" s="5">
        <f>IFERROR(ROUND(AB46/AE46,2),0)</f>
        <v/>
      </c>
      <c r="AN46" s="2" t="inlineStr">
        <is>
          <t>2023-10-21</t>
        </is>
      </c>
      <c r="AO46" s="5">
        <f>ROUND(0.0,2)</f>
        <v/>
      </c>
      <c r="AP46" s="3">
        <f>ROUND(0.0,2)</f>
        <v/>
      </c>
      <c r="AQ46" s="3">
        <f>ROUND(0.0,2)</f>
        <v/>
      </c>
      <c r="AR46" s="3">
        <f>ROUND(0.0,2)</f>
        <v/>
      </c>
      <c r="AS46" s="3">
        <f>ROUND(0.0,2)</f>
        <v/>
      </c>
      <c r="AT46" s="3">
        <f>ROUND(0.0,2)</f>
        <v/>
      </c>
      <c r="AU46" s="3">
        <f>ROUND(0.0,2)</f>
        <v/>
      </c>
      <c r="AV46" s="3">
        <f>ROUND(0.0,2)</f>
        <v/>
      </c>
      <c r="AW46" s="4">
        <f>IFERROR((AQ46/AP46),0)</f>
        <v/>
      </c>
      <c r="AX46" s="4">
        <f>IFERROR(((0+AO11+AO12+AO13+AO14+AO15+AO16+AO17+AO19+AO20+AO21+AO22+AO23+AO24+AO25+AO27+AO28+AO29+AO30+AO31+AO32+AO33+AO35+AO36+AO37+AO38+AO39+AO40+AO41+AO43+AO44+AO45+AO46)/T2),0)</f>
        <v/>
      </c>
      <c r="AY46" s="5">
        <f>IFERROR(ROUND(AO46/AQ46,2),0)</f>
        <v/>
      </c>
      <c r="AZ46" s="5">
        <f>IFERROR(ROUND(AO46/AR46,2),0)</f>
        <v/>
      </c>
      <c r="BA46" s="2" t="inlineStr">
        <is>
          <t>2023-10-21</t>
        </is>
      </c>
      <c r="BB46" s="5">
        <f>ROUND(0.0,2)</f>
        <v/>
      </c>
      <c r="BC46" s="3">
        <f>ROUND(0.0,2)</f>
        <v/>
      </c>
      <c r="BD46" s="3">
        <f>ROUND(0.0,2)</f>
        <v/>
      </c>
      <c r="BE46" s="3">
        <f>ROUND(0.0,2)</f>
        <v/>
      </c>
      <c r="BF46" s="3">
        <f>ROUND(0.0,2)</f>
        <v/>
      </c>
      <c r="BG46" s="3">
        <f>ROUND(0.0,2)</f>
        <v/>
      </c>
      <c r="BH46" s="3">
        <f>ROUND(0.0,2)</f>
        <v/>
      </c>
      <c r="BI46" s="3">
        <f>ROUND(0.0,2)</f>
        <v/>
      </c>
      <c r="BJ46" s="4">
        <f>IFERROR((BD46/BC46),0)</f>
        <v/>
      </c>
      <c r="BK46" s="4">
        <f>IFERROR(((0+BB11+BB12+BB13+BB14+BB15+BB16+BB17+BB19+BB20+BB21+BB22+BB23+BB24+BB25+BB27+BB28+BB29+BB30+BB31+BB32+BB33+BB35+BB36+BB37+BB38+BB39+BB40+BB41+BB43+BB44+BB45+BB46)/T2),0)</f>
        <v/>
      </c>
      <c r="BL46" s="5">
        <f>IFERROR(ROUND(BB46/BD46,2),0)</f>
        <v/>
      </c>
      <c r="BM46" s="5">
        <f>IFERROR(ROUND(BB46/BE46,2),0)</f>
        <v/>
      </c>
      <c r="BN46" s="2" t="inlineStr">
        <is>
          <t>2023-10-21</t>
        </is>
      </c>
      <c r="BO46" s="5">
        <f>ROUND(0.0,2)</f>
        <v/>
      </c>
      <c r="BP46" s="3">
        <f>ROUND(0.0,2)</f>
        <v/>
      </c>
      <c r="BQ46" s="3">
        <f>ROUND(0.0,2)</f>
        <v/>
      </c>
      <c r="BR46" s="3">
        <f>ROUND(0.0,2)</f>
        <v/>
      </c>
      <c r="BS46" s="3">
        <f>ROUND(0.0,2)</f>
        <v/>
      </c>
      <c r="BT46" s="3">
        <f>ROUND(0.0,2)</f>
        <v/>
      </c>
      <c r="BU46" s="3">
        <f>ROUND(0.0,2)</f>
        <v/>
      </c>
      <c r="BV46" s="3">
        <f>ROUND(0.0,2)</f>
        <v/>
      </c>
      <c r="BW46" s="4">
        <f>IFERROR((BQ46/BP46),0)</f>
        <v/>
      </c>
      <c r="BX46" s="4">
        <f>IFERROR(((0+BO11+BO12+BO13+BO14+BO15+BO16+BO17+BO19+BO20+BO21+BO22+BO23+BO24+BO25+BO27+BO28+BO29+BO30+BO31+BO32+BO33+BO35+BO36+BO37+BO38+BO39+BO40+BO41+BO43+BO44+BO45+BO46)/T2),0)</f>
        <v/>
      </c>
      <c r="BY46" s="5">
        <f>IFERROR(ROUND(BO46/BQ46,2),0)</f>
        <v/>
      </c>
      <c r="BZ46" s="5">
        <f>IFERROR(ROUND(BO46/BR46,2),0)</f>
        <v/>
      </c>
      <c r="CA46" s="2" t="inlineStr">
        <is>
          <t>2023-10-21</t>
        </is>
      </c>
      <c r="CB46" s="5">
        <f>ROUND(0.0,2)</f>
        <v/>
      </c>
      <c r="CC46" s="3">
        <f>ROUND(0.0,2)</f>
        <v/>
      </c>
      <c r="CD46" s="3">
        <f>ROUND(0.0,2)</f>
        <v/>
      </c>
      <c r="CE46" s="3">
        <f>ROUND(0.0,2)</f>
        <v/>
      </c>
      <c r="CF46" s="3">
        <f>ROUND(0.0,2)</f>
        <v/>
      </c>
      <c r="CG46" s="3">
        <f>ROUND(0.0,2)</f>
        <v/>
      </c>
      <c r="CH46" s="3">
        <f>ROUND(0.0,2)</f>
        <v/>
      </c>
      <c r="CI46" s="3">
        <f>ROUND(0.0,2)</f>
        <v/>
      </c>
      <c r="CJ46" s="4">
        <f>IFERROR((CD46/CC46),0)</f>
        <v/>
      </c>
      <c r="CK46" s="4">
        <f>IFERROR(((0+CB11+CB12+CB13+CB14+CB15+CB16+CB17+CB19+CB20+CB21+CB22+CB23+CB24+CB25+CB27+CB28+CB29+CB30+CB31+CB32+CB33+CB35+CB36+CB37+CB38+CB39+CB40+CB41+CB43+CB44+CB45+CB46)/T2),0)</f>
        <v/>
      </c>
      <c r="CL46" s="5">
        <f>IFERROR(ROUND(CB46/CD46,2),0)</f>
        <v/>
      </c>
      <c r="CM46" s="5">
        <f>IFERROR(ROUND(CB46/CE46,2),0)</f>
        <v/>
      </c>
      <c r="CN46" s="2" t="inlineStr">
        <is>
          <t>2023-10-21</t>
        </is>
      </c>
      <c r="CO46" s="5">
        <f>ROUND(0.0,2)</f>
        <v/>
      </c>
      <c r="CP46" s="3">
        <f>ROUND(0.0,2)</f>
        <v/>
      </c>
      <c r="CQ46" s="3">
        <f>ROUND(0.0,2)</f>
        <v/>
      </c>
      <c r="CR46" s="3">
        <f>ROUND(0.0,2)</f>
        <v/>
      </c>
      <c r="CS46" s="3">
        <f>ROUND(0.0,2)</f>
        <v/>
      </c>
      <c r="CT46" s="3">
        <f>ROUND(0.0,2)</f>
        <v/>
      </c>
      <c r="CU46" s="3">
        <f>ROUND(0.0,2)</f>
        <v/>
      </c>
      <c r="CV46" s="3">
        <f>ROUND(0.0,2)</f>
        <v/>
      </c>
      <c r="CW46" s="4">
        <f>IFERROR((CQ46/CP46),0)</f>
        <v/>
      </c>
      <c r="CX46" s="4">
        <f>IFERROR(((0+CO11+CO12+CO13+CO14+CO15+CO16+CO17+CO19+CO20+CO21+CO22+CO23+CO24+CO25+CO27+CO28+CO29+CO30+CO31+CO32+CO33+CO35+CO36+CO37+CO38+CO39+CO40+CO41+CO43+CO44+CO45+CO46)/T2),0)</f>
        <v/>
      </c>
      <c r="CY46" s="5">
        <f>IFERROR(ROUND(CO46/CQ46,2),0)</f>
        <v/>
      </c>
      <c r="CZ46" s="5">
        <f>IFERROR(ROUND(CO46/CR46,2),0)</f>
        <v/>
      </c>
      <c r="DA46" s="2" t="inlineStr">
        <is>
          <t>2023-10-21</t>
        </is>
      </c>
      <c r="DB46" s="5">
        <f>ROUND(0.0,2)</f>
        <v/>
      </c>
      <c r="DC46" s="3">
        <f>ROUND(0.0,2)</f>
        <v/>
      </c>
      <c r="DD46" s="3">
        <f>ROUND(0.0,2)</f>
        <v/>
      </c>
      <c r="DE46" s="3">
        <f>ROUND(0.0,2)</f>
        <v/>
      </c>
      <c r="DF46" s="3">
        <f>ROUND(0.0,2)</f>
        <v/>
      </c>
      <c r="DG46" s="3">
        <f>ROUND(0.0,2)</f>
        <v/>
      </c>
      <c r="DH46" s="3">
        <f>ROUND(0.0,2)</f>
        <v/>
      </c>
      <c r="DI46" s="3">
        <f>ROUND(0.0,2)</f>
        <v/>
      </c>
      <c r="DJ46" s="4">
        <f>IFERROR((DD46/DC46),0)</f>
        <v/>
      </c>
      <c r="DK46" s="4">
        <f>IFERROR(((0+DB11+DB12+DB13+DB14+DB15+DB16+DB17+DB19+DB20+DB21+DB22+DB23+DB24+DB25+DB27+DB28+DB29+DB30+DB31+DB32+DB33+DB35+DB36+DB37+DB38+DB39+DB40+DB41+DB43+DB44+DB45+DB46)/T2),0)</f>
        <v/>
      </c>
      <c r="DL46" s="5">
        <f>IFERROR(ROUND(DB46/DD46,2),0)</f>
        <v/>
      </c>
      <c r="DM46" s="5">
        <f>IFERROR(ROUND(DB46/DE46,2),0)</f>
        <v/>
      </c>
      <c r="DN46" s="2" t="inlineStr">
        <is>
          <t>2023-10-21</t>
        </is>
      </c>
      <c r="DO46" s="5">
        <f>ROUND(0.0,2)</f>
        <v/>
      </c>
      <c r="DP46" s="3">
        <f>ROUND(0.0,2)</f>
        <v/>
      </c>
      <c r="DQ46" s="3">
        <f>ROUND(0.0,2)</f>
        <v/>
      </c>
      <c r="DR46" s="3">
        <f>ROUND(0.0,2)</f>
        <v/>
      </c>
      <c r="DS46" s="3">
        <f>ROUND(0.0,2)</f>
        <v/>
      </c>
      <c r="DT46" s="3">
        <f>ROUND(0.0,2)</f>
        <v/>
      </c>
      <c r="DU46" s="3">
        <f>ROUND(0.0,2)</f>
        <v/>
      </c>
      <c r="DV46" s="3">
        <f>ROUND(0.0,2)</f>
        <v/>
      </c>
      <c r="DW46" s="4">
        <f>IFERROR((DQ46/DP46),0)</f>
        <v/>
      </c>
      <c r="DX46" s="4">
        <f>IFERROR(((0+DO11+DO12+DO13+DO14+DO15+DO16+DO17+DO19+DO20+DO21+DO22+DO23+DO24+DO25+DO27+DO28+DO29+DO30+DO31+DO32+DO33+DO35+DO36+DO37+DO38+DO39+DO40+DO41+DO43+DO44+DO45+DO46)/T2),0)</f>
        <v/>
      </c>
      <c r="DY46" s="5">
        <f>IFERROR(ROUND(DO46/DQ46,2),0)</f>
        <v/>
      </c>
      <c r="DZ46" s="5">
        <f>IFERROR(ROUND(DO46/DR46,2),0)</f>
        <v/>
      </c>
      <c r="EA46" s="2" t="inlineStr">
        <is>
          <t>2023-10-21</t>
        </is>
      </c>
      <c r="EB46" s="5">
        <f>ROUND(0.0,2)</f>
        <v/>
      </c>
      <c r="EC46" s="3">
        <f>ROUND(0.0,2)</f>
        <v/>
      </c>
      <c r="ED46" s="3">
        <f>ROUND(0.0,2)</f>
        <v/>
      </c>
      <c r="EE46" s="3">
        <f>ROUND(0.0,2)</f>
        <v/>
      </c>
      <c r="EF46" s="3">
        <f>ROUND(0.0,2)</f>
        <v/>
      </c>
      <c r="EG46" s="3">
        <f>ROUND(0.0,2)</f>
        <v/>
      </c>
      <c r="EH46" s="3">
        <f>ROUND(0.0,2)</f>
        <v/>
      </c>
      <c r="EI46" s="3">
        <f>ROUND(0.0,2)</f>
        <v/>
      </c>
      <c r="EJ46" s="4">
        <f>IFERROR((ED46/EC46),0)</f>
        <v/>
      </c>
      <c r="EK46" s="4">
        <f>IFERROR(((0+EB11+EB12+EB13+EB14+EB15+EB16+EB17+EB19+EB20+EB21+EB22+EB23+EB24+EB25+EB27+EB28+EB29+EB30+EB31+EB32+EB33+EB35+EB36+EB37+EB38+EB39+EB40+EB41+EB43+EB44+EB45+EB46)/T2),0)</f>
        <v/>
      </c>
      <c r="EL46" s="5">
        <f>IFERROR(ROUND(EB46/ED46,2),0)</f>
        <v/>
      </c>
      <c r="EM46" s="5">
        <f>IFERROR(ROUND(EB46/EE46,2),0)</f>
        <v/>
      </c>
      <c r="EN46" s="2" t="inlineStr">
        <is>
          <t>2023-10-21</t>
        </is>
      </c>
      <c r="EO46" s="5">
        <f>ROUND(0.0,2)</f>
        <v/>
      </c>
      <c r="EP46" s="3">
        <f>ROUND(0.0,2)</f>
        <v/>
      </c>
      <c r="EQ46" s="3">
        <f>ROUND(0.0,2)</f>
        <v/>
      </c>
      <c r="ER46" s="3">
        <f>ROUND(0.0,2)</f>
        <v/>
      </c>
      <c r="ES46" s="3">
        <f>ROUND(0.0,2)</f>
        <v/>
      </c>
      <c r="ET46" s="3">
        <f>ROUND(0.0,2)</f>
        <v/>
      </c>
      <c r="EU46" s="3">
        <f>ROUND(0.0,2)</f>
        <v/>
      </c>
      <c r="EV46" s="3">
        <f>ROUND(0.0,2)</f>
        <v/>
      </c>
      <c r="EW46" s="4">
        <f>IFERROR((EQ46/EP46),0)</f>
        <v/>
      </c>
      <c r="EX46" s="4">
        <f>IFERROR(((0+EO11+EO12+EO13+EO14+EO15+EO16+EO17+EO19+EO20+EO21+EO22+EO23+EO24+EO25+EO27+EO28+EO29+EO30+EO31+EO32+EO33+EO35+EO36+EO37+EO38+EO39+EO40+EO41+EO43+EO44+EO45+EO46)/T2),0)</f>
        <v/>
      </c>
      <c r="EY46" s="5">
        <f>IFERROR(ROUND(EO46/EQ46,2),0)</f>
        <v/>
      </c>
      <c r="EZ46" s="5">
        <f>IFERROR(ROUND(EO46/ER46,2),0)</f>
        <v/>
      </c>
      <c r="FA46" s="2" t="inlineStr">
        <is>
          <t>2023-10-21</t>
        </is>
      </c>
      <c r="FB46" s="5">
        <f>ROUND(0.0,2)</f>
        <v/>
      </c>
      <c r="FC46" s="3">
        <f>ROUND(0.0,2)</f>
        <v/>
      </c>
      <c r="FD46" s="3">
        <f>ROUND(0.0,2)</f>
        <v/>
      </c>
      <c r="FE46" s="3">
        <f>ROUND(0.0,2)</f>
        <v/>
      </c>
      <c r="FF46" s="3">
        <f>ROUND(0.0,2)</f>
        <v/>
      </c>
      <c r="FG46" s="3">
        <f>ROUND(0.0,2)</f>
        <v/>
      </c>
      <c r="FH46" s="3">
        <f>ROUND(0.0,2)</f>
        <v/>
      </c>
      <c r="FI46" s="3">
        <f>ROUND(0.0,2)</f>
        <v/>
      </c>
      <c r="FJ46" s="4">
        <f>IFERROR((FD46/FC46),0)</f>
        <v/>
      </c>
      <c r="FK46" s="4">
        <f>IFERROR(((0+FB11+FB12+FB13+FB14+FB15+FB16+FB17+FB19+FB20+FB21+FB22+FB23+FB24+FB25+FB27+FB28+FB29+FB30+FB31+FB32+FB33+FB35+FB36+FB37+FB38+FB39+FB40+FB41+FB43+FB44+FB45+FB46)/T2),0)</f>
        <v/>
      </c>
      <c r="FL46" s="5">
        <f>IFERROR(ROUND(FB46/FD46,2),0)</f>
        <v/>
      </c>
      <c r="FM46" s="5">
        <f>IFERROR(ROUND(FB46/FE46,2),0)</f>
        <v/>
      </c>
      <c r="FN46" s="2" t="inlineStr">
        <is>
          <t>2023-10-21</t>
        </is>
      </c>
      <c r="FO46" s="5">
        <f>ROUND(0.0,2)</f>
        <v/>
      </c>
      <c r="FP46" s="3">
        <f>ROUND(0.0,2)</f>
        <v/>
      </c>
      <c r="FQ46" s="3">
        <f>ROUND(0.0,2)</f>
        <v/>
      </c>
      <c r="FR46" s="3">
        <f>ROUND(0.0,2)</f>
        <v/>
      </c>
      <c r="FS46" s="3">
        <f>ROUND(0.0,2)</f>
        <v/>
      </c>
      <c r="FT46" s="3">
        <f>ROUND(0.0,2)</f>
        <v/>
      </c>
      <c r="FU46" s="3">
        <f>ROUND(0.0,2)</f>
        <v/>
      </c>
      <c r="FV46" s="3">
        <f>ROUND(0.0,2)</f>
        <v/>
      </c>
      <c r="FW46" s="4">
        <f>IFERROR((FQ46/FP46),0)</f>
        <v/>
      </c>
      <c r="FX46" s="4">
        <f>IFERROR(((0+FO11+FO12+FO13+FO14+FO15+FO16+FO17+FO19+FO20+FO21+FO22+FO23+FO24+FO25+FO27+FO28+FO29+FO30+FO31+FO32+FO33+FO35+FO36+FO37+FO38+FO39+FO40+FO41+FO43+FO44+FO45+FO46)/T2),0)</f>
        <v/>
      </c>
      <c r="FY46" s="5">
        <f>IFERROR(ROUND(FO46/FQ46,2),0)</f>
        <v/>
      </c>
      <c r="FZ46" s="5">
        <f>IFERROR(ROUND(FO46/FR46,2),0)</f>
        <v/>
      </c>
      <c r="GA46" s="2" t="inlineStr">
        <is>
          <t>2023-10-21</t>
        </is>
      </c>
      <c r="GB46" s="5">
        <f>ROUND(0.0,2)</f>
        <v/>
      </c>
      <c r="GC46" s="3">
        <f>ROUND(0.0,2)</f>
        <v/>
      </c>
      <c r="GD46" s="3">
        <f>ROUND(0.0,2)</f>
        <v/>
      </c>
      <c r="GE46" s="3">
        <f>ROUND(0.0,2)</f>
        <v/>
      </c>
      <c r="GF46" s="3">
        <f>ROUND(0.0,2)</f>
        <v/>
      </c>
      <c r="GG46" s="3">
        <f>ROUND(0.0,2)</f>
        <v/>
      </c>
      <c r="GH46" s="3">
        <f>ROUND(0.0,2)</f>
        <v/>
      </c>
      <c r="GI46" s="3">
        <f>ROUND(0.0,2)</f>
        <v/>
      </c>
      <c r="GJ46" s="4">
        <f>IFERROR((GD46/GC46),0)</f>
        <v/>
      </c>
      <c r="GK46" s="4">
        <f>IFERROR(((0+GB11+GB12+GB13+GB14+GB15+GB16+GB17+GB19+GB20+GB21+GB22+GB23+GB24+GB25+GB27+GB28+GB29+GB30+GB31+GB32+GB33+GB35+GB36+GB37+GB38+GB39+GB40+GB41+GB43+GB44+GB45+GB46)/T2),0)</f>
        <v/>
      </c>
      <c r="GL46" s="5">
        <f>IFERROR(ROUND(GB46/GD46,2),0)</f>
        <v/>
      </c>
      <c r="GM46" s="5">
        <f>IFERROR(ROUND(GB46/GE46,2),0)</f>
        <v/>
      </c>
      <c r="GN46" s="2" t="inlineStr">
        <is>
          <t>2023-10-21</t>
        </is>
      </c>
      <c r="GO46" s="5">
        <f>ROUND(0.0,2)</f>
        <v/>
      </c>
      <c r="GP46" s="3">
        <f>ROUND(0.0,2)</f>
        <v/>
      </c>
      <c r="GQ46" s="3">
        <f>ROUND(0.0,2)</f>
        <v/>
      </c>
      <c r="GR46" s="3">
        <f>ROUND(0.0,2)</f>
        <v/>
      </c>
      <c r="GS46" s="3">
        <f>ROUND(0.0,2)</f>
        <v/>
      </c>
      <c r="GT46" s="3">
        <f>ROUND(0.0,2)</f>
        <v/>
      </c>
      <c r="GU46" s="3">
        <f>ROUND(0.0,2)</f>
        <v/>
      </c>
      <c r="GV46" s="3">
        <f>ROUND(0.0,2)</f>
        <v/>
      </c>
      <c r="GW46" s="4">
        <f>IFERROR((GQ46/GP46),0)</f>
        <v/>
      </c>
      <c r="GX46" s="4">
        <f>IFERROR(((0+GO11+GO12+GO13+GO14+GO15+GO16+GO17+GO19+GO20+GO21+GO22+GO23+GO24+GO25+GO27+GO28+GO29+GO30+GO31+GO32+GO33+GO35+GO36+GO37+GO38+GO39+GO40+GO41+GO43+GO44+GO45+GO46)/T2),0)</f>
        <v/>
      </c>
      <c r="GY46" s="5">
        <f>IFERROR(ROUND(GO46/GQ46,2),0)</f>
        <v/>
      </c>
      <c r="GZ46" s="5">
        <f>IFERROR(ROUND(GO46/GR46,2),0)</f>
        <v/>
      </c>
      <c r="HA46" s="2" t="inlineStr">
        <is>
          <t>2023-10-21</t>
        </is>
      </c>
      <c r="HB46" s="5">
        <f>ROUND(0.0,2)</f>
        <v/>
      </c>
      <c r="HC46" s="3">
        <f>ROUND(0.0,2)</f>
        <v/>
      </c>
      <c r="HD46" s="3">
        <f>ROUND(0.0,2)</f>
        <v/>
      </c>
      <c r="HE46" s="3">
        <f>ROUND(0.0,2)</f>
        <v/>
      </c>
      <c r="HF46" s="3">
        <f>ROUND(0.0,2)</f>
        <v/>
      </c>
      <c r="HG46" s="3">
        <f>ROUND(0.0,2)</f>
        <v/>
      </c>
      <c r="HH46" s="3">
        <f>ROUND(0.0,2)</f>
        <v/>
      </c>
      <c r="HI46" s="3">
        <f>ROUND(0.0,2)</f>
        <v/>
      </c>
      <c r="HJ46" s="4">
        <f>IFERROR((HD46/HC46),0)</f>
        <v/>
      </c>
      <c r="HK46" s="4">
        <f>IFERROR(((0+HB11+HB12+HB13+HB14+HB15+HB16+HB17+HB19+HB20+HB21+HB22+HB23+HB24+HB25+HB27+HB28+HB29+HB30+HB31+HB32+HB33+HB35+HB36+HB37+HB38+HB39+HB40+HB41+HB43+HB44+HB45+HB46)/T2),0)</f>
        <v/>
      </c>
      <c r="HL46" s="5">
        <f>IFERROR(ROUND(HB46/HD46,2),0)</f>
        <v/>
      </c>
      <c r="HM46" s="5">
        <f>IFERROR(ROUND(HB46/HE46,2),0)</f>
        <v/>
      </c>
      <c r="HN46" s="2" t="inlineStr">
        <is>
          <t>2023-10-21</t>
        </is>
      </c>
      <c r="HO46" s="5">
        <f>ROUND(0.0,2)</f>
        <v/>
      </c>
      <c r="HP46" s="3">
        <f>ROUND(0.0,2)</f>
        <v/>
      </c>
      <c r="HQ46" s="3">
        <f>ROUND(0.0,2)</f>
        <v/>
      </c>
      <c r="HR46" s="3">
        <f>ROUND(0.0,2)</f>
        <v/>
      </c>
      <c r="HS46" s="3">
        <f>ROUND(0.0,2)</f>
        <v/>
      </c>
      <c r="HT46" s="3">
        <f>ROUND(0.0,2)</f>
        <v/>
      </c>
      <c r="HU46" s="3">
        <f>ROUND(0.0,2)</f>
        <v/>
      </c>
      <c r="HV46" s="3">
        <f>ROUND(0.0,2)</f>
        <v/>
      </c>
      <c r="HW46" s="4">
        <f>IFERROR((HQ46/HP46),0)</f>
        <v/>
      </c>
      <c r="HX46" s="4">
        <f>IFERROR(((0+HO11+HO12+HO13+HO14+HO15+HO16+HO17+HO19+HO20+HO21+HO22+HO23+HO24+HO25+HO27+HO28+HO29+HO30+HO31+HO32+HO33+HO35+HO36+HO37+HO38+HO39+HO40+HO41+HO43+HO44+HO45+HO46)/T2),0)</f>
        <v/>
      </c>
      <c r="HY46" s="5">
        <f>IFERROR(ROUND(HO46/HQ46,2),0)</f>
        <v/>
      </c>
      <c r="HZ46" s="5">
        <f>IFERROR(ROUND(HO46/HR46,2),0)</f>
        <v/>
      </c>
      <c r="IA46" s="2" t="inlineStr">
        <is>
          <t>2023-10-21</t>
        </is>
      </c>
      <c r="IB46" s="5">
        <f>ROUND(0.0,2)</f>
        <v/>
      </c>
      <c r="IC46" s="3">
        <f>ROUND(0.0,2)</f>
        <v/>
      </c>
      <c r="ID46" s="3">
        <f>ROUND(0.0,2)</f>
        <v/>
      </c>
      <c r="IE46" s="3">
        <f>ROUND(0.0,2)</f>
        <v/>
      </c>
      <c r="IF46" s="3">
        <f>ROUND(0.0,2)</f>
        <v/>
      </c>
      <c r="IG46" s="3">
        <f>ROUND(0.0,2)</f>
        <v/>
      </c>
      <c r="IH46" s="3">
        <f>ROUND(0.0,2)</f>
        <v/>
      </c>
      <c r="II46" s="3">
        <f>ROUND(0.0,2)</f>
        <v/>
      </c>
      <c r="IJ46" s="4">
        <f>IFERROR((ID46/IC46),0)</f>
        <v/>
      </c>
      <c r="IK46" s="4">
        <f>IFERROR(((0+IB11+IB12+IB13+IB14+IB15+IB16+IB17+IB19+IB20+IB21+IB22+IB23+IB24+IB25+IB27+IB28+IB29+IB30+IB31+IB32+IB33+IB35+IB36+IB37+IB38+IB39+IB40+IB41+IB43+IB44+IB45+IB46)/T2),0)</f>
        <v/>
      </c>
      <c r="IL46" s="5">
        <f>IFERROR(ROUND(IB46/ID46,2),0)</f>
        <v/>
      </c>
      <c r="IM46" s="5">
        <f>IFERROR(ROUND(IB46/IE46,2),0)</f>
        <v/>
      </c>
      <c r="IN46" s="2" t="inlineStr">
        <is>
          <t>2023-10-21</t>
        </is>
      </c>
      <c r="IO46" s="5">
        <f>ROUND(0.0,2)</f>
        <v/>
      </c>
      <c r="IP46" s="3">
        <f>ROUND(0.0,2)</f>
        <v/>
      </c>
      <c r="IQ46" s="3">
        <f>ROUND(0.0,2)</f>
        <v/>
      </c>
      <c r="IR46" s="3">
        <f>ROUND(0.0,2)</f>
        <v/>
      </c>
      <c r="IS46" s="3">
        <f>ROUND(0.0,2)</f>
        <v/>
      </c>
      <c r="IT46" s="3">
        <f>ROUND(0.0,2)</f>
        <v/>
      </c>
      <c r="IU46" s="3">
        <f>ROUND(0.0,2)</f>
        <v/>
      </c>
      <c r="IV46" s="3">
        <f>ROUND(0.0,2)</f>
        <v/>
      </c>
      <c r="IW46" s="4">
        <f>IFERROR((IQ46/IP46),0)</f>
        <v/>
      </c>
      <c r="IX46" s="4">
        <f>IFERROR(((0+IO11+IO12+IO13+IO14+IO15+IO16+IO17+IO19+IO20+IO21+IO22+IO23+IO24+IO25+IO27+IO28+IO29+IO30+IO31+IO32+IO33+IO35+IO36+IO37+IO38+IO39+IO40+IO41+IO43+IO44+IO45+IO46)/T2),0)</f>
        <v/>
      </c>
      <c r="IY46" s="5">
        <f>IFERROR(ROUND(IO46/IQ46,2),0)</f>
        <v/>
      </c>
      <c r="IZ46" s="5">
        <f>IFERROR(ROUND(IO46/IR46,2),0)</f>
        <v/>
      </c>
      <c r="JA46" s="2" t="inlineStr">
        <is>
          <t>2023-10-21</t>
        </is>
      </c>
      <c r="JB46" s="5">
        <f>ROUND(0.0,2)</f>
        <v/>
      </c>
      <c r="JC46" s="3">
        <f>ROUND(0.0,2)</f>
        <v/>
      </c>
      <c r="JD46" s="3">
        <f>ROUND(0.0,2)</f>
        <v/>
      </c>
      <c r="JE46" s="3">
        <f>ROUND(0.0,2)</f>
        <v/>
      </c>
      <c r="JF46" s="3">
        <f>ROUND(0.0,2)</f>
        <v/>
      </c>
      <c r="JG46" s="3">
        <f>ROUND(0.0,2)</f>
        <v/>
      </c>
      <c r="JH46" s="3">
        <f>ROUND(0.0,2)</f>
        <v/>
      </c>
      <c r="JI46" s="3">
        <f>ROUND(0.0,2)</f>
        <v/>
      </c>
      <c r="JJ46" s="4">
        <f>IFERROR((JD46/JC46),0)</f>
        <v/>
      </c>
      <c r="JK46" s="4">
        <f>IFERROR(((0+JB11+JB12+JB13+JB14+JB15+JB16+JB17+JB19+JB20+JB21+JB22+JB23+JB24+JB25+JB27+JB28+JB29+JB30+JB31+JB32+JB33+JB35+JB36+JB37+JB38+JB39+JB40+JB41+JB43+JB44+JB45+JB46)/T2),0)</f>
        <v/>
      </c>
      <c r="JL46" s="5">
        <f>IFERROR(ROUND(JB46/JD46,2),0)</f>
        <v/>
      </c>
      <c r="JM46" s="5">
        <f>IFERROR(ROUND(JB46/JE46,2),0)</f>
        <v/>
      </c>
      <c r="JN46" s="2" t="inlineStr">
        <is>
          <t>2023-10-21</t>
        </is>
      </c>
      <c r="JO46" s="5">
        <f>ROUND(0.0,2)</f>
        <v/>
      </c>
      <c r="JP46" s="3">
        <f>ROUND(0.0,2)</f>
        <v/>
      </c>
      <c r="JQ46" s="3">
        <f>ROUND(0.0,2)</f>
        <v/>
      </c>
      <c r="JR46" s="3">
        <f>ROUND(0.0,2)</f>
        <v/>
      </c>
      <c r="JS46" s="3">
        <f>ROUND(0.0,2)</f>
        <v/>
      </c>
      <c r="JT46" s="3">
        <f>ROUND(0.0,2)</f>
        <v/>
      </c>
      <c r="JU46" s="3">
        <f>ROUND(0.0,2)</f>
        <v/>
      </c>
      <c r="JV46" s="3">
        <f>ROUND(0.0,2)</f>
        <v/>
      </c>
      <c r="JW46" s="4">
        <f>IFERROR((JQ46/JP46),0)</f>
        <v/>
      </c>
      <c r="JX46" s="4">
        <f>IFERROR(((0+JO11+JO12+JO13+JO14+JO15+JO16+JO17+JO19+JO20+JO21+JO22+JO23+JO24+JO25+JO27+JO28+JO29+JO30+JO31+JO32+JO33+JO35+JO36+JO37+JO38+JO39+JO40+JO41+JO43+JO44+JO45+JO46)/T2),0)</f>
        <v/>
      </c>
      <c r="JY46" s="5">
        <f>IFERROR(ROUND(JO46/JQ46,2),0)</f>
        <v/>
      </c>
      <c r="JZ46" s="5">
        <f>IFERROR(ROUND(JO46/JR46,2),0)</f>
        <v/>
      </c>
      <c r="KA46" s="2" t="inlineStr">
        <is>
          <t>2023-10-21</t>
        </is>
      </c>
      <c r="KB46" s="5">
        <f>ROUND(0.0,2)</f>
        <v/>
      </c>
      <c r="KC46" s="3">
        <f>ROUND(0.0,2)</f>
        <v/>
      </c>
      <c r="KD46" s="3">
        <f>ROUND(0.0,2)</f>
        <v/>
      </c>
      <c r="KE46" s="3">
        <f>ROUND(0.0,2)</f>
        <v/>
      </c>
      <c r="KF46" s="3">
        <f>ROUND(0.0,2)</f>
        <v/>
      </c>
      <c r="KG46" s="3">
        <f>ROUND(0.0,2)</f>
        <v/>
      </c>
      <c r="KH46" s="3">
        <f>ROUND(0.0,2)</f>
        <v/>
      </c>
      <c r="KI46" s="3">
        <f>ROUND(0.0,2)</f>
        <v/>
      </c>
      <c r="KJ46" s="4">
        <f>IFERROR((KD46/KC46),0)</f>
        <v/>
      </c>
      <c r="KK46" s="4">
        <f>IFERROR(((0+KB11+KB12+KB13+KB14+KB15+KB16+KB17+KB19+KB20+KB21+KB22+KB23+KB24+KB25+KB27+KB28+KB29+KB30+KB31+KB32+KB33+KB35+KB36+KB37+KB38+KB39+KB40+KB41+KB43+KB44+KB45+KB46)/T2),0)</f>
        <v/>
      </c>
      <c r="KL46" s="5">
        <f>IFERROR(ROUND(KB46/KD46,2),0)</f>
        <v/>
      </c>
      <c r="KM46" s="5">
        <f>IFERROR(ROUND(KB46/KE46,2),0)</f>
        <v/>
      </c>
      <c r="KN46" s="2" t="inlineStr">
        <is>
          <t>2023-10-21</t>
        </is>
      </c>
      <c r="KO46" s="5">
        <f>ROUND(0.0,2)</f>
        <v/>
      </c>
      <c r="KP46" s="3">
        <f>ROUND(0.0,2)</f>
        <v/>
      </c>
      <c r="KQ46" s="3">
        <f>ROUND(0.0,2)</f>
        <v/>
      </c>
      <c r="KR46" s="3">
        <f>ROUND(0.0,2)</f>
        <v/>
      </c>
      <c r="KS46" s="3">
        <f>ROUND(0.0,2)</f>
        <v/>
      </c>
      <c r="KT46" s="3">
        <f>ROUND(0.0,2)</f>
        <v/>
      </c>
      <c r="KU46" s="3">
        <f>ROUND(0.0,2)</f>
        <v/>
      </c>
      <c r="KV46" s="3">
        <f>ROUND(0.0,2)</f>
        <v/>
      </c>
      <c r="KW46" s="4">
        <f>IFERROR((KQ46/KP46),0)</f>
        <v/>
      </c>
      <c r="KX46" s="4">
        <f>IFERROR(((0+KO11+KO12+KO13+KO14+KO15+KO16+KO17+KO19+KO20+KO21+KO22+KO23+KO24+KO25+KO27+KO28+KO29+KO30+KO31+KO32+KO33+KO35+KO36+KO37+KO38+KO39+KO40+KO41+KO43+KO44+KO45+KO46)/T2),0)</f>
        <v/>
      </c>
      <c r="KY46" s="5">
        <f>IFERROR(ROUND(KO46/KQ46,2),0)</f>
        <v/>
      </c>
      <c r="KZ46" s="5">
        <f>IFERROR(ROUND(KO46/KR46,2),0)</f>
        <v/>
      </c>
      <c r="LA46" s="2" t="inlineStr">
        <is>
          <t>2023-10-21</t>
        </is>
      </c>
      <c r="LB46" s="5">
        <f>ROUND(0.0,2)</f>
        <v/>
      </c>
      <c r="LC46" s="3">
        <f>ROUND(0.0,2)</f>
        <v/>
      </c>
      <c r="LD46" s="3">
        <f>ROUND(0.0,2)</f>
        <v/>
      </c>
      <c r="LE46" s="3">
        <f>ROUND(0.0,2)</f>
        <v/>
      </c>
      <c r="LF46" s="3">
        <f>ROUND(0.0,2)</f>
        <v/>
      </c>
      <c r="LG46" s="3">
        <f>ROUND(0.0,2)</f>
        <v/>
      </c>
      <c r="LH46" s="3">
        <f>ROUND(0.0,2)</f>
        <v/>
      </c>
      <c r="LI46" s="3">
        <f>ROUND(0.0,2)</f>
        <v/>
      </c>
      <c r="LJ46" s="4">
        <f>IFERROR((LD46/LC46),0)</f>
        <v/>
      </c>
      <c r="LK46" s="4">
        <f>IFERROR(((0+LB11+LB12+LB13+LB14+LB15+LB16+LB17+LB19+LB20+LB21+LB22+LB23+LB24+LB25+LB27+LB28+LB29+LB30+LB31+LB32+LB33+LB35+LB36+LB37+LB38+LB39+LB40+LB41+LB43+LB44+LB45+LB46)/T2),0)</f>
        <v/>
      </c>
      <c r="LL46" s="5">
        <f>IFERROR(ROUND(LB46/LD46,2),0)</f>
        <v/>
      </c>
      <c r="LM46" s="5">
        <f>IFERROR(ROUND(LB46/LE46,2),0)</f>
        <v/>
      </c>
      <c r="LN46" s="2" t="inlineStr">
        <is>
          <t>2023-10-21</t>
        </is>
      </c>
      <c r="LO46" s="5">
        <f>ROUND(0.0,2)</f>
        <v/>
      </c>
      <c r="LP46" s="3">
        <f>ROUND(0.0,2)</f>
        <v/>
      </c>
      <c r="LQ46" s="3">
        <f>ROUND(0.0,2)</f>
        <v/>
      </c>
      <c r="LR46" s="3">
        <f>ROUND(0.0,2)</f>
        <v/>
      </c>
      <c r="LS46" s="3">
        <f>ROUND(0.0,2)</f>
        <v/>
      </c>
      <c r="LT46" s="3">
        <f>ROUND(0.0,2)</f>
        <v/>
      </c>
      <c r="LU46" s="3">
        <f>ROUND(0.0,2)</f>
        <v/>
      </c>
      <c r="LV46" s="3">
        <f>ROUND(0.0,2)</f>
        <v/>
      </c>
      <c r="LW46" s="4">
        <f>IFERROR((LQ46/LP46),0)</f>
        <v/>
      </c>
      <c r="LX46" s="4">
        <f>IFERROR(((0+LO11+LO12+LO13+LO14+LO15+LO16+LO17+LO19+LO20+LO21+LO22+LO23+LO24+LO25+LO27+LO28+LO29+LO30+LO31+LO32+LO33+LO35+LO36+LO37+LO38+LO39+LO40+LO41+LO43+LO44+LO45+LO46)/T2),0)</f>
        <v/>
      </c>
      <c r="LY46" s="5">
        <f>IFERROR(ROUND(LO46/LQ46,2),0)</f>
        <v/>
      </c>
      <c r="LZ46" s="5">
        <f>IFERROR(ROUND(LO46/LR46,2),0)</f>
        <v/>
      </c>
      <c r="MA46" s="2" t="inlineStr">
        <is>
          <t>2023-10-21</t>
        </is>
      </c>
      <c r="MB46" s="5">
        <f>ROUND(0.0,2)</f>
        <v/>
      </c>
      <c r="MC46" s="3">
        <f>ROUND(0.0,2)</f>
        <v/>
      </c>
      <c r="MD46" s="3">
        <f>ROUND(0.0,2)</f>
        <v/>
      </c>
      <c r="ME46" s="3">
        <f>ROUND(0.0,2)</f>
        <v/>
      </c>
      <c r="MF46" s="3">
        <f>ROUND(0.0,2)</f>
        <v/>
      </c>
      <c r="MG46" s="3">
        <f>ROUND(0.0,2)</f>
        <v/>
      </c>
      <c r="MH46" s="3">
        <f>ROUND(0.0,2)</f>
        <v/>
      </c>
      <c r="MI46" s="3">
        <f>ROUND(0.0,2)</f>
        <v/>
      </c>
      <c r="MJ46" s="4">
        <f>IFERROR((MD46/MC46),0)</f>
        <v/>
      </c>
      <c r="MK46" s="4">
        <f>IFERROR(((0+MB11+MB12+MB13+MB14+MB15+MB16+MB17+MB19+MB20+MB21+MB22+MB23+MB24+MB25+MB27+MB28+MB29+MB30+MB31+MB32+MB33+MB35+MB36+MB37+MB38+MB39+MB40+MB41+MB43+MB44+MB45+MB46)/T2),0)</f>
        <v/>
      </c>
      <c r="ML46" s="5">
        <f>IFERROR(ROUND(MB46/MD46,2),0)</f>
        <v/>
      </c>
      <c r="MM46" s="5">
        <f>IFERROR(ROUND(MB46/ME46,2),0)</f>
        <v/>
      </c>
      <c r="MN46" s="2" t="inlineStr">
        <is>
          <t>2023-10-21</t>
        </is>
      </c>
      <c r="MO46" s="5">
        <f>ROUND(0.0,2)</f>
        <v/>
      </c>
      <c r="MP46" s="3">
        <f>ROUND(0.0,2)</f>
        <v/>
      </c>
      <c r="MQ46" s="3">
        <f>ROUND(0.0,2)</f>
        <v/>
      </c>
      <c r="MR46" s="3">
        <f>ROUND(0.0,2)</f>
        <v/>
      </c>
      <c r="MS46" s="3">
        <f>ROUND(0.0,2)</f>
        <v/>
      </c>
      <c r="MT46" s="3">
        <f>ROUND(0.0,2)</f>
        <v/>
      </c>
      <c r="MU46" s="3">
        <f>ROUND(0.0,2)</f>
        <v/>
      </c>
      <c r="MV46" s="3">
        <f>ROUND(0.0,2)</f>
        <v/>
      </c>
      <c r="MW46" s="4">
        <f>IFERROR((MQ46/MP46),0)</f>
        <v/>
      </c>
      <c r="MX46" s="4">
        <f>IFERROR(((0+MO11+MO12+MO13+MO14+MO15+MO16+MO17+MO19+MO20+MO21+MO22+MO23+MO24+MO25+MO27+MO28+MO29+MO30+MO31+MO32+MO33+MO35+MO36+MO37+MO38+MO39+MO40+MO41+MO43+MO44+MO45+MO46)/T2),0)</f>
        <v/>
      </c>
      <c r="MY46" s="5">
        <f>IFERROR(ROUND(MO46/MQ46,2),0)</f>
        <v/>
      </c>
      <c r="MZ46" s="5">
        <f>IFERROR(ROUND(MO46/MR46,2),0)</f>
        <v/>
      </c>
      <c r="NA46" s="2" t="inlineStr">
        <is>
          <t>2023-10-21</t>
        </is>
      </c>
      <c r="NB46" s="5">
        <f>ROUND(0.0,2)</f>
        <v/>
      </c>
      <c r="NC46" s="3">
        <f>ROUND(0.0,2)</f>
        <v/>
      </c>
      <c r="ND46" s="3">
        <f>ROUND(0.0,2)</f>
        <v/>
      </c>
      <c r="NE46" s="3">
        <f>ROUND(0.0,2)</f>
        <v/>
      </c>
      <c r="NF46" s="3">
        <f>ROUND(0.0,2)</f>
        <v/>
      </c>
      <c r="NG46" s="3">
        <f>ROUND(0.0,2)</f>
        <v/>
      </c>
      <c r="NH46" s="3">
        <f>ROUND(0.0,2)</f>
        <v/>
      </c>
      <c r="NI46" s="3">
        <f>ROUND(0.0,2)</f>
        <v/>
      </c>
      <c r="NJ46" s="4">
        <f>IFERROR((ND46/NC46),0)</f>
        <v/>
      </c>
      <c r="NK46" s="4">
        <f>IFERROR(((0+NB11+NB12+NB13+NB14+NB15+NB16+NB17+NB19+NB20+NB21+NB22+NB23+NB24+NB25+NB27+NB28+NB29+NB30+NB31+NB32+NB33+NB35+NB36+NB37+NB38+NB39+NB40+NB41+NB43+NB44+NB45+NB46)/T2),0)</f>
        <v/>
      </c>
      <c r="NL46" s="5">
        <f>IFERROR(ROUND(NB46/ND46,2),0)</f>
        <v/>
      </c>
      <c r="NM46" s="5">
        <f>IFERROR(ROUND(NB46/NE46,2),0)</f>
        <v/>
      </c>
      <c r="NN46" s="2" t="inlineStr">
        <is>
          <t>2023-10-21</t>
        </is>
      </c>
      <c r="NO46" s="5">
        <f>ROUND(0.0,2)</f>
        <v/>
      </c>
      <c r="NP46" s="3">
        <f>ROUND(0.0,2)</f>
        <v/>
      </c>
      <c r="NQ46" s="3">
        <f>ROUND(0.0,2)</f>
        <v/>
      </c>
      <c r="NR46" s="3">
        <f>ROUND(0.0,2)</f>
        <v/>
      </c>
      <c r="NS46" s="3">
        <f>ROUND(0.0,2)</f>
        <v/>
      </c>
      <c r="NT46" s="3">
        <f>ROUND(0.0,2)</f>
        <v/>
      </c>
      <c r="NU46" s="3">
        <f>ROUND(0.0,2)</f>
        <v/>
      </c>
      <c r="NV46" s="3">
        <f>ROUND(0.0,2)</f>
        <v/>
      </c>
      <c r="NW46" s="4">
        <f>IFERROR((NQ46/NP46),0)</f>
        <v/>
      </c>
      <c r="NX46" s="4">
        <f>IFERROR(((0+NO11+NO12+NO13+NO14+NO15+NO16+NO17+NO19+NO20+NO21+NO22+NO23+NO24+NO25+NO27+NO28+NO29+NO30+NO31+NO32+NO33+NO35+NO36+NO37+NO38+NO39+NO40+NO41+NO43+NO44+NO45+NO46)/T2),0)</f>
        <v/>
      </c>
      <c r="NY46" s="5">
        <f>IFERROR(ROUND(NO46/NQ46,2),0)</f>
        <v/>
      </c>
      <c r="NZ46" s="5">
        <f>IFERROR(ROUND(NO46/NR46,2),0)</f>
        <v/>
      </c>
      <c r="OA46" s="2" t="inlineStr">
        <is>
          <t>2023-10-21</t>
        </is>
      </c>
      <c r="OB46" s="5">
        <f>ROUND(0.0,2)</f>
        <v/>
      </c>
      <c r="OC46" s="3">
        <f>ROUND(0.0,2)</f>
        <v/>
      </c>
      <c r="OD46" s="3">
        <f>ROUND(0.0,2)</f>
        <v/>
      </c>
      <c r="OE46" s="3">
        <f>ROUND(0.0,2)</f>
        <v/>
      </c>
      <c r="OF46" s="3">
        <f>ROUND(0.0,2)</f>
        <v/>
      </c>
      <c r="OG46" s="3">
        <f>ROUND(0.0,2)</f>
        <v/>
      </c>
      <c r="OH46" s="3">
        <f>ROUND(0.0,2)</f>
        <v/>
      </c>
      <c r="OI46" s="3">
        <f>ROUND(0.0,2)</f>
        <v/>
      </c>
      <c r="OJ46" s="4">
        <f>IFERROR((OD46/OC46),0)</f>
        <v/>
      </c>
      <c r="OK46" s="4">
        <f>IFERROR(((0+OB11+OB12+OB13+OB14+OB15+OB16+OB17+OB19+OB20+OB21+OB22+OB23+OB24+OB25+OB27+OB28+OB29+OB30+OB31+OB32+OB33+OB35+OB36+OB37+OB38+OB39+OB40+OB41+OB43+OB44+OB45+OB46)/T2),0)</f>
        <v/>
      </c>
      <c r="OL46" s="5">
        <f>IFERROR(ROUND(OB46/OD46,2),0)</f>
        <v/>
      </c>
      <c r="OM46" s="5">
        <f>IFERROR(ROUND(OB46/OE46,2),0)</f>
        <v/>
      </c>
      <c r="ON46" s="2" t="inlineStr">
        <is>
          <t>2023-10-21</t>
        </is>
      </c>
      <c r="OO46" s="5">
        <f>ROUND(0.0,2)</f>
        <v/>
      </c>
      <c r="OP46" s="3">
        <f>ROUND(0.0,2)</f>
        <v/>
      </c>
      <c r="OQ46" s="3">
        <f>ROUND(0.0,2)</f>
        <v/>
      </c>
      <c r="OR46" s="3">
        <f>ROUND(0.0,2)</f>
        <v/>
      </c>
      <c r="OS46" s="3">
        <f>ROUND(0.0,2)</f>
        <v/>
      </c>
      <c r="OT46" s="3">
        <f>ROUND(0.0,2)</f>
        <v/>
      </c>
      <c r="OU46" s="3">
        <f>ROUND(0.0,2)</f>
        <v/>
      </c>
      <c r="OV46" s="3">
        <f>ROUND(0.0,2)</f>
        <v/>
      </c>
      <c r="OW46" s="4">
        <f>IFERROR((OQ46/OP46),0)</f>
        <v/>
      </c>
      <c r="OX46" s="4">
        <f>IFERROR(((0+OO11+OO12+OO13+OO14+OO15+OO16+OO17+OO19+OO20+OO21+OO22+OO23+OO24+OO25+OO27+OO28+OO29+OO30+OO31+OO32+OO33+OO35+OO36+OO37+OO38+OO39+OO40+OO41+OO43+OO44+OO45+OO46)/T2),0)</f>
        <v/>
      </c>
      <c r="OY46" s="5">
        <f>IFERROR(ROUND(OO46/OQ46,2),0)</f>
        <v/>
      </c>
      <c r="OZ46" s="5">
        <f>IFERROR(ROUND(OO46/OR46,2),0)</f>
        <v/>
      </c>
      <c r="PA46" s="2" t="inlineStr">
        <is>
          <t>2023-10-21</t>
        </is>
      </c>
      <c r="PB46" s="5">
        <f>ROUND(0.0,2)</f>
        <v/>
      </c>
      <c r="PC46" s="3">
        <f>ROUND(0.0,2)</f>
        <v/>
      </c>
      <c r="PD46" s="3">
        <f>ROUND(0.0,2)</f>
        <v/>
      </c>
      <c r="PE46" s="3">
        <f>ROUND(0.0,2)</f>
        <v/>
      </c>
      <c r="PF46" s="3">
        <f>ROUND(0.0,2)</f>
        <v/>
      </c>
      <c r="PG46" s="3">
        <f>ROUND(0.0,2)</f>
        <v/>
      </c>
      <c r="PH46" s="3">
        <f>ROUND(0.0,2)</f>
        <v/>
      </c>
      <c r="PI46" s="3">
        <f>ROUND(0.0,2)</f>
        <v/>
      </c>
      <c r="PJ46" s="4">
        <f>IFERROR((PD46/PC46),0)</f>
        <v/>
      </c>
      <c r="PK46" s="4">
        <f>IFERROR(((0+PB11+PB12+PB13+PB14+PB15+PB16+PB17+PB19+PB20+PB21+PB22+PB23+PB24+PB25+PB27+PB28+PB29+PB30+PB31+PB32+PB33+PB35+PB36+PB37+PB38+PB39+PB40+PB41+PB43+PB44+PB45+PB46)/T2),0)</f>
        <v/>
      </c>
      <c r="PL46" s="5">
        <f>IFERROR(ROUND(PB46/PD46,2),0)</f>
        <v/>
      </c>
      <c r="PM46" s="5">
        <f>IFERROR(ROUND(PB46/PE46,2),0)</f>
        <v/>
      </c>
      <c r="PN46" s="2" t="inlineStr">
        <is>
          <t>2023-10-21</t>
        </is>
      </c>
      <c r="PO46" s="5">
        <f>ROUND(0.0,2)</f>
        <v/>
      </c>
      <c r="PP46" s="3">
        <f>ROUND(0.0,2)</f>
        <v/>
      </c>
      <c r="PQ46" s="3">
        <f>ROUND(0.0,2)</f>
        <v/>
      </c>
      <c r="PR46" s="3">
        <f>ROUND(0.0,2)</f>
        <v/>
      </c>
      <c r="PS46" s="3">
        <f>ROUND(0.0,2)</f>
        <v/>
      </c>
      <c r="PT46" s="3">
        <f>ROUND(0.0,2)</f>
        <v/>
      </c>
      <c r="PU46" s="3">
        <f>ROUND(0.0,2)</f>
        <v/>
      </c>
      <c r="PV46" s="3">
        <f>ROUND(0.0,2)</f>
        <v/>
      </c>
      <c r="PW46" s="4">
        <f>IFERROR((PQ46/PP46),0)</f>
        <v/>
      </c>
      <c r="PX46" s="4">
        <f>IFERROR(((0+PO11+PO12+PO13+PO14+PO15+PO16+PO17+PO19+PO20+PO21+PO22+PO23+PO24+PO25+PO27+PO28+PO29+PO30+PO31+PO32+PO33+PO35+PO36+PO37+PO38+PO39+PO40+PO41+PO43+PO44+PO45+PO46)/T2),0)</f>
        <v/>
      </c>
      <c r="PY46" s="5">
        <f>IFERROR(ROUND(PO46/PQ46,2),0)</f>
        <v/>
      </c>
      <c r="PZ46" s="5">
        <f>IFERROR(ROUND(PO46/PR46,2),0)</f>
        <v/>
      </c>
      <c r="QA46" s="2" t="inlineStr">
        <is>
          <t>2023-10-21</t>
        </is>
      </c>
      <c r="QB46" s="5">
        <f>ROUND(0.0,2)</f>
        <v/>
      </c>
      <c r="QC46" s="3">
        <f>ROUND(0.0,2)</f>
        <v/>
      </c>
      <c r="QD46" s="3">
        <f>ROUND(0.0,2)</f>
        <v/>
      </c>
      <c r="QE46" s="3">
        <f>ROUND(0.0,2)</f>
        <v/>
      </c>
      <c r="QF46" s="3">
        <f>ROUND(0.0,2)</f>
        <v/>
      </c>
      <c r="QG46" s="3">
        <f>ROUND(0.0,2)</f>
        <v/>
      </c>
      <c r="QH46" s="3">
        <f>ROUND(0.0,2)</f>
        <v/>
      </c>
      <c r="QI46" s="3">
        <f>ROUND(0.0,2)</f>
        <v/>
      </c>
      <c r="QJ46" s="4">
        <f>IFERROR((QD46/QC46),0)</f>
        <v/>
      </c>
      <c r="QK46" s="4">
        <f>IFERROR(((0+QB11+QB12+QB13+QB14+QB15+QB16+QB17+QB19+QB20+QB21+QB22+QB23+QB24+QB25+QB27+QB28+QB29+QB30+QB31+QB32+QB33+QB35+QB36+QB37+QB38+QB39+QB40+QB41+QB43+QB44+QB45+QB46)/T2),0)</f>
        <v/>
      </c>
      <c r="QL46" s="5">
        <f>IFERROR(ROUND(QB46/QD46,2),0)</f>
        <v/>
      </c>
      <c r="QM46" s="5">
        <f>IFERROR(ROUND(QB46/QE46,2),0)</f>
        <v/>
      </c>
      <c r="QN46" s="2" t="inlineStr">
        <is>
          <t>2023-10-21</t>
        </is>
      </c>
      <c r="QO46" s="5">
        <f>ROUND(0.0,2)</f>
        <v/>
      </c>
      <c r="QP46" s="3">
        <f>ROUND(0.0,2)</f>
        <v/>
      </c>
      <c r="QQ46" s="3">
        <f>ROUND(0.0,2)</f>
        <v/>
      </c>
      <c r="QR46" s="3">
        <f>ROUND(0.0,2)</f>
        <v/>
      </c>
      <c r="QS46" s="3">
        <f>ROUND(0.0,2)</f>
        <v/>
      </c>
      <c r="QT46" s="3">
        <f>ROUND(0.0,2)</f>
        <v/>
      </c>
      <c r="QU46" s="3">
        <f>ROUND(0.0,2)</f>
        <v/>
      </c>
      <c r="QV46" s="3">
        <f>ROUND(0.0,2)</f>
        <v/>
      </c>
      <c r="QW46" s="4">
        <f>IFERROR((QQ46/QP46),0)</f>
        <v/>
      </c>
      <c r="QX46" s="4">
        <f>IFERROR(((0+QO11+QO12+QO13+QO14+QO15+QO16+QO17+QO19+QO20+QO21+QO22+QO23+QO24+QO25+QO27+QO28+QO29+QO30+QO31+QO32+QO33+QO35+QO36+QO37+QO38+QO39+QO40+QO41+QO43+QO44+QO45+QO46)/T2),0)</f>
        <v/>
      </c>
      <c r="QY46" s="5">
        <f>IFERROR(ROUND(QO46/QQ46,2),0)</f>
        <v/>
      </c>
      <c r="QZ46" s="5">
        <f>IFERROR(ROUND(QO46/QR46,2),0)</f>
        <v/>
      </c>
      <c r="RA46" s="2" t="inlineStr">
        <is>
          <t>2023-10-21</t>
        </is>
      </c>
      <c r="RB46" s="5">
        <f>ROUND(0.0,2)</f>
        <v/>
      </c>
      <c r="RC46" s="3">
        <f>ROUND(0.0,2)</f>
        <v/>
      </c>
      <c r="RD46" s="3">
        <f>ROUND(0.0,2)</f>
        <v/>
      </c>
      <c r="RE46" s="3">
        <f>ROUND(0.0,2)</f>
        <v/>
      </c>
      <c r="RF46" s="3">
        <f>ROUND(0.0,2)</f>
        <v/>
      </c>
      <c r="RG46" s="3">
        <f>ROUND(0.0,2)</f>
        <v/>
      </c>
      <c r="RH46" s="3">
        <f>ROUND(0.0,2)</f>
        <v/>
      </c>
      <c r="RI46" s="3">
        <f>ROUND(0.0,2)</f>
        <v/>
      </c>
      <c r="RJ46" s="4">
        <f>IFERROR((RD46/RC46),0)</f>
        <v/>
      </c>
      <c r="RK46" s="4">
        <f>IFERROR(((0+RB11+RB12+RB13+RB14+RB15+RB16+RB17+RB19+RB20+RB21+RB22+RB23+RB24+RB25+RB27+RB28+RB29+RB30+RB31+RB32+RB33+RB35+RB36+RB37+RB38+RB39+RB40+RB41+RB43+RB44+RB45+RB46)/T2),0)</f>
        <v/>
      </c>
      <c r="RL46" s="5">
        <f>IFERROR(ROUND(RB46/RD46,2),0)</f>
        <v/>
      </c>
      <c r="RM46" s="5">
        <f>IFERROR(ROUND(RB46/RE46,2),0)</f>
        <v/>
      </c>
      <c r="RN46" s="2" t="inlineStr">
        <is>
          <t>2023-10-21</t>
        </is>
      </c>
      <c r="RO46" s="5">
        <f>ROUND(0.0,2)</f>
        <v/>
      </c>
      <c r="RP46" s="3">
        <f>ROUND(0.0,2)</f>
        <v/>
      </c>
      <c r="RQ46" s="3">
        <f>ROUND(0.0,2)</f>
        <v/>
      </c>
      <c r="RR46" s="3">
        <f>ROUND(0.0,2)</f>
        <v/>
      </c>
      <c r="RS46" s="3">
        <f>ROUND(0.0,2)</f>
        <v/>
      </c>
      <c r="RT46" s="3">
        <f>ROUND(0.0,2)</f>
        <v/>
      </c>
      <c r="RU46" s="3">
        <f>ROUND(0.0,2)</f>
        <v/>
      </c>
      <c r="RV46" s="3">
        <f>ROUND(0.0,2)</f>
        <v/>
      </c>
      <c r="RW46" s="4">
        <f>IFERROR((RQ46/RP46),0)</f>
        <v/>
      </c>
      <c r="RX46" s="4">
        <f>IFERROR(((0+RO11+RO12+RO13+RO14+RO15+RO16+RO17+RO19+RO20+RO21+RO22+RO23+RO24+RO25+RO27+RO28+RO29+RO30+RO31+RO32+RO33+RO35+RO36+RO37+RO38+RO39+RO40+RO41+RO43+RO44+RO45+RO46)/T2),0)</f>
        <v/>
      </c>
      <c r="RY46" s="5">
        <f>IFERROR(ROUND(RO46/RQ46,2),0)</f>
        <v/>
      </c>
      <c r="RZ46" s="5">
        <f>IFERROR(ROUND(RO46/RR46,2),0)</f>
        <v/>
      </c>
      <c r="SA46" s="2" t="inlineStr">
        <is>
          <t>2023-10-21</t>
        </is>
      </c>
      <c r="SB46" s="5">
        <f>ROUND(0.0,2)</f>
        <v/>
      </c>
      <c r="SC46" s="3">
        <f>ROUND(0.0,2)</f>
        <v/>
      </c>
      <c r="SD46" s="3">
        <f>ROUND(0.0,2)</f>
        <v/>
      </c>
      <c r="SE46" s="3">
        <f>ROUND(0.0,2)</f>
        <v/>
      </c>
      <c r="SF46" s="3">
        <f>ROUND(0.0,2)</f>
        <v/>
      </c>
      <c r="SG46" s="3">
        <f>ROUND(0.0,2)</f>
        <v/>
      </c>
      <c r="SH46" s="3">
        <f>ROUND(0.0,2)</f>
        <v/>
      </c>
      <c r="SI46" s="3">
        <f>ROUND(0.0,2)</f>
        <v/>
      </c>
      <c r="SJ46" s="4">
        <f>IFERROR((SD46/SC46),0)</f>
        <v/>
      </c>
      <c r="SK46" s="4">
        <f>IFERROR(((0+SB11+SB12+SB13+SB14+SB15+SB16+SB17+SB19+SB20+SB21+SB22+SB23+SB24+SB25+SB27+SB28+SB29+SB30+SB31+SB32+SB33+SB35+SB36+SB37+SB38+SB39+SB40+SB41+SB43+SB44+SB45+SB46)/T2),0)</f>
        <v/>
      </c>
      <c r="SL46" s="5">
        <f>IFERROR(ROUND(SB46/SD46,2),0)</f>
        <v/>
      </c>
      <c r="SM46" s="5">
        <f>IFERROR(ROUND(SB46/SE46,2),0)</f>
        <v/>
      </c>
      <c r="SN46" s="2" t="inlineStr">
        <is>
          <t>2023-10-21</t>
        </is>
      </c>
      <c r="SO46" s="5">
        <f>ROUND(0.0,2)</f>
        <v/>
      </c>
      <c r="SP46" s="3">
        <f>ROUND(0.0,2)</f>
        <v/>
      </c>
      <c r="SQ46" s="3">
        <f>ROUND(0.0,2)</f>
        <v/>
      </c>
      <c r="SR46" s="3">
        <f>ROUND(0.0,2)</f>
        <v/>
      </c>
      <c r="SS46" s="3">
        <f>ROUND(0.0,2)</f>
        <v/>
      </c>
      <c r="ST46" s="3">
        <f>ROUND(0.0,2)</f>
        <v/>
      </c>
      <c r="SU46" s="3">
        <f>ROUND(0.0,2)</f>
        <v/>
      </c>
      <c r="SV46" s="3">
        <f>ROUND(0.0,2)</f>
        <v/>
      </c>
      <c r="SW46" s="4">
        <f>IFERROR((SQ46/SP46),0)</f>
        <v/>
      </c>
      <c r="SX46" s="4">
        <f>IFERROR(((0+SO11+SO12+SO13+SO14+SO15+SO16+SO17+SO19+SO20+SO21+SO22+SO23+SO24+SO25+SO27+SO28+SO29+SO30+SO31+SO32+SO33+SO35+SO36+SO37+SO38+SO39+SO40+SO41+SO43+SO44+SO45+SO46)/T2),0)</f>
        <v/>
      </c>
      <c r="SY46" s="5">
        <f>IFERROR(ROUND(SO46/SQ46,2),0)</f>
        <v/>
      </c>
      <c r="SZ46" s="5">
        <f>IFERROR(ROUND(SO46/SR46,2),0)</f>
        <v/>
      </c>
    </row>
    <row r="47">
      <c r="A47" s="2" t="inlineStr">
        <is>
          <t>2023-10-22</t>
        </is>
      </c>
      <c r="B47" s="5">
        <f>ROUND(0.0,2)</f>
        <v/>
      </c>
      <c r="C47" s="3">
        <f>ROUND(0.0,2)</f>
        <v/>
      </c>
      <c r="D47" s="3">
        <f>ROUND(0.0,2)</f>
        <v/>
      </c>
      <c r="E47" s="3">
        <f>ROUND(0.0,2)</f>
        <v/>
      </c>
      <c r="F47" s="3">
        <f>ROUND(0.0,2)</f>
        <v/>
      </c>
      <c r="G47" s="3">
        <f>ROUND(0.0,2)</f>
        <v/>
      </c>
      <c r="H47" s="3">
        <f>ROUND(0.0,2)</f>
        <v/>
      </c>
      <c r="I47" s="3">
        <f>ROUND(0.0,2)</f>
        <v/>
      </c>
      <c r="J47" s="4">
        <f>IFERROR((D47/C47),0)</f>
        <v/>
      </c>
      <c r="K47" s="4">
        <f>IFERROR(((0+B11+B12+B13+B14+B15+B16+B17+B19+B20+B21+B22+B23+B24+B25+B27+B28+B29+B30+B31+B32+B33+B35+B36+B37+B38+B39+B40+B41+B43+B44+B45+B46+B47)/T2),0)</f>
        <v/>
      </c>
      <c r="L47" s="5">
        <f>IFERROR(ROUND(B47/D47,2),0)</f>
        <v/>
      </c>
      <c r="M47" s="5">
        <f>IFERROR(ROUND(B47/E47,2),0)</f>
        <v/>
      </c>
      <c r="N47" s="2" t="inlineStr">
        <is>
          <t>2023-10-22</t>
        </is>
      </c>
      <c r="O47" s="5">
        <f>ROUND(0.0,2)</f>
        <v/>
      </c>
      <c r="P47" s="3">
        <f>ROUND(0.0,2)</f>
        <v/>
      </c>
      <c r="Q47" s="3">
        <f>ROUND(0.0,2)</f>
        <v/>
      </c>
      <c r="R47" s="3">
        <f>ROUND(0.0,2)</f>
        <v/>
      </c>
      <c r="S47" s="3">
        <f>ROUND(0.0,2)</f>
        <v/>
      </c>
      <c r="T47" s="3">
        <f>ROUND(0.0,2)</f>
        <v/>
      </c>
      <c r="U47" s="3">
        <f>ROUND(0.0,2)</f>
        <v/>
      </c>
      <c r="V47" s="3">
        <f>ROUND(0.0,2)</f>
        <v/>
      </c>
      <c r="W47" s="4">
        <f>IFERROR((Q47/P47),0)</f>
        <v/>
      </c>
      <c r="X47" s="4">
        <f>IFERROR(((0+O11+O12+O13+O14+O15+O16+O17+O19+O20+O21+O22+O23+O24+O25+O27+O28+O29+O30+O31+O32+O33+O35+O36+O37+O38+O39+O40+O41+O43+O44+O45+O46+O47)/T2),0)</f>
        <v/>
      </c>
      <c r="Y47" s="5">
        <f>IFERROR(ROUND(O47/Q47,2),0)</f>
        <v/>
      </c>
      <c r="Z47" s="5">
        <f>IFERROR(ROUND(O47/R47,2),0)</f>
        <v/>
      </c>
      <c r="AA47" s="2" t="inlineStr">
        <is>
          <t>2023-10-22</t>
        </is>
      </c>
      <c r="AB47" s="5">
        <f>ROUND(0.0,2)</f>
        <v/>
      </c>
      <c r="AC47" s="3">
        <f>ROUND(0.0,2)</f>
        <v/>
      </c>
      <c r="AD47" s="3">
        <f>ROUND(0.0,2)</f>
        <v/>
      </c>
      <c r="AE47" s="3">
        <f>ROUND(0.0,2)</f>
        <v/>
      </c>
      <c r="AF47" s="3">
        <f>ROUND(0.0,2)</f>
        <v/>
      </c>
      <c r="AG47" s="3">
        <f>ROUND(0.0,2)</f>
        <v/>
      </c>
      <c r="AH47" s="3">
        <f>ROUND(0.0,2)</f>
        <v/>
      </c>
      <c r="AI47" s="3">
        <f>ROUND(0.0,2)</f>
        <v/>
      </c>
      <c r="AJ47" s="4">
        <f>IFERROR((AD47/AC47),0)</f>
        <v/>
      </c>
      <c r="AK47" s="4">
        <f>IFERROR(((0+AB11+AB12+AB13+AB14+AB15+AB16+AB17+AB19+AB20+AB21+AB22+AB23+AB24+AB25+AB27+AB28+AB29+AB30+AB31+AB32+AB33+AB35+AB36+AB37+AB38+AB39+AB40+AB41+AB43+AB44+AB45+AB46+AB47)/T2),0)</f>
        <v/>
      </c>
      <c r="AL47" s="5">
        <f>IFERROR(ROUND(AB47/AD47,2),0)</f>
        <v/>
      </c>
      <c r="AM47" s="5">
        <f>IFERROR(ROUND(AB47/AE47,2),0)</f>
        <v/>
      </c>
      <c r="AN47" s="2" t="inlineStr">
        <is>
          <t>2023-10-22</t>
        </is>
      </c>
      <c r="AO47" s="5">
        <f>ROUND(0.0,2)</f>
        <v/>
      </c>
      <c r="AP47" s="3">
        <f>ROUND(0.0,2)</f>
        <v/>
      </c>
      <c r="AQ47" s="3">
        <f>ROUND(0.0,2)</f>
        <v/>
      </c>
      <c r="AR47" s="3">
        <f>ROUND(0.0,2)</f>
        <v/>
      </c>
      <c r="AS47" s="3">
        <f>ROUND(0.0,2)</f>
        <v/>
      </c>
      <c r="AT47" s="3">
        <f>ROUND(0.0,2)</f>
        <v/>
      </c>
      <c r="AU47" s="3">
        <f>ROUND(0.0,2)</f>
        <v/>
      </c>
      <c r="AV47" s="3">
        <f>ROUND(0.0,2)</f>
        <v/>
      </c>
      <c r="AW47" s="4">
        <f>IFERROR((AQ47/AP47),0)</f>
        <v/>
      </c>
      <c r="AX47" s="4">
        <f>IFERROR(((0+AO11+AO12+AO13+AO14+AO15+AO16+AO17+AO19+AO20+AO21+AO22+AO23+AO24+AO25+AO27+AO28+AO29+AO30+AO31+AO32+AO33+AO35+AO36+AO37+AO38+AO39+AO40+AO41+AO43+AO44+AO45+AO46+AO47)/T2),0)</f>
        <v/>
      </c>
      <c r="AY47" s="5">
        <f>IFERROR(ROUND(AO47/AQ47,2),0)</f>
        <v/>
      </c>
      <c r="AZ47" s="5">
        <f>IFERROR(ROUND(AO47/AR47,2),0)</f>
        <v/>
      </c>
      <c r="BA47" s="2" t="inlineStr">
        <is>
          <t>2023-10-22</t>
        </is>
      </c>
      <c r="BB47" s="5">
        <f>ROUND(0.0,2)</f>
        <v/>
      </c>
      <c r="BC47" s="3">
        <f>ROUND(0.0,2)</f>
        <v/>
      </c>
      <c r="BD47" s="3">
        <f>ROUND(0.0,2)</f>
        <v/>
      </c>
      <c r="BE47" s="3">
        <f>ROUND(0.0,2)</f>
        <v/>
      </c>
      <c r="BF47" s="3">
        <f>ROUND(0.0,2)</f>
        <v/>
      </c>
      <c r="BG47" s="3">
        <f>ROUND(0.0,2)</f>
        <v/>
      </c>
      <c r="BH47" s="3">
        <f>ROUND(0.0,2)</f>
        <v/>
      </c>
      <c r="BI47" s="3">
        <f>ROUND(0.0,2)</f>
        <v/>
      </c>
      <c r="BJ47" s="4">
        <f>IFERROR((BD47/BC47),0)</f>
        <v/>
      </c>
      <c r="BK47" s="4">
        <f>IFERROR(((0+BB11+BB12+BB13+BB14+BB15+BB16+BB17+BB19+BB20+BB21+BB22+BB23+BB24+BB25+BB27+BB28+BB29+BB30+BB31+BB32+BB33+BB35+BB36+BB37+BB38+BB39+BB40+BB41+BB43+BB44+BB45+BB46+BB47)/T2),0)</f>
        <v/>
      </c>
      <c r="BL47" s="5">
        <f>IFERROR(ROUND(BB47/BD47,2),0)</f>
        <v/>
      </c>
      <c r="BM47" s="5">
        <f>IFERROR(ROUND(BB47/BE47,2),0)</f>
        <v/>
      </c>
      <c r="BN47" s="2" t="inlineStr">
        <is>
          <t>2023-10-22</t>
        </is>
      </c>
      <c r="BO47" s="5">
        <f>ROUND(0.0,2)</f>
        <v/>
      </c>
      <c r="BP47" s="3">
        <f>ROUND(0.0,2)</f>
        <v/>
      </c>
      <c r="BQ47" s="3">
        <f>ROUND(0.0,2)</f>
        <v/>
      </c>
      <c r="BR47" s="3">
        <f>ROUND(0.0,2)</f>
        <v/>
      </c>
      <c r="BS47" s="3">
        <f>ROUND(0.0,2)</f>
        <v/>
      </c>
      <c r="BT47" s="3">
        <f>ROUND(0.0,2)</f>
        <v/>
      </c>
      <c r="BU47" s="3">
        <f>ROUND(0.0,2)</f>
        <v/>
      </c>
      <c r="BV47" s="3">
        <f>ROUND(0.0,2)</f>
        <v/>
      </c>
      <c r="BW47" s="4">
        <f>IFERROR((BQ47/BP47),0)</f>
        <v/>
      </c>
      <c r="BX47" s="4">
        <f>IFERROR(((0+BO11+BO12+BO13+BO14+BO15+BO16+BO17+BO19+BO20+BO21+BO22+BO23+BO24+BO25+BO27+BO28+BO29+BO30+BO31+BO32+BO33+BO35+BO36+BO37+BO38+BO39+BO40+BO41+BO43+BO44+BO45+BO46+BO47)/T2),0)</f>
        <v/>
      </c>
      <c r="BY47" s="5">
        <f>IFERROR(ROUND(BO47/BQ47,2),0)</f>
        <v/>
      </c>
      <c r="BZ47" s="5">
        <f>IFERROR(ROUND(BO47/BR47,2),0)</f>
        <v/>
      </c>
      <c r="CA47" s="2" t="inlineStr">
        <is>
          <t>2023-10-22</t>
        </is>
      </c>
      <c r="CB47" s="5">
        <f>ROUND(0.0,2)</f>
        <v/>
      </c>
      <c r="CC47" s="3">
        <f>ROUND(0.0,2)</f>
        <v/>
      </c>
      <c r="CD47" s="3">
        <f>ROUND(0.0,2)</f>
        <v/>
      </c>
      <c r="CE47" s="3">
        <f>ROUND(0.0,2)</f>
        <v/>
      </c>
      <c r="CF47" s="3">
        <f>ROUND(0.0,2)</f>
        <v/>
      </c>
      <c r="CG47" s="3">
        <f>ROUND(0.0,2)</f>
        <v/>
      </c>
      <c r="CH47" s="3">
        <f>ROUND(0.0,2)</f>
        <v/>
      </c>
      <c r="CI47" s="3">
        <f>ROUND(0.0,2)</f>
        <v/>
      </c>
      <c r="CJ47" s="4">
        <f>IFERROR((CD47/CC47),0)</f>
        <v/>
      </c>
      <c r="CK47" s="4">
        <f>IFERROR(((0+CB11+CB12+CB13+CB14+CB15+CB16+CB17+CB19+CB20+CB21+CB22+CB23+CB24+CB25+CB27+CB28+CB29+CB30+CB31+CB32+CB33+CB35+CB36+CB37+CB38+CB39+CB40+CB41+CB43+CB44+CB45+CB46+CB47)/T2),0)</f>
        <v/>
      </c>
      <c r="CL47" s="5">
        <f>IFERROR(ROUND(CB47/CD47,2),0)</f>
        <v/>
      </c>
      <c r="CM47" s="5">
        <f>IFERROR(ROUND(CB47/CE47,2),0)</f>
        <v/>
      </c>
      <c r="CN47" s="2" t="inlineStr">
        <is>
          <t>2023-10-22</t>
        </is>
      </c>
      <c r="CO47" s="5">
        <f>ROUND(0.0,2)</f>
        <v/>
      </c>
      <c r="CP47" s="3">
        <f>ROUND(0.0,2)</f>
        <v/>
      </c>
      <c r="CQ47" s="3">
        <f>ROUND(0.0,2)</f>
        <v/>
      </c>
      <c r="CR47" s="3">
        <f>ROUND(0.0,2)</f>
        <v/>
      </c>
      <c r="CS47" s="3">
        <f>ROUND(0.0,2)</f>
        <v/>
      </c>
      <c r="CT47" s="3">
        <f>ROUND(0.0,2)</f>
        <v/>
      </c>
      <c r="CU47" s="3">
        <f>ROUND(0.0,2)</f>
        <v/>
      </c>
      <c r="CV47" s="3">
        <f>ROUND(0.0,2)</f>
        <v/>
      </c>
      <c r="CW47" s="4">
        <f>IFERROR((CQ47/CP47),0)</f>
        <v/>
      </c>
      <c r="CX47" s="4">
        <f>IFERROR(((0+CO11+CO12+CO13+CO14+CO15+CO16+CO17+CO19+CO20+CO21+CO22+CO23+CO24+CO25+CO27+CO28+CO29+CO30+CO31+CO32+CO33+CO35+CO36+CO37+CO38+CO39+CO40+CO41+CO43+CO44+CO45+CO46+CO47)/T2),0)</f>
        <v/>
      </c>
      <c r="CY47" s="5">
        <f>IFERROR(ROUND(CO47/CQ47,2),0)</f>
        <v/>
      </c>
      <c r="CZ47" s="5">
        <f>IFERROR(ROUND(CO47/CR47,2),0)</f>
        <v/>
      </c>
      <c r="DA47" s="2" t="inlineStr">
        <is>
          <t>2023-10-22</t>
        </is>
      </c>
      <c r="DB47" s="5">
        <f>ROUND(0.0,2)</f>
        <v/>
      </c>
      <c r="DC47" s="3">
        <f>ROUND(0.0,2)</f>
        <v/>
      </c>
      <c r="DD47" s="3">
        <f>ROUND(0.0,2)</f>
        <v/>
      </c>
      <c r="DE47" s="3">
        <f>ROUND(0.0,2)</f>
        <v/>
      </c>
      <c r="DF47" s="3">
        <f>ROUND(0.0,2)</f>
        <v/>
      </c>
      <c r="DG47" s="3">
        <f>ROUND(0.0,2)</f>
        <v/>
      </c>
      <c r="DH47" s="3">
        <f>ROUND(0.0,2)</f>
        <v/>
      </c>
      <c r="DI47" s="3">
        <f>ROUND(0.0,2)</f>
        <v/>
      </c>
      <c r="DJ47" s="4">
        <f>IFERROR((DD47/DC47),0)</f>
        <v/>
      </c>
      <c r="DK47" s="4">
        <f>IFERROR(((0+DB11+DB12+DB13+DB14+DB15+DB16+DB17+DB19+DB20+DB21+DB22+DB23+DB24+DB25+DB27+DB28+DB29+DB30+DB31+DB32+DB33+DB35+DB36+DB37+DB38+DB39+DB40+DB41+DB43+DB44+DB45+DB46+DB47)/T2),0)</f>
        <v/>
      </c>
      <c r="DL47" s="5">
        <f>IFERROR(ROUND(DB47/DD47,2),0)</f>
        <v/>
      </c>
      <c r="DM47" s="5">
        <f>IFERROR(ROUND(DB47/DE47,2),0)</f>
        <v/>
      </c>
      <c r="DN47" s="2" t="inlineStr">
        <is>
          <t>2023-10-22</t>
        </is>
      </c>
      <c r="DO47" s="5">
        <f>ROUND(0.0,2)</f>
        <v/>
      </c>
      <c r="DP47" s="3">
        <f>ROUND(0.0,2)</f>
        <v/>
      </c>
      <c r="DQ47" s="3">
        <f>ROUND(0.0,2)</f>
        <v/>
      </c>
      <c r="DR47" s="3">
        <f>ROUND(0.0,2)</f>
        <v/>
      </c>
      <c r="DS47" s="3">
        <f>ROUND(0.0,2)</f>
        <v/>
      </c>
      <c r="DT47" s="3">
        <f>ROUND(0.0,2)</f>
        <v/>
      </c>
      <c r="DU47" s="3">
        <f>ROUND(0.0,2)</f>
        <v/>
      </c>
      <c r="DV47" s="3">
        <f>ROUND(0.0,2)</f>
        <v/>
      </c>
      <c r="DW47" s="4">
        <f>IFERROR((DQ47/DP47),0)</f>
        <v/>
      </c>
      <c r="DX47" s="4">
        <f>IFERROR(((0+DO11+DO12+DO13+DO14+DO15+DO16+DO17+DO19+DO20+DO21+DO22+DO23+DO24+DO25+DO27+DO28+DO29+DO30+DO31+DO32+DO33+DO35+DO36+DO37+DO38+DO39+DO40+DO41+DO43+DO44+DO45+DO46+DO47)/T2),0)</f>
        <v/>
      </c>
      <c r="DY47" s="5">
        <f>IFERROR(ROUND(DO47/DQ47,2),0)</f>
        <v/>
      </c>
      <c r="DZ47" s="5">
        <f>IFERROR(ROUND(DO47/DR47,2),0)</f>
        <v/>
      </c>
      <c r="EA47" s="2" t="inlineStr">
        <is>
          <t>2023-10-22</t>
        </is>
      </c>
      <c r="EB47" s="5">
        <f>ROUND(0.0,2)</f>
        <v/>
      </c>
      <c r="EC47" s="3">
        <f>ROUND(0.0,2)</f>
        <v/>
      </c>
      <c r="ED47" s="3">
        <f>ROUND(0.0,2)</f>
        <v/>
      </c>
      <c r="EE47" s="3">
        <f>ROUND(0.0,2)</f>
        <v/>
      </c>
      <c r="EF47" s="3">
        <f>ROUND(0.0,2)</f>
        <v/>
      </c>
      <c r="EG47" s="3">
        <f>ROUND(0.0,2)</f>
        <v/>
      </c>
      <c r="EH47" s="3">
        <f>ROUND(0.0,2)</f>
        <v/>
      </c>
      <c r="EI47" s="3">
        <f>ROUND(0.0,2)</f>
        <v/>
      </c>
      <c r="EJ47" s="4">
        <f>IFERROR((ED47/EC47),0)</f>
        <v/>
      </c>
      <c r="EK47" s="4">
        <f>IFERROR(((0+EB11+EB12+EB13+EB14+EB15+EB16+EB17+EB19+EB20+EB21+EB22+EB23+EB24+EB25+EB27+EB28+EB29+EB30+EB31+EB32+EB33+EB35+EB36+EB37+EB38+EB39+EB40+EB41+EB43+EB44+EB45+EB46+EB47)/T2),0)</f>
        <v/>
      </c>
      <c r="EL47" s="5">
        <f>IFERROR(ROUND(EB47/ED47,2),0)</f>
        <v/>
      </c>
      <c r="EM47" s="5">
        <f>IFERROR(ROUND(EB47/EE47,2),0)</f>
        <v/>
      </c>
      <c r="EN47" s="2" t="inlineStr">
        <is>
          <t>2023-10-22</t>
        </is>
      </c>
      <c r="EO47" s="5">
        <f>ROUND(0.0,2)</f>
        <v/>
      </c>
      <c r="EP47" s="3">
        <f>ROUND(0.0,2)</f>
        <v/>
      </c>
      <c r="EQ47" s="3">
        <f>ROUND(0.0,2)</f>
        <v/>
      </c>
      <c r="ER47" s="3">
        <f>ROUND(0.0,2)</f>
        <v/>
      </c>
      <c r="ES47" s="3">
        <f>ROUND(0.0,2)</f>
        <v/>
      </c>
      <c r="ET47" s="3">
        <f>ROUND(0.0,2)</f>
        <v/>
      </c>
      <c r="EU47" s="3">
        <f>ROUND(0.0,2)</f>
        <v/>
      </c>
      <c r="EV47" s="3">
        <f>ROUND(0.0,2)</f>
        <v/>
      </c>
      <c r="EW47" s="4">
        <f>IFERROR((EQ47/EP47),0)</f>
        <v/>
      </c>
      <c r="EX47" s="4">
        <f>IFERROR(((0+EO11+EO12+EO13+EO14+EO15+EO16+EO17+EO19+EO20+EO21+EO22+EO23+EO24+EO25+EO27+EO28+EO29+EO30+EO31+EO32+EO33+EO35+EO36+EO37+EO38+EO39+EO40+EO41+EO43+EO44+EO45+EO46+EO47)/T2),0)</f>
        <v/>
      </c>
      <c r="EY47" s="5">
        <f>IFERROR(ROUND(EO47/EQ47,2),0)</f>
        <v/>
      </c>
      <c r="EZ47" s="5">
        <f>IFERROR(ROUND(EO47/ER47,2),0)</f>
        <v/>
      </c>
      <c r="FA47" s="2" t="inlineStr">
        <is>
          <t>2023-10-22</t>
        </is>
      </c>
      <c r="FB47" s="5">
        <f>ROUND(0.0,2)</f>
        <v/>
      </c>
      <c r="FC47" s="3">
        <f>ROUND(0.0,2)</f>
        <v/>
      </c>
      <c r="FD47" s="3">
        <f>ROUND(0.0,2)</f>
        <v/>
      </c>
      <c r="FE47" s="3">
        <f>ROUND(0.0,2)</f>
        <v/>
      </c>
      <c r="FF47" s="3">
        <f>ROUND(0.0,2)</f>
        <v/>
      </c>
      <c r="FG47" s="3">
        <f>ROUND(0.0,2)</f>
        <v/>
      </c>
      <c r="FH47" s="3">
        <f>ROUND(0.0,2)</f>
        <v/>
      </c>
      <c r="FI47" s="3">
        <f>ROUND(0.0,2)</f>
        <v/>
      </c>
      <c r="FJ47" s="4">
        <f>IFERROR((FD47/FC47),0)</f>
        <v/>
      </c>
      <c r="FK47" s="4">
        <f>IFERROR(((0+FB11+FB12+FB13+FB14+FB15+FB16+FB17+FB19+FB20+FB21+FB22+FB23+FB24+FB25+FB27+FB28+FB29+FB30+FB31+FB32+FB33+FB35+FB36+FB37+FB38+FB39+FB40+FB41+FB43+FB44+FB45+FB46+FB47)/T2),0)</f>
        <v/>
      </c>
      <c r="FL47" s="5">
        <f>IFERROR(ROUND(FB47/FD47,2),0)</f>
        <v/>
      </c>
      <c r="FM47" s="5">
        <f>IFERROR(ROUND(FB47/FE47,2),0)</f>
        <v/>
      </c>
      <c r="FN47" s="2" t="inlineStr">
        <is>
          <t>2023-10-22</t>
        </is>
      </c>
      <c r="FO47" s="5">
        <f>ROUND(0.0,2)</f>
        <v/>
      </c>
      <c r="FP47" s="3">
        <f>ROUND(0.0,2)</f>
        <v/>
      </c>
      <c r="FQ47" s="3">
        <f>ROUND(0.0,2)</f>
        <v/>
      </c>
      <c r="FR47" s="3">
        <f>ROUND(0.0,2)</f>
        <v/>
      </c>
      <c r="FS47" s="3">
        <f>ROUND(0.0,2)</f>
        <v/>
      </c>
      <c r="FT47" s="3">
        <f>ROUND(0.0,2)</f>
        <v/>
      </c>
      <c r="FU47" s="3">
        <f>ROUND(0.0,2)</f>
        <v/>
      </c>
      <c r="FV47" s="3">
        <f>ROUND(0.0,2)</f>
        <v/>
      </c>
      <c r="FW47" s="4">
        <f>IFERROR((FQ47/FP47),0)</f>
        <v/>
      </c>
      <c r="FX47" s="4">
        <f>IFERROR(((0+FO11+FO12+FO13+FO14+FO15+FO16+FO17+FO19+FO20+FO21+FO22+FO23+FO24+FO25+FO27+FO28+FO29+FO30+FO31+FO32+FO33+FO35+FO36+FO37+FO38+FO39+FO40+FO41+FO43+FO44+FO45+FO46+FO47)/T2),0)</f>
        <v/>
      </c>
      <c r="FY47" s="5">
        <f>IFERROR(ROUND(FO47/FQ47,2),0)</f>
        <v/>
      </c>
      <c r="FZ47" s="5">
        <f>IFERROR(ROUND(FO47/FR47,2),0)</f>
        <v/>
      </c>
      <c r="GA47" s="2" t="inlineStr">
        <is>
          <t>2023-10-22</t>
        </is>
      </c>
      <c r="GB47" s="5">
        <f>ROUND(0.0,2)</f>
        <v/>
      </c>
      <c r="GC47" s="3">
        <f>ROUND(0.0,2)</f>
        <v/>
      </c>
      <c r="GD47" s="3">
        <f>ROUND(0.0,2)</f>
        <v/>
      </c>
      <c r="GE47" s="3">
        <f>ROUND(0.0,2)</f>
        <v/>
      </c>
      <c r="GF47" s="3">
        <f>ROUND(0.0,2)</f>
        <v/>
      </c>
      <c r="GG47" s="3">
        <f>ROUND(0.0,2)</f>
        <v/>
      </c>
      <c r="GH47" s="3">
        <f>ROUND(0.0,2)</f>
        <v/>
      </c>
      <c r="GI47" s="3">
        <f>ROUND(0.0,2)</f>
        <v/>
      </c>
      <c r="GJ47" s="4">
        <f>IFERROR((GD47/GC47),0)</f>
        <v/>
      </c>
      <c r="GK47" s="4">
        <f>IFERROR(((0+GB11+GB12+GB13+GB14+GB15+GB16+GB17+GB19+GB20+GB21+GB22+GB23+GB24+GB25+GB27+GB28+GB29+GB30+GB31+GB32+GB33+GB35+GB36+GB37+GB38+GB39+GB40+GB41+GB43+GB44+GB45+GB46+GB47)/T2),0)</f>
        <v/>
      </c>
      <c r="GL47" s="5">
        <f>IFERROR(ROUND(GB47/GD47,2),0)</f>
        <v/>
      </c>
      <c r="GM47" s="5">
        <f>IFERROR(ROUND(GB47/GE47,2),0)</f>
        <v/>
      </c>
      <c r="GN47" s="2" t="inlineStr">
        <is>
          <t>2023-10-22</t>
        </is>
      </c>
      <c r="GO47" s="5">
        <f>ROUND(0.0,2)</f>
        <v/>
      </c>
      <c r="GP47" s="3">
        <f>ROUND(0.0,2)</f>
        <v/>
      </c>
      <c r="GQ47" s="3">
        <f>ROUND(0.0,2)</f>
        <v/>
      </c>
      <c r="GR47" s="3">
        <f>ROUND(0.0,2)</f>
        <v/>
      </c>
      <c r="GS47" s="3">
        <f>ROUND(0.0,2)</f>
        <v/>
      </c>
      <c r="GT47" s="3">
        <f>ROUND(0.0,2)</f>
        <v/>
      </c>
      <c r="GU47" s="3">
        <f>ROUND(0.0,2)</f>
        <v/>
      </c>
      <c r="GV47" s="3">
        <f>ROUND(0.0,2)</f>
        <v/>
      </c>
      <c r="GW47" s="4">
        <f>IFERROR((GQ47/GP47),0)</f>
        <v/>
      </c>
      <c r="GX47" s="4">
        <f>IFERROR(((0+GO11+GO12+GO13+GO14+GO15+GO16+GO17+GO19+GO20+GO21+GO22+GO23+GO24+GO25+GO27+GO28+GO29+GO30+GO31+GO32+GO33+GO35+GO36+GO37+GO38+GO39+GO40+GO41+GO43+GO44+GO45+GO46+GO47)/T2),0)</f>
        <v/>
      </c>
      <c r="GY47" s="5">
        <f>IFERROR(ROUND(GO47/GQ47,2),0)</f>
        <v/>
      </c>
      <c r="GZ47" s="5">
        <f>IFERROR(ROUND(GO47/GR47,2),0)</f>
        <v/>
      </c>
      <c r="HA47" s="2" t="inlineStr">
        <is>
          <t>2023-10-22</t>
        </is>
      </c>
      <c r="HB47" s="5">
        <f>ROUND(0.0,2)</f>
        <v/>
      </c>
      <c r="HC47" s="3">
        <f>ROUND(0.0,2)</f>
        <v/>
      </c>
      <c r="HD47" s="3">
        <f>ROUND(0.0,2)</f>
        <v/>
      </c>
      <c r="HE47" s="3">
        <f>ROUND(0.0,2)</f>
        <v/>
      </c>
      <c r="HF47" s="3">
        <f>ROUND(0.0,2)</f>
        <v/>
      </c>
      <c r="HG47" s="3">
        <f>ROUND(0.0,2)</f>
        <v/>
      </c>
      <c r="HH47" s="3">
        <f>ROUND(0.0,2)</f>
        <v/>
      </c>
      <c r="HI47" s="3">
        <f>ROUND(0.0,2)</f>
        <v/>
      </c>
      <c r="HJ47" s="4">
        <f>IFERROR((HD47/HC47),0)</f>
        <v/>
      </c>
      <c r="HK47" s="4">
        <f>IFERROR(((0+HB11+HB12+HB13+HB14+HB15+HB16+HB17+HB19+HB20+HB21+HB22+HB23+HB24+HB25+HB27+HB28+HB29+HB30+HB31+HB32+HB33+HB35+HB36+HB37+HB38+HB39+HB40+HB41+HB43+HB44+HB45+HB46+HB47)/T2),0)</f>
        <v/>
      </c>
      <c r="HL47" s="5">
        <f>IFERROR(ROUND(HB47/HD47,2),0)</f>
        <v/>
      </c>
      <c r="HM47" s="5">
        <f>IFERROR(ROUND(HB47/HE47,2),0)</f>
        <v/>
      </c>
      <c r="HN47" s="2" t="inlineStr">
        <is>
          <t>2023-10-22</t>
        </is>
      </c>
      <c r="HO47" s="5">
        <f>ROUND(0.0,2)</f>
        <v/>
      </c>
      <c r="HP47" s="3">
        <f>ROUND(0.0,2)</f>
        <v/>
      </c>
      <c r="HQ47" s="3">
        <f>ROUND(0.0,2)</f>
        <v/>
      </c>
      <c r="HR47" s="3">
        <f>ROUND(0.0,2)</f>
        <v/>
      </c>
      <c r="HS47" s="3">
        <f>ROUND(0.0,2)</f>
        <v/>
      </c>
      <c r="HT47" s="3">
        <f>ROUND(0.0,2)</f>
        <v/>
      </c>
      <c r="HU47" s="3">
        <f>ROUND(0.0,2)</f>
        <v/>
      </c>
      <c r="HV47" s="3">
        <f>ROUND(0.0,2)</f>
        <v/>
      </c>
      <c r="HW47" s="4">
        <f>IFERROR((HQ47/HP47),0)</f>
        <v/>
      </c>
      <c r="HX47" s="4">
        <f>IFERROR(((0+HO11+HO12+HO13+HO14+HO15+HO16+HO17+HO19+HO20+HO21+HO22+HO23+HO24+HO25+HO27+HO28+HO29+HO30+HO31+HO32+HO33+HO35+HO36+HO37+HO38+HO39+HO40+HO41+HO43+HO44+HO45+HO46+HO47)/T2),0)</f>
        <v/>
      </c>
      <c r="HY47" s="5">
        <f>IFERROR(ROUND(HO47/HQ47,2),0)</f>
        <v/>
      </c>
      <c r="HZ47" s="5">
        <f>IFERROR(ROUND(HO47/HR47,2),0)</f>
        <v/>
      </c>
      <c r="IA47" s="2" t="inlineStr">
        <is>
          <t>2023-10-22</t>
        </is>
      </c>
      <c r="IB47" s="5">
        <f>ROUND(0.0,2)</f>
        <v/>
      </c>
      <c r="IC47" s="3">
        <f>ROUND(0.0,2)</f>
        <v/>
      </c>
      <c r="ID47" s="3">
        <f>ROUND(0.0,2)</f>
        <v/>
      </c>
      <c r="IE47" s="3">
        <f>ROUND(0.0,2)</f>
        <v/>
      </c>
      <c r="IF47" s="3">
        <f>ROUND(0.0,2)</f>
        <v/>
      </c>
      <c r="IG47" s="3">
        <f>ROUND(0.0,2)</f>
        <v/>
      </c>
      <c r="IH47" s="3">
        <f>ROUND(0.0,2)</f>
        <v/>
      </c>
      <c r="II47" s="3">
        <f>ROUND(0.0,2)</f>
        <v/>
      </c>
      <c r="IJ47" s="4">
        <f>IFERROR((ID47/IC47),0)</f>
        <v/>
      </c>
      <c r="IK47" s="4">
        <f>IFERROR(((0+IB11+IB12+IB13+IB14+IB15+IB16+IB17+IB19+IB20+IB21+IB22+IB23+IB24+IB25+IB27+IB28+IB29+IB30+IB31+IB32+IB33+IB35+IB36+IB37+IB38+IB39+IB40+IB41+IB43+IB44+IB45+IB46+IB47)/T2),0)</f>
        <v/>
      </c>
      <c r="IL47" s="5">
        <f>IFERROR(ROUND(IB47/ID47,2),0)</f>
        <v/>
      </c>
      <c r="IM47" s="5">
        <f>IFERROR(ROUND(IB47/IE47,2),0)</f>
        <v/>
      </c>
      <c r="IN47" s="2" t="inlineStr">
        <is>
          <t>2023-10-22</t>
        </is>
      </c>
      <c r="IO47" s="5">
        <f>ROUND(0.0,2)</f>
        <v/>
      </c>
      <c r="IP47" s="3">
        <f>ROUND(0.0,2)</f>
        <v/>
      </c>
      <c r="IQ47" s="3">
        <f>ROUND(0.0,2)</f>
        <v/>
      </c>
      <c r="IR47" s="3">
        <f>ROUND(0.0,2)</f>
        <v/>
      </c>
      <c r="IS47" s="3">
        <f>ROUND(0.0,2)</f>
        <v/>
      </c>
      <c r="IT47" s="3">
        <f>ROUND(0.0,2)</f>
        <v/>
      </c>
      <c r="IU47" s="3">
        <f>ROUND(0.0,2)</f>
        <v/>
      </c>
      <c r="IV47" s="3">
        <f>ROUND(0.0,2)</f>
        <v/>
      </c>
      <c r="IW47" s="4">
        <f>IFERROR((IQ47/IP47),0)</f>
        <v/>
      </c>
      <c r="IX47" s="4">
        <f>IFERROR(((0+IO11+IO12+IO13+IO14+IO15+IO16+IO17+IO19+IO20+IO21+IO22+IO23+IO24+IO25+IO27+IO28+IO29+IO30+IO31+IO32+IO33+IO35+IO36+IO37+IO38+IO39+IO40+IO41+IO43+IO44+IO45+IO46+IO47)/T2),0)</f>
        <v/>
      </c>
      <c r="IY47" s="5">
        <f>IFERROR(ROUND(IO47/IQ47,2),0)</f>
        <v/>
      </c>
      <c r="IZ47" s="5">
        <f>IFERROR(ROUND(IO47/IR47,2),0)</f>
        <v/>
      </c>
      <c r="JA47" s="2" t="inlineStr">
        <is>
          <t>2023-10-22</t>
        </is>
      </c>
      <c r="JB47" s="5">
        <f>ROUND(0.0,2)</f>
        <v/>
      </c>
      <c r="JC47" s="3">
        <f>ROUND(0.0,2)</f>
        <v/>
      </c>
      <c r="JD47" s="3">
        <f>ROUND(0.0,2)</f>
        <v/>
      </c>
      <c r="JE47" s="3">
        <f>ROUND(0.0,2)</f>
        <v/>
      </c>
      <c r="JF47" s="3">
        <f>ROUND(0.0,2)</f>
        <v/>
      </c>
      <c r="JG47" s="3">
        <f>ROUND(0.0,2)</f>
        <v/>
      </c>
      <c r="JH47" s="3">
        <f>ROUND(0.0,2)</f>
        <v/>
      </c>
      <c r="JI47" s="3">
        <f>ROUND(0.0,2)</f>
        <v/>
      </c>
      <c r="JJ47" s="4">
        <f>IFERROR((JD47/JC47),0)</f>
        <v/>
      </c>
      <c r="JK47" s="4">
        <f>IFERROR(((0+JB11+JB12+JB13+JB14+JB15+JB16+JB17+JB19+JB20+JB21+JB22+JB23+JB24+JB25+JB27+JB28+JB29+JB30+JB31+JB32+JB33+JB35+JB36+JB37+JB38+JB39+JB40+JB41+JB43+JB44+JB45+JB46+JB47)/T2),0)</f>
        <v/>
      </c>
      <c r="JL47" s="5">
        <f>IFERROR(ROUND(JB47/JD47,2),0)</f>
        <v/>
      </c>
      <c r="JM47" s="5">
        <f>IFERROR(ROUND(JB47/JE47,2),0)</f>
        <v/>
      </c>
      <c r="JN47" s="2" t="inlineStr">
        <is>
          <t>2023-10-22</t>
        </is>
      </c>
      <c r="JO47" s="5">
        <f>ROUND(0.0,2)</f>
        <v/>
      </c>
      <c r="JP47" s="3">
        <f>ROUND(0.0,2)</f>
        <v/>
      </c>
      <c r="JQ47" s="3">
        <f>ROUND(0.0,2)</f>
        <v/>
      </c>
      <c r="JR47" s="3">
        <f>ROUND(0.0,2)</f>
        <v/>
      </c>
      <c r="JS47" s="3">
        <f>ROUND(0.0,2)</f>
        <v/>
      </c>
      <c r="JT47" s="3">
        <f>ROUND(0.0,2)</f>
        <v/>
      </c>
      <c r="JU47" s="3">
        <f>ROUND(0.0,2)</f>
        <v/>
      </c>
      <c r="JV47" s="3">
        <f>ROUND(0.0,2)</f>
        <v/>
      </c>
      <c r="JW47" s="4">
        <f>IFERROR((JQ47/JP47),0)</f>
        <v/>
      </c>
      <c r="JX47" s="4">
        <f>IFERROR(((0+JO11+JO12+JO13+JO14+JO15+JO16+JO17+JO19+JO20+JO21+JO22+JO23+JO24+JO25+JO27+JO28+JO29+JO30+JO31+JO32+JO33+JO35+JO36+JO37+JO38+JO39+JO40+JO41+JO43+JO44+JO45+JO46+JO47)/T2),0)</f>
        <v/>
      </c>
      <c r="JY47" s="5">
        <f>IFERROR(ROUND(JO47/JQ47,2),0)</f>
        <v/>
      </c>
      <c r="JZ47" s="5">
        <f>IFERROR(ROUND(JO47/JR47,2),0)</f>
        <v/>
      </c>
      <c r="KA47" s="2" t="inlineStr">
        <is>
          <t>2023-10-22</t>
        </is>
      </c>
      <c r="KB47" s="5">
        <f>ROUND(0.0,2)</f>
        <v/>
      </c>
      <c r="KC47" s="3">
        <f>ROUND(0.0,2)</f>
        <v/>
      </c>
      <c r="KD47" s="3">
        <f>ROUND(0.0,2)</f>
        <v/>
      </c>
      <c r="KE47" s="3">
        <f>ROUND(0.0,2)</f>
        <v/>
      </c>
      <c r="KF47" s="3">
        <f>ROUND(0.0,2)</f>
        <v/>
      </c>
      <c r="KG47" s="3">
        <f>ROUND(0.0,2)</f>
        <v/>
      </c>
      <c r="KH47" s="3">
        <f>ROUND(0.0,2)</f>
        <v/>
      </c>
      <c r="KI47" s="3">
        <f>ROUND(0.0,2)</f>
        <v/>
      </c>
      <c r="KJ47" s="4">
        <f>IFERROR((KD47/KC47),0)</f>
        <v/>
      </c>
      <c r="KK47" s="4">
        <f>IFERROR(((0+KB11+KB12+KB13+KB14+KB15+KB16+KB17+KB19+KB20+KB21+KB22+KB23+KB24+KB25+KB27+KB28+KB29+KB30+KB31+KB32+KB33+KB35+KB36+KB37+KB38+KB39+KB40+KB41+KB43+KB44+KB45+KB46+KB47)/T2),0)</f>
        <v/>
      </c>
      <c r="KL47" s="5">
        <f>IFERROR(ROUND(KB47/KD47,2),0)</f>
        <v/>
      </c>
      <c r="KM47" s="5">
        <f>IFERROR(ROUND(KB47/KE47,2),0)</f>
        <v/>
      </c>
      <c r="KN47" s="2" t="inlineStr">
        <is>
          <t>2023-10-22</t>
        </is>
      </c>
      <c r="KO47" s="5">
        <f>ROUND(0.0,2)</f>
        <v/>
      </c>
      <c r="KP47" s="3">
        <f>ROUND(0.0,2)</f>
        <v/>
      </c>
      <c r="KQ47" s="3">
        <f>ROUND(0.0,2)</f>
        <v/>
      </c>
      <c r="KR47" s="3">
        <f>ROUND(0.0,2)</f>
        <v/>
      </c>
      <c r="KS47" s="3">
        <f>ROUND(0.0,2)</f>
        <v/>
      </c>
      <c r="KT47" s="3">
        <f>ROUND(0.0,2)</f>
        <v/>
      </c>
      <c r="KU47" s="3">
        <f>ROUND(0.0,2)</f>
        <v/>
      </c>
      <c r="KV47" s="3">
        <f>ROUND(0.0,2)</f>
        <v/>
      </c>
      <c r="KW47" s="4">
        <f>IFERROR((KQ47/KP47),0)</f>
        <v/>
      </c>
      <c r="KX47" s="4">
        <f>IFERROR(((0+KO11+KO12+KO13+KO14+KO15+KO16+KO17+KO19+KO20+KO21+KO22+KO23+KO24+KO25+KO27+KO28+KO29+KO30+KO31+KO32+KO33+KO35+KO36+KO37+KO38+KO39+KO40+KO41+KO43+KO44+KO45+KO46+KO47)/T2),0)</f>
        <v/>
      </c>
      <c r="KY47" s="5">
        <f>IFERROR(ROUND(KO47/KQ47,2),0)</f>
        <v/>
      </c>
      <c r="KZ47" s="5">
        <f>IFERROR(ROUND(KO47/KR47,2),0)</f>
        <v/>
      </c>
      <c r="LA47" s="2" t="inlineStr">
        <is>
          <t>2023-10-22</t>
        </is>
      </c>
      <c r="LB47" s="5">
        <f>ROUND(0.0,2)</f>
        <v/>
      </c>
      <c r="LC47" s="3">
        <f>ROUND(0.0,2)</f>
        <v/>
      </c>
      <c r="LD47" s="3">
        <f>ROUND(0.0,2)</f>
        <v/>
      </c>
      <c r="LE47" s="3">
        <f>ROUND(0.0,2)</f>
        <v/>
      </c>
      <c r="LF47" s="3">
        <f>ROUND(0.0,2)</f>
        <v/>
      </c>
      <c r="LG47" s="3">
        <f>ROUND(0.0,2)</f>
        <v/>
      </c>
      <c r="LH47" s="3">
        <f>ROUND(0.0,2)</f>
        <v/>
      </c>
      <c r="LI47" s="3">
        <f>ROUND(0.0,2)</f>
        <v/>
      </c>
      <c r="LJ47" s="4">
        <f>IFERROR((LD47/LC47),0)</f>
        <v/>
      </c>
      <c r="LK47" s="4">
        <f>IFERROR(((0+LB11+LB12+LB13+LB14+LB15+LB16+LB17+LB19+LB20+LB21+LB22+LB23+LB24+LB25+LB27+LB28+LB29+LB30+LB31+LB32+LB33+LB35+LB36+LB37+LB38+LB39+LB40+LB41+LB43+LB44+LB45+LB46+LB47)/T2),0)</f>
        <v/>
      </c>
      <c r="LL47" s="5">
        <f>IFERROR(ROUND(LB47/LD47,2),0)</f>
        <v/>
      </c>
      <c r="LM47" s="5">
        <f>IFERROR(ROUND(LB47/LE47,2),0)</f>
        <v/>
      </c>
      <c r="LN47" s="2" t="inlineStr">
        <is>
          <t>2023-10-22</t>
        </is>
      </c>
      <c r="LO47" s="5">
        <f>ROUND(0.0,2)</f>
        <v/>
      </c>
      <c r="LP47" s="3">
        <f>ROUND(0.0,2)</f>
        <v/>
      </c>
      <c r="LQ47" s="3">
        <f>ROUND(0.0,2)</f>
        <v/>
      </c>
      <c r="LR47" s="3">
        <f>ROUND(0.0,2)</f>
        <v/>
      </c>
      <c r="LS47" s="3">
        <f>ROUND(0.0,2)</f>
        <v/>
      </c>
      <c r="LT47" s="3">
        <f>ROUND(0.0,2)</f>
        <v/>
      </c>
      <c r="LU47" s="3">
        <f>ROUND(0.0,2)</f>
        <v/>
      </c>
      <c r="LV47" s="3">
        <f>ROUND(0.0,2)</f>
        <v/>
      </c>
      <c r="LW47" s="4">
        <f>IFERROR((LQ47/LP47),0)</f>
        <v/>
      </c>
      <c r="LX47" s="4">
        <f>IFERROR(((0+LO11+LO12+LO13+LO14+LO15+LO16+LO17+LO19+LO20+LO21+LO22+LO23+LO24+LO25+LO27+LO28+LO29+LO30+LO31+LO32+LO33+LO35+LO36+LO37+LO38+LO39+LO40+LO41+LO43+LO44+LO45+LO46+LO47)/T2),0)</f>
        <v/>
      </c>
      <c r="LY47" s="5">
        <f>IFERROR(ROUND(LO47/LQ47,2),0)</f>
        <v/>
      </c>
      <c r="LZ47" s="5">
        <f>IFERROR(ROUND(LO47/LR47,2),0)</f>
        <v/>
      </c>
      <c r="MA47" s="2" t="inlineStr">
        <is>
          <t>2023-10-22</t>
        </is>
      </c>
      <c r="MB47" s="5">
        <f>ROUND(0.0,2)</f>
        <v/>
      </c>
      <c r="MC47" s="3">
        <f>ROUND(0.0,2)</f>
        <v/>
      </c>
      <c r="MD47" s="3">
        <f>ROUND(0.0,2)</f>
        <v/>
      </c>
      <c r="ME47" s="3">
        <f>ROUND(0.0,2)</f>
        <v/>
      </c>
      <c r="MF47" s="3">
        <f>ROUND(0.0,2)</f>
        <v/>
      </c>
      <c r="MG47" s="3">
        <f>ROUND(0.0,2)</f>
        <v/>
      </c>
      <c r="MH47" s="3">
        <f>ROUND(0.0,2)</f>
        <v/>
      </c>
      <c r="MI47" s="3">
        <f>ROUND(0.0,2)</f>
        <v/>
      </c>
      <c r="MJ47" s="4">
        <f>IFERROR((MD47/MC47),0)</f>
        <v/>
      </c>
      <c r="MK47" s="4">
        <f>IFERROR(((0+MB11+MB12+MB13+MB14+MB15+MB16+MB17+MB19+MB20+MB21+MB22+MB23+MB24+MB25+MB27+MB28+MB29+MB30+MB31+MB32+MB33+MB35+MB36+MB37+MB38+MB39+MB40+MB41+MB43+MB44+MB45+MB46+MB47)/T2),0)</f>
        <v/>
      </c>
      <c r="ML47" s="5">
        <f>IFERROR(ROUND(MB47/MD47,2),0)</f>
        <v/>
      </c>
      <c r="MM47" s="5">
        <f>IFERROR(ROUND(MB47/ME47,2),0)</f>
        <v/>
      </c>
      <c r="MN47" s="2" t="inlineStr">
        <is>
          <t>2023-10-22</t>
        </is>
      </c>
      <c r="MO47" s="5">
        <f>ROUND(0.0,2)</f>
        <v/>
      </c>
      <c r="MP47" s="3">
        <f>ROUND(0.0,2)</f>
        <v/>
      </c>
      <c r="MQ47" s="3">
        <f>ROUND(0.0,2)</f>
        <v/>
      </c>
      <c r="MR47" s="3">
        <f>ROUND(0.0,2)</f>
        <v/>
      </c>
      <c r="MS47" s="3">
        <f>ROUND(0.0,2)</f>
        <v/>
      </c>
      <c r="MT47" s="3">
        <f>ROUND(0.0,2)</f>
        <v/>
      </c>
      <c r="MU47" s="3">
        <f>ROUND(0.0,2)</f>
        <v/>
      </c>
      <c r="MV47" s="3">
        <f>ROUND(0.0,2)</f>
        <v/>
      </c>
      <c r="MW47" s="4">
        <f>IFERROR((MQ47/MP47),0)</f>
        <v/>
      </c>
      <c r="MX47" s="4">
        <f>IFERROR(((0+MO11+MO12+MO13+MO14+MO15+MO16+MO17+MO19+MO20+MO21+MO22+MO23+MO24+MO25+MO27+MO28+MO29+MO30+MO31+MO32+MO33+MO35+MO36+MO37+MO38+MO39+MO40+MO41+MO43+MO44+MO45+MO46+MO47)/T2),0)</f>
        <v/>
      </c>
      <c r="MY47" s="5">
        <f>IFERROR(ROUND(MO47/MQ47,2),0)</f>
        <v/>
      </c>
      <c r="MZ47" s="5">
        <f>IFERROR(ROUND(MO47/MR47,2),0)</f>
        <v/>
      </c>
      <c r="NA47" s="2" t="inlineStr">
        <is>
          <t>2023-10-22</t>
        </is>
      </c>
      <c r="NB47" s="5">
        <f>ROUND(0.0,2)</f>
        <v/>
      </c>
      <c r="NC47" s="3">
        <f>ROUND(0.0,2)</f>
        <v/>
      </c>
      <c r="ND47" s="3">
        <f>ROUND(0.0,2)</f>
        <v/>
      </c>
      <c r="NE47" s="3">
        <f>ROUND(0.0,2)</f>
        <v/>
      </c>
      <c r="NF47" s="3">
        <f>ROUND(0.0,2)</f>
        <v/>
      </c>
      <c r="NG47" s="3">
        <f>ROUND(0.0,2)</f>
        <v/>
      </c>
      <c r="NH47" s="3">
        <f>ROUND(0.0,2)</f>
        <v/>
      </c>
      <c r="NI47" s="3">
        <f>ROUND(0.0,2)</f>
        <v/>
      </c>
      <c r="NJ47" s="4">
        <f>IFERROR((ND47/NC47),0)</f>
        <v/>
      </c>
      <c r="NK47" s="4">
        <f>IFERROR(((0+NB11+NB12+NB13+NB14+NB15+NB16+NB17+NB19+NB20+NB21+NB22+NB23+NB24+NB25+NB27+NB28+NB29+NB30+NB31+NB32+NB33+NB35+NB36+NB37+NB38+NB39+NB40+NB41+NB43+NB44+NB45+NB46+NB47)/T2),0)</f>
        <v/>
      </c>
      <c r="NL47" s="5">
        <f>IFERROR(ROUND(NB47/ND47,2),0)</f>
        <v/>
      </c>
      <c r="NM47" s="5">
        <f>IFERROR(ROUND(NB47/NE47,2),0)</f>
        <v/>
      </c>
      <c r="NN47" s="2" t="inlineStr">
        <is>
          <t>2023-10-22</t>
        </is>
      </c>
      <c r="NO47" s="5">
        <f>ROUND(0.0,2)</f>
        <v/>
      </c>
      <c r="NP47" s="3">
        <f>ROUND(0.0,2)</f>
        <v/>
      </c>
      <c r="NQ47" s="3">
        <f>ROUND(0.0,2)</f>
        <v/>
      </c>
      <c r="NR47" s="3">
        <f>ROUND(0.0,2)</f>
        <v/>
      </c>
      <c r="NS47" s="3">
        <f>ROUND(0.0,2)</f>
        <v/>
      </c>
      <c r="NT47" s="3">
        <f>ROUND(0.0,2)</f>
        <v/>
      </c>
      <c r="NU47" s="3">
        <f>ROUND(0.0,2)</f>
        <v/>
      </c>
      <c r="NV47" s="3">
        <f>ROUND(0.0,2)</f>
        <v/>
      </c>
      <c r="NW47" s="4">
        <f>IFERROR((NQ47/NP47),0)</f>
        <v/>
      </c>
      <c r="NX47" s="4">
        <f>IFERROR(((0+NO11+NO12+NO13+NO14+NO15+NO16+NO17+NO19+NO20+NO21+NO22+NO23+NO24+NO25+NO27+NO28+NO29+NO30+NO31+NO32+NO33+NO35+NO36+NO37+NO38+NO39+NO40+NO41+NO43+NO44+NO45+NO46+NO47)/T2),0)</f>
        <v/>
      </c>
      <c r="NY47" s="5">
        <f>IFERROR(ROUND(NO47/NQ47,2),0)</f>
        <v/>
      </c>
      <c r="NZ47" s="5">
        <f>IFERROR(ROUND(NO47/NR47,2),0)</f>
        <v/>
      </c>
      <c r="OA47" s="2" t="inlineStr">
        <is>
          <t>2023-10-22</t>
        </is>
      </c>
      <c r="OB47" s="5">
        <f>ROUND(0.0,2)</f>
        <v/>
      </c>
      <c r="OC47" s="3">
        <f>ROUND(0.0,2)</f>
        <v/>
      </c>
      <c r="OD47" s="3">
        <f>ROUND(0.0,2)</f>
        <v/>
      </c>
      <c r="OE47" s="3">
        <f>ROUND(0.0,2)</f>
        <v/>
      </c>
      <c r="OF47" s="3">
        <f>ROUND(0.0,2)</f>
        <v/>
      </c>
      <c r="OG47" s="3">
        <f>ROUND(0.0,2)</f>
        <v/>
      </c>
      <c r="OH47" s="3">
        <f>ROUND(0.0,2)</f>
        <v/>
      </c>
      <c r="OI47" s="3">
        <f>ROUND(0.0,2)</f>
        <v/>
      </c>
      <c r="OJ47" s="4">
        <f>IFERROR((OD47/OC47),0)</f>
        <v/>
      </c>
      <c r="OK47" s="4">
        <f>IFERROR(((0+OB11+OB12+OB13+OB14+OB15+OB16+OB17+OB19+OB20+OB21+OB22+OB23+OB24+OB25+OB27+OB28+OB29+OB30+OB31+OB32+OB33+OB35+OB36+OB37+OB38+OB39+OB40+OB41+OB43+OB44+OB45+OB46+OB47)/T2),0)</f>
        <v/>
      </c>
      <c r="OL47" s="5">
        <f>IFERROR(ROUND(OB47/OD47,2),0)</f>
        <v/>
      </c>
      <c r="OM47" s="5">
        <f>IFERROR(ROUND(OB47/OE47,2),0)</f>
        <v/>
      </c>
      <c r="ON47" s="2" t="inlineStr">
        <is>
          <t>2023-10-22</t>
        </is>
      </c>
      <c r="OO47" s="5">
        <f>ROUND(0.0,2)</f>
        <v/>
      </c>
      <c r="OP47" s="3">
        <f>ROUND(0.0,2)</f>
        <v/>
      </c>
      <c r="OQ47" s="3">
        <f>ROUND(0.0,2)</f>
        <v/>
      </c>
      <c r="OR47" s="3">
        <f>ROUND(0.0,2)</f>
        <v/>
      </c>
      <c r="OS47" s="3">
        <f>ROUND(0.0,2)</f>
        <v/>
      </c>
      <c r="OT47" s="3">
        <f>ROUND(0.0,2)</f>
        <v/>
      </c>
      <c r="OU47" s="3">
        <f>ROUND(0.0,2)</f>
        <v/>
      </c>
      <c r="OV47" s="3">
        <f>ROUND(0.0,2)</f>
        <v/>
      </c>
      <c r="OW47" s="4">
        <f>IFERROR((OQ47/OP47),0)</f>
        <v/>
      </c>
      <c r="OX47" s="4">
        <f>IFERROR(((0+OO11+OO12+OO13+OO14+OO15+OO16+OO17+OO19+OO20+OO21+OO22+OO23+OO24+OO25+OO27+OO28+OO29+OO30+OO31+OO32+OO33+OO35+OO36+OO37+OO38+OO39+OO40+OO41+OO43+OO44+OO45+OO46+OO47)/T2),0)</f>
        <v/>
      </c>
      <c r="OY47" s="5">
        <f>IFERROR(ROUND(OO47/OQ47,2),0)</f>
        <v/>
      </c>
      <c r="OZ47" s="5">
        <f>IFERROR(ROUND(OO47/OR47,2),0)</f>
        <v/>
      </c>
      <c r="PA47" s="2" t="inlineStr">
        <is>
          <t>2023-10-22</t>
        </is>
      </c>
      <c r="PB47" s="5">
        <f>ROUND(0.0,2)</f>
        <v/>
      </c>
      <c r="PC47" s="3">
        <f>ROUND(0.0,2)</f>
        <v/>
      </c>
      <c r="PD47" s="3">
        <f>ROUND(0.0,2)</f>
        <v/>
      </c>
      <c r="PE47" s="3">
        <f>ROUND(0.0,2)</f>
        <v/>
      </c>
      <c r="PF47" s="3">
        <f>ROUND(0.0,2)</f>
        <v/>
      </c>
      <c r="PG47" s="3">
        <f>ROUND(0.0,2)</f>
        <v/>
      </c>
      <c r="PH47" s="3">
        <f>ROUND(0.0,2)</f>
        <v/>
      </c>
      <c r="PI47" s="3">
        <f>ROUND(0.0,2)</f>
        <v/>
      </c>
      <c r="PJ47" s="4">
        <f>IFERROR((PD47/PC47),0)</f>
        <v/>
      </c>
      <c r="PK47" s="4">
        <f>IFERROR(((0+PB11+PB12+PB13+PB14+PB15+PB16+PB17+PB19+PB20+PB21+PB22+PB23+PB24+PB25+PB27+PB28+PB29+PB30+PB31+PB32+PB33+PB35+PB36+PB37+PB38+PB39+PB40+PB41+PB43+PB44+PB45+PB46+PB47)/T2),0)</f>
        <v/>
      </c>
      <c r="PL47" s="5">
        <f>IFERROR(ROUND(PB47/PD47,2),0)</f>
        <v/>
      </c>
      <c r="PM47" s="5">
        <f>IFERROR(ROUND(PB47/PE47,2),0)</f>
        <v/>
      </c>
      <c r="PN47" s="2" t="inlineStr">
        <is>
          <t>2023-10-22</t>
        </is>
      </c>
      <c r="PO47" s="5">
        <f>ROUND(0.0,2)</f>
        <v/>
      </c>
      <c r="PP47" s="3">
        <f>ROUND(0.0,2)</f>
        <v/>
      </c>
      <c r="PQ47" s="3">
        <f>ROUND(0.0,2)</f>
        <v/>
      </c>
      <c r="PR47" s="3">
        <f>ROUND(0.0,2)</f>
        <v/>
      </c>
      <c r="PS47" s="3">
        <f>ROUND(0.0,2)</f>
        <v/>
      </c>
      <c r="PT47" s="3">
        <f>ROUND(0.0,2)</f>
        <v/>
      </c>
      <c r="PU47" s="3">
        <f>ROUND(0.0,2)</f>
        <v/>
      </c>
      <c r="PV47" s="3">
        <f>ROUND(0.0,2)</f>
        <v/>
      </c>
      <c r="PW47" s="4">
        <f>IFERROR((PQ47/PP47),0)</f>
        <v/>
      </c>
      <c r="PX47" s="4">
        <f>IFERROR(((0+PO11+PO12+PO13+PO14+PO15+PO16+PO17+PO19+PO20+PO21+PO22+PO23+PO24+PO25+PO27+PO28+PO29+PO30+PO31+PO32+PO33+PO35+PO36+PO37+PO38+PO39+PO40+PO41+PO43+PO44+PO45+PO46+PO47)/T2),0)</f>
        <v/>
      </c>
      <c r="PY47" s="5">
        <f>IFERROR(ROUND(PO47/PQ47,2),0)</f>
        <v/>
      </c>
      <c r="PZ47" s="5">
        <f>IFERROR(ROUND(PO47/PR47,2),0)</f>
        <v/>
      </c>
      <c r="QA47" s="2" t="inlineStr">
        <is>
          <t>2023-10-22</t>
        </is>
      </c>
      <c r="QB47" s="5">
        <f>ROUND(0.0,2)</f>
        <v/>
      </c>
      <c r="QC47" s="3">
        <f>ROUND(0.0,2)</f>
        <v/>
      </c>
      <c r="QD47" s="3">
        <f>ROUND(0.0,2)</f>
        <v/>
      </c>
      <c r="QE47" s="3">
        <f>ROUND(0.0,2)</f>
        <v/>
      </c>
      <c r="QF47" s="3">
        <f>ROUND(0.0,2)</f>
        <v/>
      </c>
      <c r="QG47" s="3">
        <f>ROUND(0.0,2)</f>
        <v/>
      </c>
      <c r="QH47" s="3">
        <f>ROUND(0.0,2)</f>
        <v/>
      </c>
      <c r="QI47" s="3">
        <f>ROUND(0.0,2)</f>
        <v/>
      </c>
      <c r="QJ47" s="4">
        <f>IFERROR((QD47/QC47),0)</f>
        <v/>
      </c>
      <c r="QK47" s="4">
        <f>IFERROR(((0+QB11+QB12+QB13+QB14+QB15+QB16+QB17+QB19+QB20+QB21+QB22+QB23+QB24+QB25+QB27+QB28+QB29+QB30+QB31+QB32+QB33+QB35+QB36+QB37+QB38+QB39+QB40+QB41+QB43+QB44+QB45+QB46+QB47)/T2),0)</f>
        <v/>
      </c>
      <c r="QL47" s="5">
        <f>IFERROR(ROUND(QB47/QD47,2),0)</f>
        <v/>
      </c>
      <c r="QM47" s="5">
        <f>IFERROR(ROUND(QB47/QE47,2),0)</f>
        <v/>
      </c>
      <c r="QN47" s="2" t="inlineStr">
        <is>
          <t>2023-10-22</t>
        </is>
      </c>
      <c r="QO47" s="5">
        <f>ROUND(0.0,2)</f>
        <v/>
      </c>
      <c r="QP47" s="3">
        <f>ROUND(0.0,2)</f>
        <v/>
      </c>
      <c r="QQ47" s="3">
        <f>ROUND(0.0,2)</f>
        <v/>
      </c>
      <c r="QR47" s="3">
        <f>ROUND(0.0,2)</f>
        <v/>
      </c>
      <c r="QS47" s="3">
        <f>ROUND(0.0,2)</f>
        <v/>
      </c>
      <c r="QT47" s="3">
        <f>ROUND(0.0,2)</f>
        <v/>
      </c>
      <c r="QU47" s="3">
        <f>ROUND(0.0,2)</f>
        <v/>
      </c>
      <c r="QV47" s="3">
        <f>ROUND(0.0,2)</f>
        <v/>
      </c>
      <c r="QW47" s="4">
        <f>IFERROR((QQ47/QP47),0)</f>
        <v/>
      </c>
      <c r="QX47" s="4">
        <f>IFERROR(((0+QO11+QO12+QO13+QO14+QO15+QO16+QO17+QO19+QO20+QO21+QO22+QO23+QO24+QO25+QO27+QO28+QO29+QO30+QO31+QO32+QO33+QO35+QO36+QO37+QO38+QO39+QO40+QO41+QO43+QO44+QO45+QO46+QO47)/T2),0)</f>
        <v/>
      </c>
      <c r="QY47" s="5">
        <f>IFERROR(ROUND(QO47/QQ47,2),0)</f>
        <v/>
      </c>
      <c r="QZ47" s="5">
        <f>IFERROR(ROUND(QO47/QR47,2),0)</f>
        <v/>
      </c>
      <c r="RA47" s="2" t="inlineStr">
        <is>
          <t>2023-10-22</t>
        </is>
      </c>
      <c r="RB47" s="5">
        <f>ROUND(0.0,2)</f>
        <v/>
      </c>
      <c r="RC47" s="3">
        <f>ROUND(0.0,2)</f>
        <v/>
      </c>
      <c r="RD47" s="3">
        <f>ROUND(0.0,2)</f>
        <v/>
      </c>
      <c r="RE47" s="3">
        <f>ROUND(0.0,2)</f>
        <v/>
      </c>
      <c r="RF47" s="3">
        <f>ROUND(0.0,2)</f>
        <v/>
      </c>
      <c r="RG47" s="3">
        <f>ROUND(0.0,2)</f>
        <v/>
      </c>
      <c r="RH47" s="3">
        <f>ROUND(0.0,2)</f>
        <v/>
      </c>
      <c r="RI47" s="3">
        <f>ROUND(0.0,2)</f>
        <v/>
      </c>
      <c r="RJ47" s="4">
        <f>IFERROR((RD47/RC47),0)</f>
        <v/>
      </c>
      <c r="RK47" s="4">
        <f>IFERROR(((0+RB11+RB12+RB13+RB14+RB15+RB16+RB17+RB19+RB20+RB21+RB22+RB23+RB24+RB25+RB27+RB28+RB29+RB30+RB31+RB32+RB33+RB35+RB36+RB37+RB38+RB39+RB40+RB41+RB43+RB44+RB45+RB46+RB47)/T2),0)</f>
        <v/>
      </c>
      <c r="RL47" s="5">
        <f>IFERROR(ROUND(RB47/RD47,2),0)</f>
        <v/>
      </c>
      <c r="RM47" s="5">
        <f>IFERROR(ROUND(RB47/RE47,2),0)</f>
        <v/>
      </c>
      <c r="RN47" s="2" t="inlineStr">
        <is>
          <t>2023-10-22</t>
        </is>
      </c>
      <c r="RO47" s="5">
        <f>ROUND(0.0,2)</f>
        <v/>
      </c>
      <c r="RP47" s="3">
        <f>ROUND(0.0,2)</f>
        <v/>
      </c>
      <c r="RQ47" s="3">
        <f>ROUND(0.0,2)</f>
        <v/>
      </c>
      <c r="RR47" s="3">
        <f>ROUND(0.0,2)</f>
        <v/>
      </c>
      <c r="RS47" s="3">
        <f>ROUND(0.0,2)</f>
        <v/>
      </c>
      <c r="RT47" s="3">
        <f>ROUND(0.0,2)</f>
        <v/>
      </c>
      <c r="RU47" s="3">
        <f>ROUND(0.0,2)</f>
        <v/>
      </c>
      <c r="RV47" s="3">
        <f>ROUND(0.0,2)</f>
        <v/>
      </c>
      <c r="RW47" s="4">
        <f>IFERROR((RQ47/RP47),0)</f>
        <v/>
      </c>
      <c r="RX47" s="4">
        <f>IFERROR(((0+RO11+RO12+RO13+RO14+RO15+RO16+RO17+RO19+RO20+RO21+RO22+RO23+RO24+RO25+RO27+RO28+RO29+RO30+RO31+RO32+RO33+RO35+RO36+RO37+RO38+RO39+RO40+RO41+RO43+RO44+RO45+RO46+RO47)/T2),0)</f>
        <v/>
      </c>
      <c r="RY47" s="5">
        <f>IFERROR(ROUND(RO47/RQ47,2),0)</f>
        <v/>
      </c>
      <c r="RZ47" s="5">
        <f>IFERROR(ROUND(RO47/RR47,2),0)</f>
        <v/>
      </c>
      <c r="SA47" s="2" t="inlineStr">
        <is>
          <t>2023-10-22</t>
        </is>
      </c>
      <c r="SB47" s="5">
        <f>ROUND(0.0,2)</f>
        <v/>
      </c>
      <c r="SC47" s="3">
        <f>ROUND(0.0,2)</f>
        <v/>
      </c>
      <c r="SD47" s="3">
        <f>ROUND(0.0,2)</f>
        <v/>
      </c>
      <c r="SE47" s="3">
        <f>ROUND(0.0,2)</f>
        <v/>
      </c>
      <c r="SF47" s="3">
        <f>ROUND(0.0,2)</f>
        <v/>
      </c>
      <c r="SG47" s="3">
        <f>ROUND(0.0,2)</f>
        <v/>
      </c>
      <c r="SH47" s="3">
        <f>ROUND(0.0,2)</f>
        <v/>
      </c>
      <c r="SI47" s="3">
        <f>ROUND(0.0,2)</f>
        <v/>
      </c>
      <c r="SJ47" s="4">
        <f>IFERROR((SD47/SC47),0)</f>
        <v/>
      </c>
      <c r="SK47" s="4">
        <f>IFERROR(((0+SB11+SB12+SB13+SB14+SB15+SB16+SB17+SB19+SB20+SB21+SB22+SB23+SB24+SB25+SB27+SB28+SB29+SB30+SB31+SB32+SB33+SB35+SB36+SB37+SB38+SB39+SB40+SB41+SB43+SB44+SB45+SB46+SB47)/T2),0)</f>
        <v/>
      </c>
      <c r="SL47" s="5">
        <f>IFERROR(ROUND(SB47/SD47,2),0)</f>
        <v/>
      </c>
      <c r="SM47" s="5">
        <f>IFERROR(ROUND(SB47/SE47,2),0)</f>
        <v/>
      </c>
      <c r="SN47" s="2" t="inlineStr">
        <is>
          <t>2023-10-22</t>
        </is>
      </c>
      <c r="SO47" s="5">
        <f>ROUND(0.0,2)</f>
        <v/>
      </c>
      <c r="SP47" s="3">
        <f>ROUND(0.0,2)</f>
        <v/>
      </c>
      <c r="SQ47" s="3">
        <f>ROUND(0.0,2)</f>
        <v/>
      </c>
      <c r="SR47" s="3">
        <f>ROUND(0.0,2)</f>
        <v/>
      </c>
      <c r="SS47" s="3">
        <f>ROUND(0.0,2)</f>
        <v/>
      </c>
      <c r="ST47" s="3">
        <f>ROUND(0.0,2)</f>
        <v/>
      </c>
      <c r="SU47" s="3">
        <f>ROUND(0.0,2)</f>
        <v/>
      </c>
      <c r="SV47" s="3">
        <f>ROUND(0.0,2)</f>
        <v/>
      </c>
      <c r="SW47" s="4">
        <f>IFERROR((SQ47/SP47),0)</f>
        <v/>
      </c>
      <c r="SX47" s="4">
        <f>IFERROR(((0+SO11+SO12+SO13+SO14+SO15+SO16+SO17+SO19+SO20+SO21+SO22+SO23+SO24+SO25+SO27+SO28+SO29+SO30+SO31+SO32+SO33+SO35+SO36+SO37+SO38+SO39+SO40+SO41+SO43+SO44+SO45+SO46+SO47)/T2),0)</f>
        <v/>
      </c>
      <c r="SY47" s="5">
        <f>IFERROR(ROUND(SO47/SQ47,2),0)</f>
        <v/>
      </c>
      <c r="SZ47" s="5">
        <f>IFERROR(ROUND(SO47/SR47,2),0)</f>
        <v/>
      </c>
    </row>
    <row r="48">
      <c r="A48" s="2" t="inlineStr">
        <is>
          <t>2023-10-23</t>
        </is>
      </c>
      <c r="B48" s="5">
        <f>ROUND(0.0,2)</f>
        <v/>
      </c>
      <c r="C48" s="3">
        <f>ROUND(0.0,2)</f>
        <v/>
      </c>
      <c r="D48" s="3">
        <f>ROUND(0.0,2)</f>
        <v/>
      </c>
      <c r="E48" s="3">
        <f>ROUND(0.0,2)</f>
        <v/>
      </c>
      <c r="F48" s="3">
        <f>ROUND(0.0,2)</f>
        <v/>
      </c>
      <c r="G48" s="3">
        <f>ROUND(0.0,2)</f>
        <v/>
      </c>
      <c r="H48" s="3">
        <f>ROUND(0.0,2)</f>
        <v/>
      </c>
      <c r="I48" s="3">
        <f>ROUND(0.0,2)</f>
        <v/>
      </c>
      <c r="J48" s="4">
        <f>IFERROR((D48/C48),0)</f>
        <v/>
      </c>
      <c r="K48" s="4">
        <f>IFERROR(((0+B11+B12+B13+B14+B15+B16+B17+B19+B20+B21+B22+B23+B24+B25+B27+B28+B29+B30+B31+B32+B33+B35+B36+B37+B38+B39+B40+B41+B43+B44+B45+B46+B47+B48)/T2),0)</f>
        <v/>
      </c>
      <c r="L48" s="5">
        <f>IFERROR(ROUND(B48/D48,2),0)</f>
        <v/>
      </c>
      <c r="M48" s="5">
        <f>IFERROR(ROUND(B48/E48,2),0)</f>
        <v/>
      </c>
      <c r="N48" s="2" t="inlineStr">
        <is>
          <t>2023-10-23</t>
        </is>
      </c>
      <c r="O48" s="5">
        <f>ROUND(0.0,2)</f>
        <v/>
      </c>
      <c r="P48" s="3">
        <f>ROUND(0.0,2)</f>
        <v/>
      </c>
      <c r="Q48" s="3">
        <f>ROUND(0.0,2)</f>
        <v/>
      </c>
      <c r="R48" s="3">
        <f>ROUND(0.0,2)</f>
        <v/>
      </c>
      <c r="S48" s="3">
        <f>ROUND(0.0,2)</f>
        <v/>
      </c>
      <c r="T48" s="3">
        <f>ROUND(0.0,2)</f>
        <v/>
      </c>
      <c r="U48" s="3">
        <f>ROUND(0.0,2)</f>
        <v/>
      </c>
      <c r="V48" s="3">
        <f>ROUND(0.0,2)</f>
        <v/>
      </c>
      <c r="W48" s="4">
        <f>IFERROR((Q48/P48),0)</f>
        <v/>
      </c>
      <c r="X48" s="4">
        <f>IFERROR(((0+O11+O12+O13+O14+O15+O16+O17+O19+O20+O21+O22+O23+O24+O25+O27+O28+O29+O30+O31+O32+O33+O35+O36+O37+O38+O39+O40+O41+O43+O44+O45+O46+O47+O48)/T2),0)</f>
        <v/>
      </c>
      <c r="Y48" s="5">
        <f>IFERROR(ROUND(O48/Q48,2),0)</f>
        <v/>
      </c>
      <c r="Z48" s="5">
        <f>IFERROR(ROUND(O48/R48,2),0)</f>
        <v/>
      </c>
      <c r="AA48" s="2" t="inlineStr">
        <is>
          <t>2023-10-23</t>
        </is>
      </c>
      <c r="AB48" s="5">
        <f>ROUND(0.0,2)</f>
        <v/>
      </c>
      <c r="AC48" s="3">
        <f>ROUND(0.0,2)</f>
        <v/>
      </c>
      <c r="AD48" s="3">
        <f>ROUND(0.0,2)</f>
        <v/>
      </c>
      <c r="AE48" s="3">
        <f>ROUND(0.0,2)</f>
        <v/>
      </c>
      <c r="AF48" s="3">
        <f>ROUND(0.0,2)</f>
        <v/>
      </c>
      <c r="AG48" s="3">
        <f>ROUND(0.0,2)</f>
        <v/>
      </c>
      <c r="AH48" s="3">
        <f>ROUND(0.0,2)</f>
        <v/>
      </c>
      <c r="AI48" s="3">
        <f>ROUND(0.0,2)</f>
        <v/>
      </c>
      <c r="AJ48" s="4">
        <f>IFERROR((AD48/AC48),0)</f>
        <v/>
      </c>
      <c r="AK48" s="4">
        <f>IFERROR(((0+AB11+AB12+AB13+AB14+AB15+AB16+AB17+AB19+AB20+AB21+AB22+AB23+AB24+AB25+AB27+AB28+AB29+AB30+AB31+AB32+AB33+AB35+AB36+AB37+AB38+AB39+AB40+AB41+AB43+AB44+AB45+AB46+AB47+AB48)/T2),0)</f>
        <v/>
      </c>
      <c r="AL48" s="5">
        <f>IFERROR(ROUND(AB48/AD48,2),0)</f>
        <v/>
      </c>
      <c r="AM48" s="5">
        <f>IFERROR(ROUND(AB48/AE48,2),0)</f>
        <v/>
      </c>
      <c r="AN48" s="2" t="inlineStr">
        <is>
          <t>2023-10-23</t>
        </is>
      </c>
      <c r="AO48" s="5">
        <f>ROUND(0.0,2)</f>
        <v/>
      </c>
      <c r="AP48" s="3">
        <f>ROUND(0.0,2)</f>
        <v/>
      </c>
      <c r="AQ48" s="3">
        <f>ROUND(0.0,2)</f>
        <v/>
      </c>
      <c r="AR48" s="3">
        <f>ROUND(0.0,2)</f>
        <v/>
      </c>
      <c r="AS48" s="3">
        <f>ROUND(0.0,2)</f>
        <v/>
      </c>
      <c r="AT48" s="3">
        <f>ROUND(0.0,2)</f>
        <v/>
      </c>
      <c r="AU48" s="3">
        <f>ROUND(0.0,2)</f>
        <v/>
      </c>
      <c r="AV48" s="3">
        <f>ROUND(0.0,2)</f>
        <v/>
      </c>
      <c r="AW48" s="4">
        <f>IFERROR((AQ48/AP48),0)</f>
        <v/>
      </c>
      <c r="AX48" s="4">
        <f>IFERROR(((0+AO11+AO12+AO13+AO14+AO15+AO16+AO17+AO19+AO20+AO21+AO22+AO23+AO24+AO25+AO27+AO28+AO29+AO30+AO31+AO32+AO33+AO35+AO36+AO37+AO38+AO39+AO40+AO41+AO43+AO44+AO45+AO46+AO47+AO48)/T2),0)</f>
        <v/>
      </c>
      <c r="AY48" s="5">
        <f>IFERROR(ROUND(AO48/AQ48,2),0)</f>
        <v/>
      </c>
      <c r="AZ48" s="5">
        <f>IFERROR(ROUND(AO48/AR48,2),0)</f>
        <v/>
      </c>
      <c r="BA48" s="2" t="inlineStr">
        <is>
          <t>2023-10-23</t>
        </is>
      </c>
      <c r="BB48" s="5">
        <f>ROUND(0.0,2)</f>
        <v/>
      </c>
      <c r="BC48" s="3">
        <f>ROUND(0.0,2)</f>
        <v/>
      </c>
      <c r="BD48" s="3">
        <f>ROUND(0.0,2)</f>
        <v/>
      </c>
      <c r="BE48" s="3">
        <f>ROUND(0.0,2)</f>
        <v/>
      </c>
      <c r="BF48" s="3">
        <f>ROUND(0.0,2)</f>
        <v/>
      </c>
      <c r="BG48" s="3">
        <f>ROUND(0.0,2)</f>
        <v/>
      </c>
      <c r="BH48" s="3">
        <f>ROUND(0.0,2)</f>
        <v/>
      </c>
      <c r="BI48" s="3">
        <f>ROUND(0.0,2)</f>
        <v/>
      </c>
      <c r="BJ48" s="4">
        <f>IFERROR((BD48/BC48),0)</f>
        <v/>
      </c>
      <c r="BK48" s="4">
        <f>IFERROR(((0+BB11+BB12+BB13+BB14+BB15+BB16+BB17+BB19+BB20+BB21+BB22+BB23+BB24+BB25+BB27+BB28+BB29+BB30+BB31+BB32+BB33+BB35+BB36+BB37+BB38+BB39+BB40+BB41+BB43+BB44+BB45+BB46+BB47+BB48)/T2),0)</f>
        <v/>
      </c>
      <c r="BL48" s="5">
        <f>IFERROR(ROUND(BB48/BD48,2),0)</f>
        <v/>
      </c>
      <c r="BM48" s="5">
        <f>IFERROR(ROUND(BB48/BE48,2),0)</f>
        <v/>
      </c>
      <c r="BN48" s="2" t="inlineStr">
        <is>
          <t>2023-10-23</t>
        </is>
      </c>
      <c r="BO48" s="5">
        <f>ROUND(0.0,2)</f>
        <v/>
      </c>
      <c r="BP48" s="3">
        <f>ROUND(0.0,2)</f>
        <v/>
      </c>
      <c r="BQ48" s="3">
        <f>ROUND(0.0,2)</f>
        <v/>
      </c>
      <c r="BR48" s="3">
        <f>ROUND(0.0,2)</f>
        <v/>
      </c>
      <c r="BS48" s="3">
        <f>ROUND(0.0,2)</f>
        <v/>
      </c>
      <c r="BT48" s="3">
        <f>ROUND(0.0,2)</f>
        <v/>
      </c>
      <c r="BU48" s="3">
        <f>ROUND(0.0,2)</f>
        <v/>
      </c>
      <c r="BV48" s="3">
        <f>ROUND(0.0,2)</f>
        <v/>
      </c>
      <c r="BW48" s="4">
        <f>IFERROR((BQ48/BP48),0)</f>
        <v/>
      </c>
      <c r="BX48" s="4">
        <f>IFERROR(((0+BO11+BO12+BO13+BO14+BO15+BO16+BO17+BO19+BO20+BO21+BO22+BO23+BO24+BO25+BO27+BO28+BO29+BO30+BO31+BO32+BO33+BO35+BO36+BO37+BO38+BO39+BO40+BO41+BO43+BO44+BO45+BO46+BO47+BO48)/T2),0)</f>
        <v/>
      </c>
      <c r="BY48" s="5">
        <f>IFERROR(ROUND(BO48/BQ48,2),0)</f>
        <v/>
      </c>
      <c r="BZ48" s="5">
        <f>IFERROR(ROUND(BO48/BR48,2),0)</f>
        <v/>
      </c>
      <c r="CA48" s="2" t="inlineStr">
        <is>
          <t>2023-10-23</t>
        </is>
      </c>
      <c r="CB48" s="5">
        <f>ROUND(0.0,2)</f>
        <v/>
      </c>
      <c r="CC48" s="3">
        <f>ROUND(0.0,2)</f>
        <v/>
      </c>
      <c r="CD48" s="3">
        <f>ROUND(0.0,2)</f>
        <v/>
      </c>
      <c r="CE48" s="3">
        <f>ROUND(0.0,2)</f>
        <v/>
      </c>
      <c r="CF48" s="3">
        <f>ROUND(0.0,2)</f>
        <v/>
      </c>
      <c r="CG48" s="3">
        <f>ROUND(0.0,2)</f>
        <v/>
      </c>
      <c r="CH48" s="3">
        <f>ROUND(0.0,2)</f>
        <v/>
      </c>
      <c r="CI48" s="3">
        <f>ROUND(0.0,2)</f>
        <v/>
      </c>
      <c r="CJ48" s="4">
        <f>IFERROR((CD48/CC48),0)</f>
        <v/>
      </c>
      <c r="CK48" s="4">
        <f>IFERROR(((0+CB11+CB12+CB13+CB14+CB15+CB16+CB17+CB19+CB20+CB21+CB22+CB23+CB24+CB25+CB27+CB28+CB29+CB30+CB31+CB32+CB33+CB35+CB36+CB37+CB38+CB39+CB40+CB41+CB43+CB44+CB45+CB46+CB47+CB48)/T2),0)</f>
        <v/>
      </c>
      <c r="CL48" s="5">
        <f>IFERROR(ROUND(CB48/CD48,2),0)</f>
        <v/>
      </c>
      <c r="CM48" s="5">
        <f>IFERROR(ROUND(CB48/CE48,2),0)</f>
        <v/>
      </c>
      <c r="CN48" s="2" t="inlineStr">
        <is>
          <t>2023-10-23</t>
        </is>
      </c>
      <c r="CO48" s="5">
        <f>ROUND(0.0,2)</f>
        <v/>
      </c>
      <c r="CP48" s="3">
        <f>ROUND(0.0,2)</f>
        <v/>
      </c>
      <c r="CQ48" s="3">
        <f>ROUND(0.0,2)</f>
        <v/>
      </c>
      <c r="CR48" s="3">
        <f>ROUND(0.0,2)</f>
        <v/>
      </c>
      <c r="CS48" s="3">
        <f>ROUND(0.0,2)</f>
        <v/>
      </c>
      <c r="CT48" s="3">
        <f>ROUND(0.0,2)</f>
        <v/>
      </c>
      <c r="CU48" s="3">
        <f>ROUND(0.0,2)</f>
        <v/>
      </c>
      <c r="CV48" s="3">
        <f>ROUND(0.0,2)</f>
        <v/>
      </c>
      <c r="CW48" s="4">
        <f>IFERROR((CQ48/CP48),0)</f>
        <v/>
      </c>
      <c r="CX48" s="4">
        <f>IFERROR(((0+CO11+CO12+CO13+CO14+CO15+CO16+CO17+CO19+CO20+CO21+CO22+CO23+CO24+CO25+CO27+CO28+CO29+CO30+CO31+CO32+CO33+CO35+CO36+CO37+CO38+CO39+CO40+CO41+CO43+CO44+CO45+CO46+CO47+CO48)/T2),0)</f>
        <v/>
      </c>
      <c r="CY48" s="5">
        <f>IFERROR(ROUND(CO48/CQ48,2),0)</f>
        <v/>
      </c>
      <c r="CZ48" s="5">
        <f>IFERROR(ROUND(CO48/CR48,2),0)</f>
        <v/>
      </c>
      <c r="DA48" s="2" t="inlineStr">
        <is>
          <t>2023-10-23</t>
        </is>
      </c>
      <c r="DB48" s="5">
        <f>ROUND(0.0,2)</f>
        <v/>
      </c>
      <c r="DC48" s="3">
        <f>ROUND(0.0,2)</f>
        <v/>
      </c>
      <c r="DD48" s="3">
        <f>ROUND(0.0,2)</f>
        <v/>
      </c>
      <c r="DE48" s="3">
        <f>ROUND(0.0,2)</f>
        <v/>
      </c>
      <c r="DF48" s="3">
        <f>ROUND(0.0,2)</f>
        <v/>
      </c>
      <c r="DG48" s="3">
        <f>ROUND(0.0,2)</f>
        <v/>
      </c>
      <c r="DH48" s="3">
        <f>ROUND(0.0,2)</f>
        <v/>
      </c>
      <c r="DI48" s="3">
        <f>ROUND(0.0,2)</f>
        <v/>
      </c>
      <c r="DJ48" s="4">
        <f>IFERROR((DD48/DC48),0)</f>
        <v/>
      </c>
      <c r="DK48" s="4">
        <f>IFERROR(((0+DB11+DB12+DB13+DB14+DB15+DB16+DB17+DB19+DB20+DB21+DB22+DB23+DB24+DB25+DB27+DB28+DB29+DB30+DB31+DB32+DB33+DB35+DB36+DB37+DB38+DB39+DB40+DB41+DB43+DB44+DB45+DB46+DB47+DB48)/T2),0)</f>
        <v/>
      </c>
      <c r="DL48" s="5">
        <f>IFERROR(ROUND(DB48/DD48,2),0)</f>
        <v/>
      </c>
      <c r="DM48" s="5">
        <f>IFERROR(ROUND(DB48/DE48,2),0)</f>
        <v/>
      </c>
      <c r="DN48" s="2" t="inlineStr">
        <is>
          <t>2023-10-23</t>
        </is>
      </c>
      <c r="DO48" s="5">
        <f>ROUND(0.0,2)</f>
        <v/>
      </c>
      <c r="DP48" s="3">
        <f>ROUND(0.0,2)</f>
        <v/>
      </c>
      <c r="DQ48" s="3">
        <f>ROUND(0.0,2)</f>
        <v/>
      </c>
      <c r="DR48" s="3">
        <f>ROUND(0.0,2)</f>
        <v/>
      </c>
      <c r="DS48" s="3">
        <f>ROUND(0.0,2)</f>
        <v/>
      </c>
      <c r="DT48" s="3">
        <f>ROUND(0.0,2)</f>
        <v/>
      </c>
      <c r="DU48" s="3">
        <f>ROUND(0.0,2)</f>
        <v/>
      </c>
      <c r="DV48" s="3">
        <f>ROUND(0.0,2)</f>
        <v/>
      </c>
      <c r="DW48" s="4">
        <f>IFERROR((DQ48/DP48),0)</f>
        <v/>
      </c>
      <c r="DX48" s="4">
        <f>IFERROR(((0+DO11+DO12+DO13+DO14+DO15+DO16+DO17+DO19+DO20+DO21+DO22+DO23+DO24+DO25+DO27+DO28+DO29+DO30+DO31+DO32+DO33+DO35+DO36+DO37+DO38+DO39+DO40+DO41+DO43+DO44+DO45+DO46+DO47+DO48)/T2),0)</f>
        <v/>
      </c>
      <c r="DY48" s="5">
        <f>IFERROR(ROUND(DO48/DQ48,2),0)</f>
        <v/>
      </c>
      <c r="DZ48" s="5">
        <f>IFERROR(ROUND(DO48/DR48,2),0)</f>
        <v/>
      </c>
      <c r="EA48" s="2" t="inlineStr">
        <is>
          <t>2023-10-23</t>
        </is>
      </c>
      <c r="EB48" s="5">
        <f>ROUND(0.0,2)</f>
        <v/>
      </c>
      <c r="EC48" s="3">
        <f>ROUND(0.0,2)</f>
        <v/>
      </c>
      <c r="ED48" s="3">
        <f>ROUND(0.0,2)</f>
        <v/>
      </c>
      <c r="EE48" s="3">
        <f>ROUND(0.0,2)</f>
        <v/>
      </c>
      <c r="EF48" s="3">
        <f>ROUND(0.0,2)</f>
        <v/>
      </c>
      <c r="EG48" s="3">
        <f>ROUND(0.0,2)</f>
        <v/>
      </c>
      <c r="EH48" s="3">
        <f>ROUND(0.0,2)</f>
        <v/>
      </c>
      <c r="EI48" s="3">
        <f>ROUND(0.0,2)</f>
        <v/>
      </c>
      <c r="EJ48" s="4">
        <f>IFERROR((ED48/EC48),0)</f>
        <v/>
      </c>
      <c r="EK48" s="4">
        <f>IFERROR(((0+EB11+EB12+EB13+EB14+EB15+EB16+EB17+EB19+EB20+EB21+EB22+EB23+EB24+EB25+EB27+EB28+EB29+EB30+EB31+EB32+EB33+EB35+EB36+EB37+EB38+EB39+EB40+EB41+EB43+EB44+EB45+EB46+EB47+EB48)/T2),0)</f>
        <v/>
      </c>
      <c r="EL48" s="5">
        <f>IFERROR(ROUND(EB48/ED48,2),0)</f>
        <v/>
      </c>
      <c r="EM48" s="5">
        <f>IFERROR(ROUND(EB48/EE48,2),0)</f>
        <v/>
      </c>
      <c r="EN48" s="2" t="inlineStr">
        <is>
          <t>2023-10-23</t>
        </is>
      </c>
      <c r="EO48" s="5">
        <f>ROUND(0.0,2)</f>
        <v/>
      </c>
      <c r="EP48" s="3">
        <f>ROUND(0.0,2)</f>
        <v/>
      </c>
      <c r="EQ48" s="3">
        <f>ROUND(0.0,2)</f>
        <v/>
      </c>
      <c r="ER48" s="3">
        <f>ROUND(0.0,2)</f>
        <v/>
      </c>
      <c r="ES48" s="3">
        <f>ROUND(0.0,2)</f>
        <v/>
      </c>
      <c r="ET48" s="3">
        <f>ROUND(0.0,2)</f>
        <v/>
      </c>
      <c r="EU48" s="3">
        <f>ROUND(0.0,2)</f>
        <v/>
      </c>
      <c r="EV48" s="3">
        <f>ROUND(0.0,2)</f>
        <v/>
      </c>
      <c r="EW48" s="4">
        <f>IFERROR((EQ48/EP48),0)</f>
        <v/>
      </c>
      <c r="EX48" s="4">
        <f>IFERROR(((0+EO11+EO12+EO13+EO14+EO15+EO16+EO17+EO19+EO20+EO21+EO22+EO23+EO24+EO25+EO27+EO28+EO29+EO30+EO31+EO32+EO33+EO35+EO36+EO37+EO38+EO39+EO40+EO41+EO43+EO44+EO45+EO46+EO47+EO48)/T2),0)</f>
        <v/>
      </c>
      <c r="EY48" s="5">
        <f>IFERROR(ROUND(EO48/EQ48,2),0)</f>
        <v/>
      </c>
      <c r="EZ48" s="5">
        <f>IFERROR(ROUND(EO48/ER48,2),0)</f>
        <v/>
      </c>
      <c r="FA48" s="2" t="inlineStr">
        <is>
          <t>2023-10-23</t>
        </is>
      </c>
      <c r="FB48" s="5">
        <f>ROUND(0.0,2)</f>
        <v/>
      </c>
      <c r="FC48" s="3">
        <f>ROUND(0.0,2)</f>
        <v/>
      </c>
      <c r="FD48" s="3">
        <f>ROUND(0.0,2)</f>
        <v/>
      </c>
      <c r="FE48" s="3">
        <f>ROUND(0.0,2)</f>
        <v/>
      </c>
      <c r="FF48" s="3">
        <f>ROUND(0.0,2)</f>
        <v/>
      </c>
      <c r="FG48" s="3">
        <f>ROUND(0.0,2)</f>
        <v/>
      </c>
      <c r="FH48" s="3">
        <f>ROUND(0.0,2)</f>
        <v/>
      </c>
      <c r="FI48" s="3">
        <f>ROUND(0.0,2)</f>
        <v/>
      </c>
      <c r="FJ48" s="4">
        <f>IFERROR((FD48/FC48),0)</f>
        <v/>
      </c>
      <c r="FK48" s="4">
        <f>IFERROR(((0+FB11+FB12+FB13+FB14+FB15+FB16+FB17+FB19+FB20+FB21+FB22+FB23+FB24+FB25+FB27+FB28+FB29+FB30+FB31+FB32+FB33+FB35+FB36+FB37+FB38+FB39+FB40+FB41+FB43+FB44+FB45+FB46+FB47+FB48)/T2),0)</f>
        <v/>
      </c>
      <c r="FL48" s="5">
        <f>IFERROR(ROUND(FB48/FD48,2),0)</f>
        <v/>
      </c>
      <c r="FM48" s="5">
        <f>IFERROR(ROUND(FB48/FE48,2),0)</f>
        <v/>
      </c>
      <c r="FN48" s="2" t="inlineStr">
        <is>
          <t>2023-10-23</t>
        </is>
      </c>
      <c r="FO48" s="5">
        <f>ROUND(0.0,2)</f>
        <v/>
      </c>
      <c r="FP48" s="3">
        <f>ROUND(0.0,2)</f>
        <v/>
      </c>
      <c r="FQ48" s="3">
        <f>ROUND(0.0,2)</f>
        <v/>
      </c>
      <c r="FR48" s="3">
        <f>ROUND(0.0,2)</f>
        <v/>
      </c>
      <c r="FS48" s="3">
        <f>ROUND(0.0,2)</f>
        <v/>
      </c>
      <c r="FT48" s="3">
        <f>ROUND(0.0,2)</f>
        <v/>
      </c>
      <c r="FU48" s="3">
        <f>ROUND(0.0,2)</f>
        <v/>
      </c>
      <c r="FV48" s="3">
        <f>ROUND(0.0,2)</f>
        <v/>
      </c>
      <c r="FW48" s="4">
        <f>IFERROR((FQ48/FP48),0)</f>
        <v/>
      </c>
      <c r="FX48" s="4">
        <f>IFERROR(((0+FO11+FO12+FO13+FO14+FO15+FO16+FO17+FO19+FO20+FO21+FO22+FO23+FO24+FO25+FO27+FO28+FO29+FO30+FO31+FO32+FO33+FO35+FO36+FO37+FO38+FO39+FO40+FO41+FO43+FO44+FO45+FO46+FO47+FO48)/T2),0)</f>
        <v/>
      </c>
      <c r="FY48" s="5">
        <f>IFERROR(ROUND(FO48/FQ48,2),0)</f>
        <v/>
      </c>
      <c r="FZ48" s="5">
        <f>IFERROR(ROUND(FO48/FR48,2),0)</f>
        <v/>
      </c>
      <c r="GA48" s="2" t="inlineStr">
        <is>
          <t>2023-10-23</t>
        </is>
      </c>
      <c r="GB48" s="5">
        <f>ROUND(0.0,2)</f>
        <v/>
      </c>
      <c r="GC48" s="3">
        <f>ROUND(0.0,2)</f>
        <v/>
      </c>
      <c r="GD48" s="3">
        <f>ROUND(0.0,2)</f>
        <v/>
      </c>
      <c r="GE48" s="3">
        <f>ROUND(0.0,2)</f>
        <v/>
      </c>
      <c r="GF48" s="3">
        <f>ROUND(0.0,2)</f>
        <v/>
      </c>
      <c r="GG48" s="3">
        <f>ROUND(0.0,2)</f>
        <v/>
      </c>
      <c r="GH48" s="3">
        <f>ROUND(0.0,2)</f>
        <v/>
      </c>
      <c r="GI48" s="3">
        <f>ROUND(0.0,2)</f>
        <v/>
      </c>
      <c r="GJ48" s="4">
        <f>IFERROR((GD48/GC48),0)</f>
        <v/>
      </c>
      <c r="GK48" s="4">
        <f>IFERROR(((0+GB11+GB12+GB13+GB14+GB15+GB16+GB17+GB19+GB20+GB21+GB22+GB23+GB24+GB25+GB27+GB28+GB29+GB30+GB31+GB32+GB33+GB35+GB36+GB37+GB38+GB39+GB40+GB41+GB43+GB44+GB45+GB46+GB47+GB48)/T2),0)</f>
        <v/>
      </c>
      <c r="GL48" s="5">
        <f>IFERROR(ROUND(GB48/GD48,2),0)</f>
        <v/>
      </c>
      <c r="GM48" s="5">
        <f>IFERROR(ROUND(GB48/GE48,2),0)</f>
        <v/>
      </c>
      <c r="GN48" s="2" t="inlineStr">
        <is>
          <t>2023-10-23</t>
        </is>
      </c>
      <c r="GO48" s="5">
        <f>ROUND(0.0,2)</f>
        <v/>
      </c>
      <c r="GP48" s="3">
        <f>ROUND(0.0,2)</f>
        <v/>
      </c>
      <c r="GQ48" s="3">
        <f>ROUND(0.0,2)</f>
        <v/>
      </c>
      <c r="GR48" s="3">
        <f>ROUND(0.0,2)</f>
        <v/>
      </c>
      <c r="GS48" s="3">
        <f>ROUND(0.0,2)</f>
        <v/>
      </c>
      <c r="GT48" s="3">
        <f>ROUND(0.0,2)</f>
        <v/>
      </c>
      <c r="GU48" s="3">
        <f>ROUND(0.0,2)</f>
        <v/>
      </c>
      <c r="GV48" s="3">
        <f>ROUND(0.0,2)</f>
        <v/>
      </c>
      <c r="GW48" s="4">
        <f>IFERROR((GQ48/GP48),0)</f>
        <v/>
      </c>
      <c r="GX48" s="4">
        <f>IFERROR(((0+GO11+GO12+GO13+GO14+GO15+GO16+GO17+GO19+GO20+GO21+GO22+GO23+GO24+GO25+GO27+GO28+GO29+GO30+GO31+GO32+GO33+GO35+GO36+GO37+GO38+GO39+GO40+GO41+GO43+GO44+GO45+GO46+GO47+GO48)/T2),0)</f>
        <v/>
      </c>
      <c r="GY48" s="5">
        <f>IFERROR(ROUND(GO48/GQ48,2),0)</f>
        <v/>
      </c>
      <c r="GZ48" s="5">
        <f>IFERROR(ROUND(GO48/GR48,2),0)</f>
        <v/>
      </c>
      <c r="HA48" s="2" t="inlineStr">
        <is>
          <t>2023-10-23</t>
        </is>
      </c>
      <c r="HB48" s="5">
        <f>ROUND(0.0,2)</f>
        <v/>
      </c>
      <c r="HC48" s="3">
        <f>ROUND(0.0,2)</f>
        <v/>
      </c>
      <c r="HD48" s="3">
        <f>ROUND(0.0,2)</f>
        <v/>
      </c>
      <c r="HE48" s="3">
        <f>ROUND(0.0,2)</f>
        <v/>
      </c>
      <c r="HF48" s="3">
        <f>ROUND(0.0,2)</f>
        <v/>
      </c>
      <c r="HG48" s="3">
        <f>ROUND(0.0,2)</f>
        <v/>
      </c>
      <c r="HH48" s="3">
        <f>ROUND(0.0,2)</f>
        <v/>
      </c>
      <c r="HI48" s="3">
        <f>ROUND(0.0,2)</f>
        <v/>
      </c>
      <c r="HJ48" s="4">
        <f>IFERROR((HD48/HC48),0)</f>
        <v/>
      </c>
      <c r="HK48" s="4">
        <f>IFERROR(((0+HB11+HB12+HB13+HB14+HB15+HB16+HB17+HB19+HB20+HB21+HB22+HB23+HB24+HB25+HB27+HB28+HB29+HB30+HB31+HB32+HB33+HB35+HB36+HB37+HB38+HB39+HB40+HB41+HB43+HB44+HB45+HB46+HB47+HB48)/T2),0)</f>
        <v/>
      </c>
      <c r="HL48" s="5">
        <f>IFERROR(ROUND(HB48/HD48,2),0)</f>
        <v/>
      </c>
      <c r="HM48" s="5">
        <f>IFERROR(ROUND(HB48/HE48,2),0)</f>
        <v/>
      </c>
      <c r="HN48" s="2" t="inlineStr">
        <is>
          <t>2023-10-23</t>
        </is>
      </c>
      <c r="HO48" s="5">
        <f>ROUND(0.0,2)</f>
        <v/>
      </c>
      <c r="HP48" s="3">
        <f>ROUND(0.0,2)</f>
        <v/>
      </c>
      <c r="HQ48" s="3">
        <f>ROUND(0.0,2)</f>
        <v/>
      </c>
      <c r="HR48" s="3">
        <f>ROUND(0.0,2)</f>
        <v/>
      </c>
      <c r="HS48" s="3">
        <f>ROUND(0.0,2)</f>
        <v/>
      </c>
      <c r="HT48" s="3">
        <f>ROUND(0.0,2)</f>
        <v/>
      </c>
      <c r="HU48" s="3">
        <f>ROUND(0.0,2)</f>
        <v/>
      </c>
      <c r="HV48" s="3">
        <f>ROUND(0.0,2)</f>
        <v/>
      </c>
      <c r="HW48" s="4">
        <f>IFERROR((HQ48/HP48),0)</f>
        <v/>
      </c>
      <c r="HX48" s="4">
        <f>IFERROR(((0+HO11+HO12+HO13+HO14+HO15+HO16+HO17+HO19+HO20+HO21+HO22+HO23+HO24+HO25+HO27+HO28+HO29+HO30+HO31+HO32+HO33+HO35+HO36+HO37+HO38+HO39+HO40+HO41+HO43+HO44+HO45+HO46+HO47+HO48)/T2),0)</f>
        <v/>
      </c>
      <c r="HY48" s="5">
        <f>IFERROR(ROUND(HO48/HQ48,2),0)</f>
        <v/>
      </c>
      <c r="HZ48" s="5">
        <f>IFERROR(ROUND(HO48/HR48,2),0)</f>
        <v/>
      </c>
      <c r="IA48" s="2" t="inlineStr">
        <is>
          <t>2023-10-23</t>
        </is>
      </c>
      <c r="IB48" s="5">
        <f>ROUND(0.0,2)</f>
        <v/>
      </c>
      <c r="IC48" s="3">
        <f>ROUND(0.0,2)</f>
        <v/>
      </c>
      <c r="ID48" s="3">
        <f>ROUND(0.0,2)</f>
        <v/>
      </c>
      <c r="IE48" s="3">
        <f>ROUND(0.0,2)</f>
        <v/>
      </c>
      <c r="IF48" s="3">
        <f>ROUND(0.0,2)</f>
        <v/>
      </c>
      <c r="IG48" s="3">
        <f>ROUND(0.0,2)</f>
        <v/>
      </c>
      <c r="IH48" s="3">
        <f>ROUND(0.0,2)</f>
        <v/>
      </c>
      <c r="II48" s="3">
        <f>ROUND(0.0,2)</f>
        <v/>
      </c>
      <c r="IJ48" s="4">
        <f>IFERROR((ID48/IC48),0)</f>
        <v/>
      </c>
      <c r="IK48" s="4">
        <f>IFERROR(((0+IB11+IB12+IB13+IB14+IB15+IB16+IB17+IB19+IB20+IB21+IB22+IB23+IB24+IB25+IB27+IB28+IB29+IB30+IB31+IB32+IB33+IB35+IB36+IB37+IB38+IB39+IB40+IB41+IB43+IB44+IB45+IB46+IB47+IB48)/T2),0)</f>
        <v/>
      </c>
      <c r="IL48" s="5">
        <f>IFERROR(ROUND(IB48/ID48,2),0)</f>
        <v/>
      </c>
      <c r="IM48" s="5">
        <f>IFERROR(ROUND(IB48/IE48,2),0)</f>
        <v/>
      </c>
      <c r="IN48" s="2" t="inlineStr">
        <is>
          <t>2023-10-23</t>
        </is>
      </c>
      <c r="IO48" s="5">
        <f>ROUND(0.0,2)</f>
        <v/>
      </c>
      <c r="IP48" s="3">
        <f>ROUND(0.0,2)</f>
        <v/>
      </c>
      <c r="IQ48" s="3">
        <f>ROUND(0.0,2)</f>
        <v/>
      </c>
      <c r="IR48" s="3">
        <f>ROUND(0.0,2)</f>
        <v/>
      </c>
      <c r="IS48" s="3">
        <f>ROUND(0.0,2)</f>
        <v/>
      </c>
      <c r="IT48" s="3">
        <f>ROUND(0.0,2)</f>
        <v/>
      </c>
      <c r="IU48" s="3">
        <f>ROUND(0.0,2)</f>
        <v/>
      </c>
      <c r="IV48" s="3">
        <f>ROUND(0.0,2)</f>
        <v/>
      </c>
      <c r="IW48" s="4">
        <f>IFERROR((IQ48/IP48),0)</f>
        <v/>
      </c>
      <c r="IX48" s="4">
        <f>IFERROR(((0+IO11+IO12+IO13+IO14+IO15+IO16+IO17+IO19+IO20+IO21+IO22+IO23+IO24+IO25+IO27+IO28+IO29+IO30+IO31+IO32+IO33+IO35+IO36+IO37+IO38+IO39+IO40+IO41+IO43+IO44+IO45+IO46+IO47+IO48)/T2),0)</f>
        <v/>
      </c>
      <c r="IY48" s="5">
        <f>IFERROR(ROUND(IO48/IQ48,2),0)</f>
        <v/>
      </c>
      <c r="IZ48" s="5">
        <f>IFERROR(ROUND(IO48/IR48,2),0)</f>
        <v/>
      </c>
      <c r="JA48" s="2" t="inlineStr">
        <is>
          <t>2023-10-23</t>
        </is>
      </c>
      <c r="JB48" s="5">
        <f>ROUND(0.0,2)</f>
        <v/>
      </c>
      <c r="JC48" s="3">
        <f>ROUND(0.0,2)</f>
        <v/>
      </c>
      <c r="JD48" s="3">
        <f>ROUND(0.0,2)</f>
        <v/>
      </c>
      <c r="JE48" s="3">
        <f>ROUND(0.0,2)</f>
        <v/>
      </c>
      <c r="JF48" s="3">
        <f>ROUND(0.0,2)</f>
        <v/>
      </c>
      <c r="JG48" s="3">
        <f>ROUND(0.0,2)</f>
        <v/>
      </c>
      <c r="JH48" s="3">
        <f>ROUND(0.0,2)</f>
        <v/>
      </c>
      <c r="JI48" s="3">
        <f>ROUND(0.0,2)</f>
        <v/>
      </c>
      <c r="JJ48" s="4">
        <f>IFERROR((JD48/JC48),0)</f>
        <v/>
      </c>
      <c r="JK48" s="4">
        <f>IFERROR(((0+JB11+JB12+JB13+JB14+JB15+JB16+JB17+JB19+JB20+JB21+JB22+JB23+JB24+JB25+JB27+JB28+JB29+JB30+JB31+JB32+JB33+JB35+JB36+JB37+JB38+JB39+JB40+JB41+JB43+JB44+JB45+JB46+JB47+JB48)/T2),0)</f>
        <v/>
      </c>
      <c r="JL48" s="5">
        <f>IFERROR(ROUND(JB48/JD48,2),0)</f>
        <v/>
      </c>
      <c r="JM48" s="5">
        <f>IFERROR(ROUND(JB48/JE48,2),0)</f>
        <v/>
      </c>
      <c r="JN48" s="2" t="inlineStr">
        <is>
          <t>2023-10-23</t>
        </is>
      </c>
      <c r="JO48" s="5">
        <f>ROUND(0.0,2)</f>
        <v/>
      </c>
      <c r="JP48" s="3">
        <f>ROUND(0.0,2)</f>
        <v/>
      </c>
      <c r="JQ48" s="3">
        <f>ROUND(0.0,2)</f>
        <v/>
      </c>
      <c r="JR48" s="3">
        <f>ROUND(0.0,2)</f>
        <v/>
      </c>
      <c r="JS48" s="3">
        <f>ROUND(0.0,2)</f>
        <v/>
      </c>
      <c r="JT48" s="3">
        <f>ROUND(0.0,2)</f>
        <v/>
      </c>
      <c r="JU48" s="3">
        <f>ROUND(0.0,2)</f>
        <v/>
      </c>
      <c r="JV48" s="3">
        <f>ROUND(0.0,2)</f>
        <v/>
      </c>
      <c r="JW48" s="4">
        <f>IFERROR((JQ48/JP48),0)</f>
        <v/>
      </c>
      <c r="JX48" s="4">
        <f>IFERROR(((0+JO11+JO12+JO13+JO14+JO15+JO16+JO17+JO19+JO20+JO21+JO22+JO23+JO24+JO25+JO27+JO28+JO29+JO30+JO31+JO32+JO33+JO35+JO36+JO37+JO38+JO39+JO40+JO41+JO43+JO44+JO45+JO46+JO47+JO48)/T2),0)</f>
        <v/>
      </c>
      <c r="JY48" s="5">
        <f>IFERROR(ROUND(JO48/JQ48,2),0)</f>
        <v/>
      </c>
      <c r="JZ48" s="5">
        <f>IFERROR(ROUND(JO48/JR48,2),0)</f>
        <v/>
      </c>
      <c r="KA48" s="2" t="inlineStr">
        <is>
          <t>2023-10-23</t>
        </is>
      </c>
      <c r="KB48" s="5">
        <f>ROUND(0.0,2)</f>
        <v/>
      </c>
      <c r="KC48" s="3">
        <f>ROUND(0.0,2)</f>
        <v/>
      </c>
      <c r="KD48" s="3">
        <f>ROUND(0.0,2)</f>
        <v/>
      </c>
      <c r="KE48" s="3">
        <f>ROUND(0.0,2)</f>
        <v/>
      </c>
      <c r="KF48" s="3">
        <f>ROUND(0.0,2)</f>
        <v/>
      </c>
      <c r="KG48" s="3">
        <f>ROUND(0.0,2)</f>
        <v/>
      </c>
      <c r="KH48" s="3">
        <f>ROUND(0.0,2)</f>
        <v/>
      </c>
      <c r="KI48" s="3">
        <f>ROUND(0.0,2)</f>
        <v/>
      </c>
      <c r="KJ48" s="4">
        <f>IFERROR((KD48/KC48),0)</f>
        <v/>
      </c>
      <c r="KK48" s="4">
        <f>IFERROR(((0+KB11+KB12+KB13+KB14+KB15+KB16+KB17+KB19+KB20+KB21+KB22+KB23+KB24+KB25+KB27+KB28+KB29+KB30+KB31+KB32+KB33+KB35+KB36+KB37+KB38+KB39+KB40+KB41+KB43+KB44+KB45+KB46+KB47+KB48)/T2),0)</f>
        <v/>
      </c>
      <c r="KL48" s="5">
        <f>IFERROR(ROUND(KB48/KD48,2),0)</f>
        <v/>
      </c>
      <c r="KM48" s="5">
        <f>IFERROR(ROUND(KB48/KE48,2),0)</f>
        <v/>
      </c>
      <c r="KN48" s="2" t="inlineStr">
        <is>
          <t>2023-10-23</t>
        </is>
      </c>
      <c r="KO48" s="5">
        <f>ROUND(0.0,2)</f>
        <v/>
      </c>
      <c r="KP48" s="3">
        <f>ROUND(0.0,2)</f>
        <v/>
      </c>
      <c r="KQ48" s="3">
        <f>ROUND(0.0,2)</f>
        <v/>
      </c>
      <c r="KR48" s="3">
        <f>ROUND(0.0,2)</f>
        <v/>
      </c>
      <c r="KS48" s="3">
        <f>ROUND(0.0,2)</f>
        <v/>
      </c>
      <c r="KT48" s="3">
        <f>ROUND(0.0,2)</f>
        <v/>
      </c>
      <c r="KU48" s="3">
        <f>ROUND(0.0,2)</f>
        <v/>
      </c>
      <c r="KV48" s="3">
        <f>ROUND(0.0,2)</f>
        <v/>
      </c>
      <c r="KW48" s="4">
        <f>IFERROR((KQ48/KP48),0)</f>
        <v/>
      </c>
      <c r="KX48" s="4">
        <f>IFERROR(((0+KO11+KO12+KO13+KO14+KO15+KO16+KO17+KO19+KO20+KO21+KO22+KO23+KO24+KO25+KO27+KO28+KO29+KO30+KO31+KO32+KO33+KO35+KO36+KO37+KO38+KO39+KO40+KO41+KO43+KO44+KO45+KO46+KO47+KO48)/T2),0)</f>
        <v/>
      </c>
      <c r="KY48" s="5">
        <f>IFERROR(ROUND(KO48/KQ48,2),0)</f>
        <v/>
      </c>
      <c r="KZ48" s="5">
        <f>IFERROR(ROUND(KO48/KR48,2),0)</f>
        <v/>
      </c>
      <c r="LA48" s="2" t="inlineStr">
        <is>
          <t>2023-10-23</t>
        </is>
      </c>
      <c r="LB48" s="5">
        <f>ROUND(0.0,2)</f>
        <v/>
      </c>
      <c r="LC48" s="3">
        <f>ROUND(0.0,2)</f>
        <v/>
      </c>
      <c r="LD48" s="3">
        <f>ROUND(0.0,2)</f>
        <v/>
      </c>
      <c r="LE48" s="3">
        <f>ROUND(0.0,2)</f>
        <v/>
      </c>
      <c r="LF48" s="3">
        <f>ROUND(0.0,2)</f>
        <v/>
      </c>
      <c r="LG48" s="3">
        <f>ROUND(0.0,2)</f>
        <v/>
      </c>
      <c r="LH48" s="3">
        <f>ROUND(0.0,2)</f>
        <v/>
      </c>
      <c r="LI48" s="3">
        <f>ROUND(0.0,2)</f>
        <v/>
      </c>
      <c r="LJ48" s="4">
        <f>IFERROR((LD48/LC48),0)</f>
        <v/>
      </c>
      <c r="LK48" s="4">
        <f>IFERROR(((0+LB11+LB12+LB13+LB14+LB15+LB16+LB17+LB19+LB20+LB21+LB22+LB23+LB24+LB25+LB27+LB28+LB29+LB30+LB31+LB32+LB33+LB35+LB36+LB37+LB38+LB39+LB40+LB41+LB43+LB44+LB45+LB46+LB47+LB48)/T2),0)</f>
        <v/>
      </c>
      <c r="LL48" s="5">
        <f>IFERROR(ROUND(LB48/LD48,2),0)</f>
        <v/>
      </c>
      <c r="LM48" s="5">
        <f>IFERROR(ROUND(LB48/LE48,2),0)</f>
        <v/>
      </c>
      <c r="LN48" s="2" t="inlineStr">
        <is>
          <t>2023-10-23</t>
        </is>
      </c>
      <c r="LO48" s="5">
        <f>ROUND(0.0,2)</f>
        <v/>
      </c>
      <c r="LP48" s="3">
        <f>ROUND(0.0,2)</f>
        <v/>
      </c>
      <c r="LQ48" s="3">
        <f>ROUND(0.0,2)</f>
        <v/>
      </c>
      <c r="LR48" s="3">
        <f>ROUND(0.0,2)</f>
        <v/>
      </c>
      <c r="LS48" s="3">
        <f>ROUND(0.0,2)</f>
        <v/>
      </c>
      <c r="LT48" s="3">
        <f>ROUND(0.0,2)</f>
        <v/>
      </c>
      <c r="LU48" s="3">
        <f>ROUND(0.0,2)</f>
        <v/>
      </c>
      <c r="LV48" s="3">
        <f>ROUND(0.0,2)</f>
        <v/>
      </c>
      <c r="LW48" s="4">
        <f>IFERROR((LQ48/LP48),0)</f>
        <v/>
      </c>
      <c r="LX48" s="4">
        <f>IFERROR(((0+LO11+LO12+LO13+LO14+LO15+LO16+LO17+LO19+LO20+LO21+LO22+LO23+LO24+LO25+LO27+LO28+LO29+LO30+LO31+LO32+LO33+LO35+LO36+LO37+LO38+LO39+LO40+LO41+LO43+LO44+LO45+LO46+LO47+LO48)/T2),0)</f>
        <v/>
      </c>
      <c r="LY48" s="5">
        <f>IFERROR(ROUND(LO48/LQ48,2),0)</f>
        <v/>
      </c>
      <c r="LZ48" s="5">
        <f>IFERROR(ROUND(LO48/LR48,2),0)</f>
        <v/>
      </c>
      <c r="MA48" s="2" t="inlineStr">
        <is>
          <t>2023-10-23</t>
        </is>
      </c>
      <c r="MB48" s="5">
        <f>ROUND(0.0,2)</f>
        <v/>
      </c>
      <c r="MC48" s="3">
        <f>ROUND(0.0,2)</f>
        <v/>
      </c>
      <c r="MD48" s="3">
        <f>ROUND(0.0,2)</f>
        <v/>
      </c>
      <c r="ME48" s="3">
        <f>ROUND(0.0,2)</f>
        <v/>
      </c>
      <c r="MF48" s="3">
        <f>ROUND(0.0,2)</f>
        <v/>
      </c>
      <c r="MG48" s="3">
        <f>ROUND(0.0,2)</f>
        <v/>
      </c>
      <c r="MH48" s="3">
        <f>ROUND(0.0,2)</f>
        <v/>
      </c>
      <c r="MI48" s="3">
        <f>ROUND(0.0,2)</f>
        <v/>
      </c>
      <c r="MJ48" s="4">
        <f>IFERROR((MD48/MC48),0)</f>
        <v/>
      </c>
      <c r="MK48" s="4">
        <f>IFERROR(((0+MB11+MB12+MB13+MB14+MB15+MB16+MB17+MB19+MB20+MB21+MB22+MB23+MB24+MB25+MB27+MB28+MB29+MB30+MB31+MB32+MB33+MB35+MB36+MB37+MB38+MB39+MB40+MB41+MB43+MB44+MB45+MB46+MB47+MB48)/T2),0)</f>
        <v/>
      </c>
      <c r="ML48" s="5">
        <f>IFERROR(ROUND(MB48/MD48,2),0)</f>
        <v/>
      </c>
      <c r="MM48" s="5">
        <f>IFERROR(ROUND(MB48/ME48,2),0)</f>
        <v/>
      </c>
      <c r="MN48" s="2" t="inlineStr">
        <is>
          <t>2023-10-23</t>
        </is>
      </c>
      <c r="MO48" s="5">
        <f>ROUND(0.0,2)</f>
        <v/>
      </c>
      <c r="MP48" s="3">
        <f>ROUND(0.0,2)</f>
        <v/>
      </c>
      <c r="MQ48" s="3">
        <f>ROUND(0.0,2)</f>
        <v/>
      </c>
      <c r="MR48" s="3">
        <f>ROUND(0.0,2)</f>
        <v/>
      </c>
      <c r="MS48" s="3">
        <f>ROUND(0.0,2)</f>
        <v/>
      </c>
      <c r="MT48" s="3">
        <f>ROUND(0.0,2)</f>
        <v/>
      </c>
      <c r="MU48" s="3">
        <f>ROUND(0.0,2)</f>
        <v/>
      </c>
      <c r="MV48" s="3">
        <f>ROUND(0.0,2)</f>
        <v/>
      </c>
      <c r="MW48" s="4">
        <f>IFERROR((MQ48/MP48),0)</f>
        <v/>
      </c>
      <c r="MX48" s="4">
        <f>IFERROR(((0+MO11+MO12+MO13+MO14+MO15+MO16+MO17+MO19+MO20+MO21+MO22+MO23+MO24+MO25+MO27+MO28+MO29+MO30+MO31+MO32+MO33+MO35+MO36+MO37+MO38+MO39+MO40+MO41+MO43+MO44+MO45+MO46+MO47+MO48)/T2),0)</f>
        <v/>
      </c>
      <c r="MY48" s="5">
        <f>IFERROR(ROUND(MO48/MQ48,2),0)</f>
        <v/>
      </c>
      <c r="MZ48" s="5">
        <f>IFERROR(ROUND(MO48/MR48,2),0)</f>
        <v/>
      </c>
      <c r="NA48" s="2" t="inlineStr">
        <is>
          <t>2023-10-23</t>
        </is>
      </c>
      <c r="NB48" s="5">
        <f>ROUND(0.0,2)</f>
        <v/>
      </c>
      <c r="NC48" s="3">
        <f>ROUND(0.0,2)</f>
        <v/>
      </c>
      <c r="ND48" s="3">
        <f>ROUND(0.0,2)</f>
        <v/>
      </c>
      <c r="NE48" s="3">
        <f>ROUND(0.0,2)</f>
        <v/>
      </c>
      <c r="NF48" s="3">
        <f>ROUND(0.0,2)</f>
        <v/>
      </c>
      <c r="NG48" s="3">
        <f>ROUND(0.0,2)</f>
        <v/>
      </c>
      <c r="NH48" s="3">
        <f>ROUND(0.0,2)</f>
        <v/>
      </c>
      <c r="NI48" s="3">
        <f>ROUND(0.0,2)</f>
        <v/>
      </c>
      <c r="NJ48" s="4">
        <f>IFERROR((ND48/NC48),0)</f>
        <v/>
      </c>
      <c r="NK48" s="4">
        <f>IFERROR(((0+NB11+NB12+NB13+NB14+NB15+NB16+NB17+NB19+NB20+NB21+NB22+NB23+NB24+NB25+NB27+NB28+NB29+NB30+NB31+NB32+NB33+NB35+NB36+NB37+NB38+NB39+NB40+NB41+NB43+NB44+NB45+NB46+NB47+NB48)/T2),0)</f>
        <v/>
      </c>
      <c r="NL48" s="5">
        <f>IFERROR(ROUND(NB48/ND48,2),0)</f>
        <v/>
      </c>
      <c r="NM48" s="5">
        <f>IFERROR(ROUND(NB48/NE48,2),0)</f>
        <v/>
      </c>
      <c r="NN48" s="2" t="inlineStr">
        <is>
          <t>2023-10-23</t>
        </is>
      </c>
      <c r="NO48" s="5">
        <f>ROUND(0.0,2)</f>
        <v/>
      </c>
      <c r="NP48" s="3">
        <f>ROUND(0.0,2)</f>
        <v/>
      </c>
      <c r="NQ48" s="3">
        <f>ROUND(0.0,2)</f>
        <v/>
      </c>
      <c r="NR48" s="3">
        <f>ROUND(0.0,2)</f>
        <v/>
      </c>
      <c r="NS48" s="3">
        <f>ROUND(0.0,2)</f>
        <v/>
      </c>
      <c r="NT48" s="3">
        <f>ROUND(0.0,2)</f>
        <v/>
      </c>
      <c r="NU48" s="3">
        <f>ROUND(0.0,2)</f>
        <v/>
      </c>
      <c r="NV48" s="3">
        <f>ROUND(0.0,2)</f>
        <v/>
      </c>
      <c r="NW48" s="4">
        <f>IFERROR((NQ48/NP48),0)</f>
        <v/>
      </c>
      <c r="NX48" s="4">
        <f>IFERROR(((0+NO11+NO12+NO13+NO14+NO15+NO16+NO17+NO19+NO20+NO21+NO22+NO23+NO24+NO25+NO27+NO28+NO29+NO30+NO31+NO32+NO33+NO35+NO36+NO37+NO38+NO39+NO40+NO41+NO43+NO44+NO45+NO46+NO47+NO48)/T2),0)</f>
        <v/>
      </c>
      <c r="NY48" s="5">
        <f>IFERROR(ROUND(NO48/NQ48,2),0)</f>
        <v/>
      </c>
      <c r="NZ48" s="5">
        <f>IFERROR(ROUND(NO48/NR48,2),0)</f>
        <v/>
      </c>
      <c r="OA48" s="2" t="inlineStr">
        <is>
          <t>2023-10-23</t>
        </is>
      </c>
      <c r="OB48" s="5">
        <f>ROUND(0.0,2)</f>
        <v/>
      </c>
      <c r="OC48" s="3">
        <f>ROUND(0.0,2)</f>
        <v/>
      </c>
      <c r="OD48" s="3">
        <f>ROUND(0.0,2)</f>
        <v/>
      </c>
      <c r="OE48" s="3">
        <f>ROUND(0.0,2)</f>
        <v/>
      </c>
      <c r="OF48" s="3">
        <f>ROUND(0.0,2)</f>
        <v/>
      </c>
      <c r="OG48" s="3">
        <f>ROUND(0.0,2)</f>
        <v/>
      </c>
      <c r="OH48" s="3">
        <f>ROUND(0.0,2)</f>
        <v/>
      </c>
      <c r="OI48" s="3">
        <f>ROUND(0.0,2)</f>
        <v/>
      </c>
      <c r="OJ48" s="4">
        <f>IFERROR((OD48/OC48),0)</f>
        <v/>
      </c>
      <c r="OK48" s="4">
        <f>IFERROR(((0+OB11+OB12+OB13+OB14+OB15+OB16+OB17+OB19+OB20+OB21+OB22+OB23+OB24+OB25+OB27+OB28+OB29+OB30+OB31+OB32+OB33+OB35+OB36+OB37+OB38+OB39+OB40+OB41+OB43+OB44+OB45+OB46+OB47+OB48)/T2),0)</f>
        <v/>
      </c>
      <c r="OL48" s="5">
        <f>IFERROR(ROUND(OB48/OD48,2),0)</f>
        <v/>
      </c>
      <c r="OM48" s="5">
        <f>IFERROR(ROUND(OB48/OE48,2),0)</f>
        <v/>
      </c>
      <c r="ON48" s="2" t="inlineStr">
        <is>
          <t>2023-10-23</t>
        </is>
      </c>
      <c r="OO48" s="5">
        <f>ROUND(0.0,2)</f>
        <v/>
      </c>
      <c r="OP48" s="3">
        <f>ROUND(0.0,2)</f>
        <v/>
      </c>
      <c r="OQ48" s="3">
        <f>ROUND(0.0,2)</f>
        <v/>
      </c>
      <c r="OR48" s="3">
        <f>ROUND(0.0,2)</f>
        <v/>
      </c>
      <c r="OS48" s="3">
        <f>ROUND(0.0,2)</f>
        <v/>
      </c>
      <c r="OT48" s="3">
        <f>ROUND(0.0,2)</f>
        <v/>
      </c>
      <c r="OU48" s="3">
        <f>ROUND(0.0,2)</f>
        <v/>
      </c>
      <c r="OV48" s="3">
        <f>ROUND(0.0,2)</f>
        <v/>
      </c>
      <c r="OW48" s="4">
        <f>IFERROR((OQ48/OP48),0)</f>
        <v/>
      </c>
      <c r="OX48" s="4">
        <f>IFERROR(((0+OO11+OO12+OO13+OO14+OO15+OO16+OO17+OO19+OO20+OO21+OO22+OO23+OO24+OO25+OO27+OO28+OO29+OO30+OO31+OO32+OO33+OO35+OO36+OO37+OO38+OO39+OO40+OO41+OO43+OO44+OO45+OO46+OO47+OO48)/T2),0)</f>
        <v/>
      </c>
      <c r="OY48" s="5">
        <f>IFERROR(ROUND(OO48/OQ48,2),0)</f>
        <v/>
      </c>
      <c r="OZ48" s="5">
        <f>IFERROR(ROUND(OO48/OR48,2),0)</f>
        <v/>
      </c>
      <c r="PA48" s="2" t="inlineStr">
        <is>
          <t>2023-10-23</t>
        </is>
      </c>
      <c r="PB48" s="5">
        <f>ROUND(0.0,2)</f>
        <v/>
      </c>
      <c r="PC48" s="3">
        <f>ROUND(0.0,2)</f>
        <v/>
      </c>
      <c r="PD48" s="3">
        <f>ROUND(0.0,2)</f>
        <v/>
      </c>
      <c r="PE48" s="3">
        <f>ROUND(0.0,2)</f>
        <v/>
      </c>
      <c r="PF48" s="3">
        <f>ROUND(0.0,2)</f>
        <v/>
      </c>
      <c r="PG48" s="3">
        <f>ROUND(0.0,2)</f>
        <v/>
      </c>
      <c r="PH48" s="3">
        <f>ROUND(0.0,2)</f>
        <v/>
      </c>
      <c r="PI48" s="3">
        <f>ROUND(0.0,2)</f>
        <v/>
      </c>
      <c r="PJ48" s="4">
        <f>IFERROR((PD48/PC48),0)</f>
        <v/>
      </c>
      <c r="PK48" s="4">
        <f>IFERROR(((0+PB11+PB12+PB13+PB14+PB15+PB16+PB17+PB19+PB20+PB21+PB22+PB23+PB24+PB25+PB27+PB28+PB29+PB30+PB31+PB32+PB33+PB35+PB36+PB37+PB38+PB39+PB40+PB41+PB43+PB44+PB45+PB46+PB47+PB48)/T2),0)</f>
        <v/>
      </c>
      <c r="PL48" s="5">
        <f>IFERROR(ROUND(PB48/PD48,2),0)</f>
        <v/>
      </c>
      <c r="PM48" s="5">
        <f>IFERROR(ROUND(PB48/PE48,2),0)</f>
        <v/>
      </c>
      <c r="PN48" s="2" t="inlineStr">
        <is>
          <t>2023-10-23</t>
        </is>
      </c>
      <c r="PO48" s="5">
        <f>ROUND(0.0,2)</f>
        <v/>
      </c>
      <c r="PP48" s="3">
        <f>ROUND(0.0,2)</f>
        <v/>
      </c>
      <c r="PQ48" s="3">
        <f>ROUND(0.0,2)</f>
        <v/>
      </c>
      <c r="PR48" s="3">
        <f>ROUND(0.0,2)</f>
        <v/>
      </c>
      <c r="PS48" s="3">
        <f>ROUND(0.0,2)</f>
        <v/>
      </c>
      <c r="PT48" s="3">
        <f>ROUND(0.0,2)</f>
        <v/>
      </c>
      <c r="PU48" s="3">
        <f>ROUND(0.0,2)</f>
        <v/>
      </c>
      <c r="PV48" s="3">
        <f>ROUND(0.0,2)</f>
        <v/>
      </c>
      <c r="PW48" s="4">
        <f>IFERROR((PQ48/PP48),0)</f>
        <v/>
      </c>
      <c r="PX48" s="4">
        <f>IFERROR(((0+PO11+PO12+PO13+PO14+PO15+PO16+PO17+PO19+PO20+PO21+PO22+PO23+PO24+PO25+PO27+PO28+PO29+PO30+PO31+PO32+PO33+PO35+PO36+PO37+PO38+PO39+PO40+PO41+PO43+PO44+PO45+PO46+PO47+PO48)/T2),0)</f>
        <v/>
      </c>
      <c r="PY48" s="5">
        <f>IFERROR(ROUND(PO48/PQ48,2),0)</f>
        <v/>
      </c>
      <c r="PZ48" s="5">
        <f>IFERROR(ROUND(PO48/PR48,2),0)</f>
        <v/>
      </c>
      <c r="QA48" s="2" t="inlineStr">
        <is>
          <t>2023-10-23</t>
        </is>
      </c>
      <c r="QB48" s="5">
        <f>ROUND(0.0,2)</f>
        <v/>
      </c>
      <c r="QC48" s="3">
        <f>ROUND(0.0,2)</f>
        <v/>
      </c>
      <c r="QD48" s="3">
        <f>ROUND(0.0,2)</f>
        <v/>
      </c>
      <c r="QE48" s="3">
        <f>ROUND(0.0,2)</f>
        <v/>
      </c>
      <c r="QF48" s="3">
        <f>ROUND(0.0,2)</f>
        <v/>
      </c>
      <c r="QG48" s="3">
        <f>ROUND(0.0,2)</f>
        <v/>
      </c>
      <c r="QH48" s="3">
        <f>ROUND(0.0,2)</f>
        <v/>
      </c>
      <c r="QI48" s="3">
        <f>ROUND(0.0,2)</f>
        <v/>
      </c>
      <c r="QJ48" s="4">
        <f>IFERROR((QD48/QC48),0)</f>
        <v/>
      </c>
      <c r="QK48" s="4">
        <f>IFERROR(((0+QB11+QB12+QB13+QB14+QB15+QB16+QB17+QB19+QB20+QB21+QB22+QB23+QB24+QB25+QB27+QB28+QB29+QB30+QB31+QB32+QB33+QB35+QB36+QB37+QB38+QB39+QB40+QB41+QB43+QB44+QB45+QB46+QB47+QB48)/T2),0)</f>
        <v/>
      </c>
      <c r="QL48" s="5">
        <f>IFERROR(ROUND(QB48/QD48,2),0)</f>
        <v/>
      </c>
      <c r="QM48" s="5">
        <f>IFERROR(ROUND(QB48/QE48,2),0)</f>
        <v/>
      </c>
      <c r="QN48" s="2" t="inlineStr">
        <is>
          <t>2023-10-23</t>
        </is>
      </c>
      <c r="QO48" s="5">
        <f>ROUND(0.0,2)</f>
        <v/>
      </c>
      <c r="QP48" s="3">
        <f>ROUND(0.0,2)</f>
        <v/>
      </c>
      <c r="QQ48" s="3">
        <f>ROUND(0.0,2)</f>
        <v/>
      </c>
      <c r="QR48" s="3">
        <f>ROUND(0.0,2)</f>
        <v/>
      </c>
      <c r="QS48" s="3">
        <f>ROUND(0.0,2)</f>
        <v/>
      </c>
      <c r="QT48" s="3">
        <f>ROUND(0.0,2)</f>
        <v/>
      </c>
      <c r="QU48" s="3">
        <f>ROUND(0.0,2)</f>
        <v/>
      </c>
      <c r="QV48" s="3">
        <f>ROUND(0.0,2)</f>
        <v/>
      </c>
      <c r="QW48" s="4">
        <f>IFERROR((QQ48/QP48),0)</f>
        <v/>
      </c>
      <c r="QX48" s="4">
        <f>IFERROR(((0+QO11+QO12+QO13+QO14+QO15+QO16+QO17+QO19+QO20+QO21+QO22+QO23+QO24+QO25+QO27+QO28+QO29+QO30+QO31+QO32+QO33+QO35+QO36+QO37+QO38+QO39+QO40+QO41+QO43+QO44+QO45+QO46+QO47+QO48)/T2),0)</f>
        <v/>
      </c>
      <c r="QY48" s="5">
        <f>IFERROR(ROUND(QO48/QQ48,2),0)</f>
        <v/>
      </c>
      <c r="QZ48" s="5">
        <f>IFERROR(ROUND(QO48/QR48,2),0)</f>
        <v/>
      </c>
      <c r="RA48" s="2" t="inlineStr">
        <is>
          <t>2023-10-23</t>
        </is>
      </c>
      <c r="RB48" s="5">
        <f>ROUND(0.0,2)</f>
        <v/>
      </c>
      <c r="RC48" s="3">
        <f>ROUND(0.0,2)</f>
        <v/>
      </c>
      <c r="RD48" s="3">
        <f>ROUND(0.0,2)</f>
        <v/>
      </c>
      <c r="RE48" s="3">
        <f>ROUND(0.0,2)</f>
        <v/>
      </c>
      <c r="RF48" s="3">
        <f>ROUND(0.0,2)</f>
        <v/>
      </c>
      <c r="RG48" s="3">
        <f>ROUND(0.0,2)</f>
        <v/>
      </c>
      <c r="RH48" s="3">
        <f>ROUND(0.0,2)</f>
        <v/>
      </c>
      <c r="RI48" s="3">
        <f>ROUND(0.0,2)</f>
        <v/>
      </c>
      <c r="RJ48" s="4">
        <f>IFERROR((RD48/RC48),0)</f>
        <v/>
      </c>
      <c r="RK48" s="4">
        <f>IFERROR(((0+RB11+RB12+RB13+RB14+RB15+RB16+RB17+RB19+RB20+RB21+RB22+RB23+RB24+RB25+RB27+RB28+RB29+RB30+RB31+RB32+RB33+RB35+RB36+RB37+RB38+RB39+RB40+RB41+RB43+RB44+RB45+RB46+RB47+RB48)/T2),0)</f>
        <v/>
      </c>
      <c r="RL48" s="5">
        <f>IFERROR(ROUND(RB48/RD48,2),0)</f>
        <v/>
      </c>
      <c r="RM48" s="5">
        <f>IFERROR(ROUND(RB48/RE48,2),0)</f>
        <v/>
      </c>
      <c r="RN48" s="2" t="inlineStr">
        <is>
          <t>2023-10-23</t>
        </is>
      </c>
      <c r="RO48" s="5">
        <f>ROUND(0.0,2)</f>
        <v/>
      </c>
      <c r="RP48" s="3">
        <f>ROUND(0.0,2)</f>
        <v/>
      </c>
      <c r="RQ48" s="3">
        <f>ROUND(0.0,2)</f>
        <v/>
      </c>
      <c r="RR48" s="3">
        <f>ROUND(0.0,2)</f>
        <v/>
      </c>
      <c r="RS48" s="3">
        <f>ROUND(0.0,2)</f>
        <v/>
      </c>
      <c r="RT48" s="3">
        <f>ROUND(0.0,2)</f>
        <v/>
      </c>
      <c r="RU48" s="3">
        <f>ROUND(0.0,2)</f>
        <v/>
      </c>
      <c r="RV48" s="3">
        <f>ROUND(0.0,2)</f>
        <v/>
      </c>
      <c r="RW48" s="4">
        <f>IFERROR((RQ48/RP48),0)</f>
        <v/>
      </c>
      <c r="RX48" s="4">
        <f>IFERROR(((0+RO11+RO12+RO13+RO14+RO15+RO16+RO17+RO19+RO20+RO21+RO22+RO23+RO24+RO25+RO27+RO28+RO29+RO30+RO31+RO32+RO33+RO35+RO36+RO37+RO38+RO39+RO40+RO41+RO43+RO44+RO45+RO46+RO47+RO48)/T2),0)</f>
        <v/>
      </c>
      <c r="RY48" s="5">
        <f>IFERROR(ROUND(RO48/RQ48,2),0)</f>
        <v/>
      </c>
      <c r="RZ48" s="5">
        <f>IFERROR(ROUND(RO48/RR48,2),0)</f>
        <v/>
      </c>
      <c r="SA48" s="2" t="inlineStr">
        <is>
          <t>2023-10-23</t>
        </is>
      </c>
      <c r="SB48" s="5">
        <f>ROUND(0.0,2)</f>
        <v/>
      </c>
      <c r="SC48" s="3">
        <f>ROUND(0.0,2)</f>
        <v/>
      </c>
      <c r="SD48" s="3">
        <f>ROUND(0.0,2)</f>
        <v/>
      </c>
      <c r="SE48" s="3">
        <f>ROUND(0.0,2)</f>
        <v/>
      </c>
      <c r="SF48" s="3">
        <f>ROUND(0.0,2)</f>
        <v/>
      </c>
      <c r="SG48" s="3">
        <f>ROUND(0.0,2)</f>
        <v/>
      </c>
      <c r="SH48" s="3">
        <f>ROUND(0.0,2)</f>
        <v/>
      </c>
      <c r="SI48" s="3">
        <f>ROUND(0.0,2)</f>
        <v/>
      </c>
      <c r="SJ48" s="4">
        <f>IFERROR((SD48/SC48),0)</f>
        <v/>
      </c>
      <c r="SK48" s="4">
        <f>IFERROR(((0+SB11+SB12+SB13+SB14+SB15+SB16+SB17+SB19+SB20+SB21+SB22+SB23+SB24+SB25+SB27+SB28+SB29+SB30+SB31+SB32+SB33+SB35+SB36+SB37+SB38+SB39+SB40+SB41+SB43+SB44+SB45+SB46+SB47+SB48)/T2),0)</f>
        <v/>
      </c>
      <c r="SL48" s="5">
        <f>IFERROR(ROUND(SB48/SD48,2),0)</f>
        <v/>
      </c>
      <c r="SM48" s="5">
        <f>IFERROR(ROUND(SB48/SE48,2),0)</f>
        <v/>
      </c>
      <c r="SN48" s="2" t="inlineStr">
        <is>
          <t>2023-10-23</t>
        </is>
      </c>
      <c r="SO48" s="5">
        <f>ROUND(0.0,2)</f>
        <v/>
      </c>
      <c r="SP48" s="3">
        <f>ROUND(0.0,2)</f>
        <v/>
      </c>
      <c r="SQ48" s="3">
        <f>ROUND(0.0,2)</f>
        <v/>
      </c>
      <c r="SR48" s="3">
        <f>ROUND(0.0,2)</f>
        <v/>
      </c>
      <c r="SS48" s="3">
        <f>ROUND(0.0,2)</f>
        <v/>
      </c>
      <c r="ST48" s="3">
        <f>ROUND(0.0,2)</f>
        <v/>
      </c>
      <c r="SU48" s="3">
        <f>ROUND(0.0,2)</f>
        <v/>
      </c>
      <c r="SV48" s="3">
        <f>ROUND(0.0,2)</f>
        <v/>
      </c>
      <c r="SW48" s="4">
        <f>IFERROR((SQ48/SP48),0)</f>
        <v/>
      </c>
      <c r="SX48" s="4">
        <f>IFERROR(((0+SO11+SO12+SO13+SO14+SO15+SO16+SO17+SO19+SO20+SO21+SO22+SO23+SO24+SO25+SO27+SO28+SO29+SO30+SO31+SO32+SO33+SO35+SO36+SO37+SO38+SO39+SO40+SO41+SO43+SO44+SO45+SO46+SO47+SO48)/T2),0)</f>
        <v/>
      </c>
      <c r="SY48" s="5">
        <f>IFERROR(ROUND(SO48/SQ48,2),0)</f>
        <v/>
      </c>
      <c r="SZ48" s="5">
        <f>IFERROR(ROUND(SO48/SR48,2),0)</f>
        <v/>
      </c>
    </row>
    <row r="49">
      <c r="A49" s="2" t="inlineStr">
        <is>
          <t>2023-10-24</t>
        </is>
      </c>
      <c r="B49" s="5">
        <f>ROUND(0.0,2)</f>
        <v/>
      </c>
      <c r="C49" s="3">
        <f>ROUND(0.0,2)</f>
        <v/>
      </c>
      <c r="D49" s="3">
        <f>ROUND(0.0,2)</f>
        <v/>
      </c>
      <c r="E49" s="3">
        <f>ROUND(0.0,2)</f>
        <v/>
      </c>
      <c r="F49" s="3">
        <f>ROUND(0.0,2)</f>
        <v/>
      </c>
      <c r="G49" s="3">
        <f>ROUND(0.0,2)</f>
        <v/>
      </c>
      <c r="H49" s="3">
        <f>ROUND(0.0,2)</f>
        <v/>
      </c>
      <c r="I49" s="3">
        <f>ROUND(0.0,2)</f>
        <v/>
      </c>
      <c r="J49" s="4">
        <f>IFERROR((D49/C49),0)</f>
        <v/>
      </c>
      <c r="K49" s="4">
        <f>IFERROR(((0+B11+B12+B13+B14+B15+B16+B17+B19+B20+B21+B22+B23+B24+B25+B27+B28+B29+B30+B31+B32+B33+B35+B36+B37+B38+B39+B40+B41+B43+B44+B45+B46+B47+B48+B49)/T2),0)</f>
        <v/>
      </c>
      <c r="L49" s="5">
        <f>IFERROR(ROUND(B49/D49,2),0)</f>
        <v/>
      </c>
      <c r="M49" s="5">
        <f>IFERROR(ROUND(B49/E49,2),0)</f>
        <v/>
      </c>
      <c r="N49" s="2" t="inlineStr">
        <is>
          <t>2023-10-24</t>
        </is>
      </c>
      <c r="O49" s="5">
        <f>ROUND(0.0,2)</f>
        <v/>
      </c>
      <c r="P49" s="3">
        <f>ROUND(0.0,2)</f>
        <v/>
      </c>
      <c r="Q49" s="3">
        <f>ROUND(0.0,2)</f>
        <v/>
      </c>
      <c r="R49" s="3">
        <f>ROUND(0.0,2)</f>
        <v/>
      </c>
      <c r="S49" s="3">
        <f>ROUND(0.0,2)</f>
        <v/>
      </c>
      <c r="T49" s="3">
        <f>ROUND(0.0,2)</f>
        <v/>
      </c>
      <c r="U49" s="3">
        <f>ROUND(0.0,2)</f>
        <v/>
      </c>
      <c r="V49" s="3">
        <f>ROUND(0.0,2)</f>
        <v/>
      </c>
      <c r="W49" s="4">
        <f>IFERROR((Q49/P49),0)</f>
        <v/>
      </c>
      <c r="X49" s="4">
        <f>IFERROR(((0+O11+O12+O13+O14+O15+O16+O17+O19+O20+O21+O22+O23+O24+O25+O27+O28+O29+O30+O31+O32+O33+O35+O36+O37+O38+O39+O40+O41+O43+O44+O45+O46+O47+O48+O49)/T2),0)</f>
        <v/>
      </c>
      <c r="Y49" s="5">
        <f>IFERROR(ROUND(O49/Q49,2),0)</f>
        <v/>
      </c>
      <c r="Z49" s="5">
        <f>IFERROR(ROUND(O49/R49,2),0)</f>
        <v/>
      </c>
      <c r="AA49" s="2" t="inlineStr">
        <is>
          <t>2023-10-24</t>
        </is>
      </c>
      <c r="AB49" s="5">
        <f>ROUND(0.0,2)</f>
        <v/>
      </c>
      <c r="AC49" s="3">
        <f>ROUND(0.0,2)</f>
        <v/>
      </c>
      <c r="AD49" s="3">
        <f>ROUND(0.0,2)</f>
        <v/>
      </c>
      <c r="AE49" s="3">
        <f>ROUND(0.0,2)</f>
        <v/>
      </c>
      <c r="AF49" s="3">
        <f>ROUND(0.0,2)</f>
        <v/>
      </c>
      <c r="AG49" s="3">
        <f>ROUND(0.0,2)</f>
        <v/>
      </c>
      <c r="AH49" s="3">
        <f>ROUND(0.0,2)</f>
        <v/>
      </c>
      <c r="AI49" s="3">
        <f>ROUND(0.0,2)</f>
        <v/>
      </c>
      <c r="AJ49" s="4">
        <f>IFERROR((AD49/AC49),0)</f>
        <v/>
      </c>
      <c r="AK49" s="4">
        <f>IFERROR(((0+AB11+AB12+AB13+AB14+AB15+AB16+AB17+AB19+AB20+AB21+AB22+AB23+AB24+AB25+AB27+AB28+AB29+AB30+AB31+AB32+AB33+AB35+AB36+AB37+AB38+AB39+AB40+AB41+AB43+AB44+AB45+AB46+AB47+AB48+AB49)/T2),0)</f>
        <v/>
      </c>
      <c r="AL49" s="5">
        <f>IFERROR(ROUND(AB49/AD49,2),0)</f>
        <v/>
      </c>
      <c r="AM49" s="5">
        <f>IFERROR(ROUND(AB49/AE49,2),0)</f>
        <v/>
      </c>
      <c r="AN49" s="2" t="inlineStr">
        <is>
          <t>2023-10-24</t>
        </is>
      </c>
      <c r="AO49" s="5">
        <f>ROUND(0.0,2)</f>
        <v/>
      </c>
      <c r="AP49" s="3">
        <f>ROUND(0.0,2)</f>
        <v/>
      </c>
      <c r="AQ49" s="3">
        <f>ROUND(0.0,2)</f>
        <v/>
      </c>
      <c r="AR49" s="3">
        <f>ROUND(0.0,2)</f>
        <v/>
      </c>
      <c r="AS49" s="3">
        <f>ROUND(0.0,2)</f>
        <v/>
      </c>
      <c r="AT49" s="3">
        <f>ROUND(0.0,2)</f>
        <v/>
      </c>
      <c r="AU49" s="3">
        <f>ROUND(0.0,2)</f>
        <v/>
      </c>
      <c r="AV49" s="3">
        <f>ROUND(0.0,2)</f>
        <v/>
      </c>
      <c r="AW49" s="4">
        <f>IFERROR((AQ49/AP49),0)</f>
        <v/>
      </c>
      <c r="AX49" s="4">
        <f>IFERROR(((0+AO11+AO12+AO13+AO14+AO15+AO16+AO17+AO19+AO20+AO21+AO22+AO23+AO24+AO25+AO27+AO28+AO29+AO30+AO31+AO32+AO33+AO35+AO36+AO37+AO38+AO39+AO40+AO41+AO43+AO44+AO45+AO46+AO47+AO48+AO49)/T2),0)</f>
        <v/>
      </c>
      <c r="AY49" s="5">
        <f>IFERROR(ROUND(AO49/AQ49,2),0)</f>
        <v/>
      </c>
      <c r="AZ49" s="5">
        <f>IFERROR(ROUND(AO49/AR49,2),0)</f>
        <v/>
      </c>
      <c r="BA49" s="2" t="inlineStr">
        <is>
          <t>2023-10-24</t>
        </is>
      </c>
      <c r="BB49" s="5">
        <f>ROUND(0.0,2)</f>
        <v/>
      </c>
      <c r="BC49" s="3">
        <f>ROUND(0.0,2)</f>
        <v/>
      </c>
      <c r="BD49" s="3">
        <f>ROUND(0.0,2)</f>
        <v/>
      </c>
      <c r="BE49" s="3">
        <f>ROUND(0.0,2)</f>
        <v/>
      </c>
      <c r="BF49" s="3">
        <f>ROUND(0.0,2)</f>
        <v/>
      </c>
      <c r="BG49" s="3">
        <f>ROUND(0.0,2)</f>
        <v/>
      </c>
      <c r="BH49" s="3">
        <f>ROUND(0.0,2)</f>
        <v/>
      </c>
      <c r="BI49" s="3">
        <f>ROUND(0.0,2)</f>
        <v/>
      </c>
      <c r="BJ49" s="4">
        <f>IFERROR((BD49/BC49),0)</f>
        <v/>
      </c>
      <c r="BK49" s="4">
        <f>IFERROR(((0+BB11+BB12+BB13+BB14+BB15+BB16+BB17+BB19+BB20+BB21+BB22+BB23+BB24+BB25+BB27+BB28+BB29+BB30+BB31+BB32+BB33+BB35+BB36+BB37+BB38+BB39+BB40+BB41+BB43+BB44+BB45+BB46+BB47+BB48+BB49)/T2),0)</f>
        <v/>
      </c>
      <c r="BL49" s="5">
        <f>IFERROR(ROUND(BB49/BD49,2),0)</f>
        <v/>
      </c>
      <c r="BM49" s="5">
        <f>IFERROR(ROUND(BB49/BE49,2),0)</f>
        <v/>
      </c>
      <c r="BN49" s="2" t="inlineStr">
        <is>
          <t>2023-10-24</t>
        </is>
      </c>
      <c r="BO49" s="5">
        <f>ROUND(0.0,2)</f>
        <v/>
      </c>
      <c r="BP49" s="3">
        <f>ROUND(0.0,2)</f>
        <v/>
      </c>
      <c r="BQ49" s="3">
        <f>ROUND(0.0,2)</f>
        <v/>
      </c>
      <c r="BR49" s="3">
        <f>ROUND(0.0,2)</f>
        <v/>
      </c>
      <c r="BS49" s="3">
        <f>ROUND(0.0,2)</f>
        <v/>
      </c>
      <c r="BT49" s="3">
        <f>ROUND(0.0,2)</f>
        <v/>
      </c>
      <c r="BU49" s="3">
        <f>ROUND(0.0,2)</f>
        <v/>
      </c>
      <c r="BV49" s="3">
        <f>ROUND(0.0,2)</f>
        <v/>
      </c>
      <c r="BW49" s="4">
        <f>IFERROR((BQ49/BP49),0)</f>
        <v/>
      </c>
      <c r="BX49" s="4">
        <f>IFERROR(((0+BO11+BO12+BO13+BO14+BO15+BO16+BO17+BO19+BO20+BO21+BO22+BO23+BO24+BO25+BO27+BO28+BO29+BO30+BO31+BO32+BO33+BO35+BO36+BO37+BO38+BO39+BO40+BO41+BO43+BO44+BO45+BO46+BO47+BO48+BO49)/T2),0)</f>
        <v/>
      </c>
      <c r="BY49" s="5">
        <f>IFERROR(ROUND(BO49/BQ49,2),0)</f>
        <v/>
      </c>
      <c r="BZ49" s="5">
        <f>IFERROR(ROUND(BO49/BR49,2),0)</f>
        <v/>
      </c>
      <c r="CA49" s="2" t="inlineStr">
        <is>
          <t>2023-10-24</t>
        </is>
      </c>
      <c r="CB49" s="5">
        <f>ROUND(0.0,2)</f>
        <v/>
      </c>
      <c r="CC49" s="3">
        <f>ROUND(0.0,2)</f>
        <v/>
      </c>
      <c r="CD49" s="3">
        <f>ROUND(0.0,2)</f>
        <v/>
      </c>
      <c r="CE49" s="3">
        <f>ROUND(0.0,2)</f>
        <v/>
      </c>
      <c r="CF49" s="3">
        <f>ROUND(0.0,2)</f>
        <v/>
      </c>
      <c r="CG49" s="3">
        <f>ROUND(0.0,2)</f>
        <v/>
      </c>
      <c r="CH49" s="3">
        <f>ROUND(0.0,2)</f>
        <v/>
      </c>
      <c r="CI49" s="3">
        <f>ROUND(0.0,2)</f>
        <v/>
      </c>
      <c r="CJ49" s="4">
        <f>IFERROR((CD49/CC49),0)</f>
        <v/>
      </c>
      <c r="CK49" s="4">
        <f>IFERROR(((0+CB11+CB12+CB13+CB14+CB15+CB16+CB17+CB19+CB20+CB21+CB22+CB23+CB24+CB25+CB27+CB28+CB29+CB30+CB31+CB32+CB33+CB35+CB36+CB37+CB38+CB39+CB40+CB41+CB43+CB44+CB45+CB46+CB47+CB48+CB49)/T2),0)</f>
        <v/>
      </c>
      <c r="CL49" s="5">
        <f>IFERROR(ROUND(CB49/CD49,2),0)</f>
        <v/>
      </c>
      <c r="CM49" s="5">
        <f>IFERROR(ROUND(CB49/CE49,2),0)</f>
        <v/>
      </c>
      <c r="CN49" s="2" t="inlineStr">
        <is>
          <t>2023-10-24</t>
        </is>
      </c>
      <c r="CO49" s="5">
        <f>ROUND(0.0,2)</f>
        <v/>
      </c>
      <c r="CP49" s="3">
        <f>ROUND(0.0,2)</f>
        <v/>
      </c>
      <c r="CQ49" s="3">
        <f>ROUND(0.0,2)</f>
        <v/>
      </c>
      <c r="CR49" s="3">
        <f>ROUND(0.0,2)</f>
        <v/>
      </c>
      <c r="CS49" s="3">
        <f>ROUND(0.0,2)</f>
        <v/>
      </c>
      <c r="CT49" s="3">
        <f>ROUND(0.0,2)</f>
        <v/>
      </c>
      <c r="CU49" s="3">
        <f>ROUND(0.0,2)</f>
        <v/>
      </c>
      <c r="CV49" s="3">
        <f>ROUND(0.0,2)</f>
        <v/>
      </c>
      <c r="CW49" s="4">
        <f>IFERROR((CQ49/CP49),0)</f>
        <v/>
      </c>
      <c r="CX49" s="4">
        <f>IFERROR(((0+CO11+CO12+CO13+CO14+CO15+CO16+CO17+CO19+CO20+CO21+CO22+CO23+CO24+CO25+CO27+CO28+CO29+CO30+CO31+CO32+CO33+CO35+CO36+CO37+CO38+CO39+CO40+CO41+CO43+CO44+CO45+CO46+CO47+CO48+CO49)/T2),0)</f>
        <v/>
      </c>
      <c r="CY49" s="5">
        <f>IFERROR(ROUND(CO49/CQ49,2),0)</f>
        <v/>
      </c>
      <c r="CZ49" s="5">
        <f>IFERROR(ROUND(CO49/CR49,2),0)</f>
        <v/>
      </c>
      <c r="DA49" s="2" t="inlineStr">
        <is>
          <t>2023-10-24</t>
        </is>
      </c>
      <c r="DB49" s="5">
        <f>ROUND(0.0,2)</f>
        <v/>
      </c>
      <c r="DC49" s="3">
        <f>ROUND(0.0,2)</f>
        <v/>
      </c>
      <c r="DD49" s="3">
        <f>ROUND(0.0,2)</f>
        <v/>
      </c>
      <c r="DE49" s="3">
        <f>ROUND(0.0,2)</f>
        <v/>
      </c>
      <c r="DF49" s="3">
        <f>ROUND(0.0,2)</f>
        <v/>
      </c>
      <c r="DG49" s="3">
        <f>ROUND(0.0,2)</f>
        <v/>
      </c>
      <c r="DH49" s="3">
        <f>ROUND(0.0,2)</f>
        <v/>
      </c>
      <c r="DI49" s="3">
        <f>ROUND(0.0,2)</f>
        <v/>
      </c>
      <c r="DJ49" s="4">
        <f>IFERROR((DD49/DC49),0)</f>
        <v/>
      </c>
      <c r="DK49" s="4">
        <f>IFERROR(((0+DB11+DB12+DB13+DB14+DB15+DB16+DB17+DB19+DB20+DB21+DB22+DB23+DB24+DB25+DB27+DB28+DB29+DB30+DB31+DB32+DB33+DB35+DB36+DB37+DB38+DB39+DB40+DB41+DB43+DB44+DB45+DB46+DB47+DB48+DB49)/T2),0)</f>
        <v/>
      </c>
      <c r="DL49" s="5">
        <f>IFERROR(ROUND(DB49/DD49,2),0)</f>
        <v/>
      </c>
      <c r="DM49" s="5">
        <f>IFERROR(ROUND(DB49/DE49,2),0)</f>
        <v/>
      </c>
      <c r="DN49" s="2" t="inlineStr">
        <is>
          <t>2023-10-24</t>
        </is>
      </c>
      <c r="DO49" s="5">
        <f>ROUND(0.0,2)</f>
        <v/>
      </c>
      <c r="DP49" s="3">
        <f>ROUND(0.0,2)</f>
        <v/>
      </c>
      <c r="DQ49" s="3">
        <f>ROUND(0.0,2)</f>
        <v/>
      </c>
      <c r="DR49" s="3">
        <f>ROUND(0.0,2)</f>
        <v/>
      </c>
      <c r="DS49" s="3">
        <f>ROUND(0.0,2)</f>
        <v/>
      </c>
      <c r="DT49" s="3">
        <f>ROUND(0.0,2)</f>
        <v/>
      </c>
      <c r="DU49" s="3">
        <f>ROUND(0.0,2)</f>
        <v/>
      </c>
      <c r="DV49" s="3">
        <f>ROUND(0.0,2)</f>
        <v/>
      </c>
      <c r="DW49" s="4">
        <f>IFERROR((DQ49/DP49),0)</f>
        <v/>
      </c>
      <c r="DX49" s="4">
        <f>IFERROR(((0+DO11+DO12+DO13+DO14+DO15+DO16+DO17+DO19+DO20+DO21+DO22+DO23+DO24+DO25+DO27+DO28+DO29+DO30+DO31+DO32+DO33+DO35+DO36+DO37+DO38+DO39+DO40+DO41+DO43+DO44+DO45+DO46+DO47+DO48+DO49)/T2),0)</f>
        <v/>
      </c>
      <c r="DY49" s="5">
        <f>IFERROR(ROUND(DO49/DQ49,2),0)</f>
        <v/>
      </c>
      <c r="DZ49" s="5">
        <f>IFERROR(ROUND(DO49/DR49,2),0)</f>
        <v/>
      </c>
      <c r="EA49" s="2" t="inlineStr">
        <is>
          <t>2023-10-24</t>
        </is>
      </c>
      <c r="EB49" s="5">
        <f>ROUND(0.0,2)</f>
        <v/>
      </c>
      <c r="EC49" s="3">
        <f>ROUND(0.0,2)</f>
        <v/>
      </c>
      <c r="ED49" s="3">
        <f>ROUND(0.0,2)</f>
        <v/>
      </c>
      <c r="EE49" s="3">
        <f>ROUND(0.0,2)</f>
        <v/>
      </c>
      <c r="EF49" s="3">
        <f>ROUND(0.0,2)</f>
        <v/>
      </c>
      <c r="EG49" s="3">
        <f>ROUND(0.0,2)</f>
        <v/>
      </c>
      <c r="EH49" s="3">
        <f>ROUND(0.0,2)</f>
        <v/>
      </c>
      <c r="EI49" s="3">
        <f>ROUND(0.0,2)</f>
        <v/>
      </c>
      <c r="EJ49" s="4">
        <f>IFERROR((ED49/EC49),0)</f>
        <v/>
      </c>
      <c r="EK49" s="4">
        <f>IFERROR(((0+EB11+EB12+EB13+EB14+EB15+EB16+EB17+EB19+EB20+EB21+EB22+EB23+EB24+EB25+EB27+EB28+EB29+EB30+EB31+EB32+EB33+EB35+EB36+EB37+EB38+EB39+EB40+EB41+EB43+EB44+EB45+EB46+EB47+EB48+EB49)/T2),0)</f>
        <v/>
      </c>
      <c r="EL49" s="5">
        <f>IFERROR(ROUND(EB49/ED49,2),0)</f>
        <v/>
      </c>
      <c r="EM49" s="5">
        <f>IFERROR(ROUND(EB49/EE49,2),0)</f>
        <v/>
      </c>
      <c r="EN49" s="2" t="inlineStr">
        <is>
          <t>2023-10-24</t>
        </is>
      </c>
      <c r="EO49" s="5">
        <f>ROUND(0.0,2)</f>
        <v/>
      </c>
      <c r="EP49" s="3">
        <f>ROUND(0.0,2)</f>
        <v/>
      </c>
      <c r="EQ49" s="3">
        <f>ROUND(0.0,2)</f>
        <v/>
      </c>
      <c r="ER49" s="3">
        <f>ROUND(0.0,2)</f>
        <v/>
      </c>
      <c r="ES49" s="3">
        <f>ROUND(0.0,2)</f>
        <v/>
      </c>
      <c r="ET49" s="3">
        <f>ROUND(0.0,2)</f>
        <v/>
      </c>
      <c r="EU49" s="3">
        <f>ROUND(0.0,2)</f>
        <v/>
      </c>
      <c r="EV49" s="3">
        <f>ROUND(0.0,2)</f>
        <v/>
      </c>
      <c r="EW49" s="4">
        <f>IFERROR((EQ49/EP49),0)</f>
        <v/>
      </c>
      <c r="EX49" s="4">
        <f>IFERROR(((0+EO11+EO12+EO13+EO14+EO15+EO16+EO17+EO19+EO20+EO21+EO22+EO23+EO24+EO25+EO27+EO28+EO29+EO30+EO31+EO32+EO33+EO35+EO36+EO37+EO38+EO39+EO40+EO41+EO43+EO44+EO45+EO46+EO47+EO48+EO49)/T2),0)</f>
        <v/>
      </c>
      <c r="EY49" s="5">
        <f>IFERROR(ROUND(EO49/EQ49,2),0)</f>
        <v/>
      </c>
      <c r="EZ49" s="5">
        <f>IFERROR(ROUND(EO49/ER49,2),0)</f>
        <v/>
      </c>
      <c r="FA49" s="2" t="inlineStr">
        <is>
          <t>2023-10-24</t>
        </is>
      </c>
      <c r="FB49" s="5">
        <f>ROUND(0.0,2)</f>
        <v/>
      </c>
      <c r="FC49" s="3">
        <f>ROUND(0.0,2)</f>
        <v/>
      </c>
      <c r="FD49" s="3">
        <f>ROUND(0.0,2)</f>
        <v/>
      </c>
      <c r="FE49" s="3">
        <f>ROUND(0.0,2)</f>
        <v/>
      </c>
      <c r="FF49" s="3">
        <f>ROUND(0.0,2)</f>
        <v/>
      </c>
      <c r="FG49" s="3">
        <f>ROUND(0.0,2)</f>
        <v/>
      </c>
      <c r="FH49" s="3">
        <f>ROUND(0.0,2)</f>
        <v/>
      </c>
      <c r="FI49" s="3">
        <f>ROUND(0.0,2)</f>
        <v/>
      </c>
      <c r="FJ49" s="4">
        <f>IFERROR((FD49/FC49),0)</f>
        <v/>
      </c>
      <c r="FK49" s="4">
        <f>IFERROR(((0+FB11+FB12+FB13+FB14+FB15+FB16+FB17+FB19+FB20+FB21+FB22+FB23+FB24+FB25+FB27+FB28+FB29+FB30+FB31+FB32+FB33+FB35+FB36+FB37+FB38+FB39+FB40+FB41+FB43+FB44+FB45+FB46+FB47+FB48+FB49)/T2),0)</f>
        <v/>
      </c>
      <c r="FL49" s="5">
        <f>IFERROR(ROUND(FB49/FD49,2),0)</f>
        <v/>
      </c>
      <c r="FM49" s="5">
        <f>IFERROR(ROUND(FB49/FE49,2),0)</f>
        <v/>
      </c>
      <c r="FN49" s="2" t="inlineStr">
        <is>
          <t>2023-10-24</t>
        </is>
      </c>
      <c r="FO49" s="5">
        <f>ROUND(0.0,2)</f>
        <v/>
      </c>
      <c r="FP49" s="3">
        <f>ROUND(0.0,2)</f>
        <v/>
      </c>
      <c r="FQ49" s="3">
        <f>ROUND(0.0,2)</f>
        <v/>
      </c>
      <c r="FR49" s="3">
        <f>ROUND(0.0,2)</f>
        <v/>
      </c>
      <c r="FS49" s="3">
        <f>ROUND(0.0,2)</f>
        <v/>
      </c>
      <c r="FT49" s="3">
        <f>ROUND(0.0,2)</f>
        <v/>
      </c>
      <c r="FU49" s="3">
        <f>ROUND(0.0,2)</f>
        <v/>
      </c>
      <c r="FV49" s="3">
        <f>ROUND(0.0,2)</f>
        <v/>
      </c>
      <c r="FW49" s="4">
        <f>IFERROR((FQ49/FP49),0)</f>
        <v/>
      </c>
      <c r="FX49" s="4">
        <f>IFERROR(((0+FO11+FO12+FO13+FO14+FO15+FO16+FO17+FO19+FO20+FO21+FO22+FO23+FO24+FO25+FO27+FO28+FO29+FO30+FO31+FO32+FO33+FO35+FO36+FO37+FO38+FO39+FO40+FO41+FO43+FO44+FO45+FO46+FO47+FO48+FO49)/T2),0)</f>
        <v/>
      </c>
      <c r="FY49" s="5">
        <f>IFERROR(ROUND(FO49/FQ49,2),0)</f>
        <v/>
      </c>
      <c r="FZ49" s="5">
        <f>IFERROR(ROUND(FO49/FR49,2),0)</f>
        <v/>
      </c>
      <c r="GA49" s="2" t="inlineStr">
        <is>
          <t>2023-10-24</t>
        </is>
      </c>
      <c r="GB49" s="5">
        <f>ROUND(0.0,2)</f>
        <v/>
      </c>
      <c r="GC49" s="3">
        <f>ROUND(0.0,2)</f>
        <v/>
      </c>
      <c r="GD49" s="3">
        <f>ROUND(0.0,2)</f>
        <v/>
      </c>
      <c r="GE49" s="3">
        <f>ROUND(0.0,2)</f>
        <v/>
      </c>
      <c r="GF49" s="3">
        <f>ROUND(0.0,2)</f>
        <v/>
      </c>
      <c r="GG49" s="3">
        <f>ROUND(0.0,2)</f>
        <v/>
      </c>
      <c r="GH49" s="3">
        <f>ROUND(0.0,2)</f>
        <v/>
      </c>
      <c r="GI49" s="3">
        <f>ROUND(0.0,2)</f>
        <v/>
      </c>
      <c r="GJ49" s="4">
        <f>IFERROR((GD49/GC49),0)</f>
        <v/>
      </c>
      <c r="GK49" s="4">
        <f>IFERROR(((0+GB11+GB12+GB13+GB14+GB15+GB16+GB17+GB19+GB20+GB21+GB22+GB23+GB24+GB25+GB27+GB28+GB29+GB30+GB31+GB32+GB33+GB35+GB36+GB37+GB38+GB39+GB40+GB41+GB43+GB44+GB45+GB46+GB47+GB48+GB49)/T2),0)</f>
        <v/>
      </c>
      <c r="GL49" s="5">
        <f>IFERROR(ROUND(GB49/GD49,2),0)</f>
        <v/>
      </c>
      <c r="GM49" s="5">
        <f>IFERROR(ROUND(GB49/GE49,2),0)</f>
        <v/>
      </c>
      <c r="GN49" s="2" t="inlineStr">
        <is>
          <t>2023-10-24</t>
        </is>
      </c>
      <c r="GO49" s="5">
        <f>ROUND(0.0,2)</f>
        <v/>
      </c>
      <c r="GP49" s="3">
        <f>ROUND(0.0,2)</f>
        <v/>
      </c>
      <c r="GQ49" s="3">
        <f>ROUND(0.0,2)</f>
        <v/>
      </c>
      <c r="GR49" s="3">
        <f>ROUND(0.0,2)</f>
        <v/>
      </c>
      <c r="GS49" s="3">
        <f>ROUND(0.0,2)</f>
        <v/>
      </c>
      <c r="GT49" s="3">
        <f>ROUND(0.0,2)</f>
        <v/>
      </c>
      <c r="GU49" s="3">
        <f>ROUND(0.0,2)</f>
        <v/>
      </c>
      <c r="GV49" s="3">
        <f>ROUND(0.0,2)</f>
        <v/>
      </c>
      <c r="GW49" s="4">
        <f>IFERROR((GQ49/GP49),0)</f>
        <v/>
      </c>
      <c r="GX49" s="4">
        <f>IFERROR(((0+GO11+GO12+GO13+GO14+GO15+GO16+GO17+GO19+GO20+GO21+GO22+GO23+GO24+GO25+GO27+GO28+GO29+GO30+GO31+GO32+GO33+GO35+GO36+GO37+GO38+GO39+GO40+GO41+GO43+GO44+GO45+GO46+GO47+GO48+GO49)/T2),0)</f>
        <v/>
      </c>
      <c r="GY49" s="5">
        <f>IFERROR(ROUND(GO49/GQ49,2),0)</f>
        <v/>
      </c>
      <c r="GZ49" s="5">
        <f>IFERROR(ROUND(GO49/GR49,2),0)</f>
        <v/>
      </c>
      <c r="HA49" s="2" t="inlineStr">
        <is>
          <t>2023-10-24</t>
        </is>
      </c>
      <c r="HB49" s="5">
        <f>ROUND(0.0,2)</f>
        <v/>
      </c>
      <c r="HC49" s="3">
        <f>ROUND(0.0,2)</f>
        <v/>
      </c>
      <c r="HD49" s="3">
        <f>ROUND(0.0,2)</f>
        <v/>
      </c>
      <c r="HE49" s="3">
        <f>ROUND(0.0,2)</f>
        <v/>
      </c>
      <c r="HF49" s="3">
        <f>ROUND(0.0,2)</f>
        <v/>
      </c>
      <c r="HG49" s="3">
        <f>ROUND(0.0,2)</f>
        <v/>
      </c>
      <c r="HH49" s="3">
        <f>ROUND(0.0,2)</f>
        <v/>
      </c>
      <c r="HI49" s="3">
        <f>ROUND(0.0,2)</f>
        <v/>
      </c>
      <c r="HJ49" s="4">
        <f>IFERROR((HD49/HC49),0)</f>
        <v/>
      </c>
      <c r="HK49" s="4">
        <f>IFERROR(((0+HB11+HB12+HB13+HB14+HB15+HB16+HB17+HB19+HB20+HB21+HB22+HB23+HB24+HB25+HB27+HB28+HB29+HB30+HB31+HB32+HB33+HB35+HB36+HB37+HB38+HB39+HB40+HB41+HB43+HB44+HB45+HB46+HB47+HB48+HB49)/T2),0)</f>
        <v/>
      </c>
      <c r="HL49" s="5">
        <f>IFERROR(ROUND(HB49/HD49,2),0)</f>
        <v/>
      </c>
      <c r="HM49" s="5">
        <f>IFERROR(ROUND(HB49/HE49,2),0)</f>
        <v/>
      </c>
      <c r="HN49" s="2" t="inlineStr">
        <is>
          <t>2023-10-24</t>
        </is>
      </c>
      <c r="HO49" s="5">
        <f>ROUND(0.0,2)</f>
        <v/>
      </c>
      <c r="HP49" s="3">
        <f>ROUND(0.0,2)</f>
        <v/>
      </c>
      <c r="HQ49" s="3">
        <f>ROUND(0.0,2)</f>
        <v/>
      </c>
      <c r="HR49" s="3">
        <f>ROUND(0.0,2)</f>
        <v/>
      </c>
      <c r="HS49" s="3">
        <f>ROUND(0.0,2)</f>
        <v/>
      </c>
      <c r="HT49" s="3">
        <f>ROUND(0.0,2)</f>
        <v/>
      </c>
      <c r="HU49" s="3">
        <f>ROUND(0.0,2)</f>
        <v/>
      </c>
      <c r="HV49" s="3">
        <f>ROUND(0.0,2)</f>
        <v/>
      </c>
      <c r="HW49" s="4">
        <f>IFERROR((HQ49/HP49),0)</f>
        <v/>
      </c>
      <c r="HX49" s="4">
        <f>IFERROR(((0+HO11+HO12+HO13+HO14+HO15+HO16+HO17+HO19+HO20+HO21+HO22+HO23+HO24+HO25+HO27+HO28+HO29+HO30+HO31+HO32+HO33+HO35+HO36+HO37+HO38+HO39+HO40+HO41+HO43+HO44+HO45+HO46+HO47+HO48+HO49)/T2),0)</f>
        <v/>
      </c>
      <c r="HY49" s="5">
        <f>IFERROR(ROUND(HO49/HQ49,2),0)</f>
        <v/>
      </c>
      <c r="HZ49" s="5">
        <f>IFERROR(ROUND(HO49/HR49,2),0)</f>
        <v/>
      </c>
      <c r="IA49" s="2" t="inlineStr">
        <is>
          <t>2023-10-24</t>
        </is>
      </c>
      <c r="IB49" s="5">
        <f>ROUND(0.0,2)</f>
        <v/>
      </c>
      <c r="IC49" s="3">
        <f>ROUND(0.0,2)</f>
        <v/>
      </c>
      <c r="ID49" s="3">
        <f>ROUND(0.0,2)</f>
        <v/>
      </c>
      <c r="IE49" s="3">
        <f>ROUND(0.0,2)</f>
        <v/>
      </c>
      <c r="IF49" s="3">
        <f>ROUND(0.0,2)</f>
        <v/>
      </c>
      <c r="IG49" s="3">
        <f>ROUND(0.0,2)</f>
        <v/>
      </c>
      <c r="IH49" s="3">
        <f>ROUND(0.0,2)</f>
        <v/>
      </c>
      <c r="II49" s="3">
        <f>ROUND(0.0,2)</f>
        <v/>
      </c>
      <c r="IJ49" s="4">
        <f>IFERROR((ID49/IC49),0)</f>
        <v/>
      </c>
      <c r="IK49" s="4">
        <f>IFERROR(((0+IB11+IB12+IB13+IB14+IB15+IB16+IB17+IB19+IB20+IB21+IB22+IB23+IB24+IB25+IB27+IB28+IB29+IB30+IB31+IB32+IB33+IB35+IB36+IB37+IB38+IB39+IB40+IB41+IB43+IB44+IB45+IB46+IB47+IB48+IB49)/T2),0)</f>
        <v/>
      </c>
      <c r="IL49" s="5">
        <f>IFERROR(ROUND(IB49/ID49,2),0)</f>
        <v/>
      </c>
      <c r="IM49" s="5">
        <f>IFERROR(ROUND(IB49/IE49,2),0)</f>
        <v/>
      </c>
      <c r="IN49" s="2" t="inlineStr">
        <is>
          <t>2023-10-24</t>
        </is>
      </c>
      <c r="IO49" s="5">
        <f>ROUND(0.0,2)</f>
        <v/>
      </c>
      <c r="IP49" s="3">
        <f>ROUND(0.0,2)</f>
        <v/>
      </c>
      <c r="IQ49" s="3">
        <f>ROUND(0.0,2)</f>
        <v/>
      </c>
      <c r="IR49" s="3">
        <f>ROUND(0.0,2)</f>
        <v/>
      </c>
      <c r="IS49" s="3">
        <f>ROUND(0.0,2)</f>
        <v/>
      </c>
      <c r="IT49" s="3">
        <f>ROUND(0.0,2)</f>
        <v/>
      </c>
      <c r="IU49" s="3">
        <f>ROUND(0.0,2)</f>
        <v/>
      </c>
      <c r="IV49" s="3">
        <f>ROUND(0.0,2)</f>
        <v/>
      </c>
      <c r="IW49" s="4">
        <f>IFERROR((IQ49/IP49),0)</f>
        <v/>
      </c>
      <c r="IX49" s="4">
        <f>IFERROR(((0+IO11+IO12+IO13+IO14+IO15+IO16+IO17+IO19+IO20+IO21+IO22+IO23+IO24+IO25+IO27+IO28+IO29+IO30+IO31+IO32+IO33+IO35+IO36+IO37+IO38+IO39+IO40+IO41+IO43+IO44+IO45+IO46+IO47+IO48+IO49)/T2),0)</f>
        <v/>
      </c>
      <c r="IY49" s="5">
        <f>IFERROR(ROUND(IO49/IQ49,2),0)</f>
        <v/>
      </c>
      <c r="IZ49" s="5">
        <f>IFERROR(ROUND(IO49/IR49,2),0)</f>
        <v/>
      </c>
      <c r="JA49" s="2" t="inlineStr">
        <is>
          <t>2023-10-24</t>
        </is>
      </c>
      <c r="JB49" s="5">
        <f>ROUND(0.0,2)</f>
        <v/>
      </c>
      <c r="JC49" s="3">
        <f>ROUND(0.0,2)</f>
        <v/>
      </c>
      <c r="JD49" s="3">
        <f>ROUND(0.0,2)</f>
        <v/>
      </c>
      <c r="JE49" s="3">
        <f>ROUND(0.0,2)</f>
        <v/>
      </c>
      <c r="JF49" s="3">
        <f>ROUND(0.0,2)</f>
        <v/>
      </c>
      <c r="JG49" s="3">
        <f>ROUND(0.0,2)</f>
        <v/>
      </c>
      <c r="JH49" s="3">
        <f>ROUND(0.0,2)</f>
        <v/>
      </c>
      <c r="JI49" s="3">
        <f>ROUND(0.0,2)</f>
        <v/>
      </c>
      <c r="JJ49" s="4">
        <f>IFERROR((JD49/JC49),0)</f>
        <v/>
      </c>
      <c r="JK49" s="4">
        <f>IFERROR(((0+JB11+JB12+JB13+JB14+JB15+JB16+JB17+JB19+JB20+JB21+JB22+JB23+JB24+JB25+JB27+JB28+JB29+JB30+JB31+JB32+JB33+JB35+JB36+JB37+JB38+JB39+JB40+JB41+JB43+JB44+JB45+JB46+JB47+JB48+JB49)/T2),0)</f>
        <v/>
      </c>
      <c r="JL49" s="5">
        <f>IFERROR(ROUND(JB49/JD49,2),0)</f>
        <v/>
      </c>
      <c r="JM49" s="5">
        <f>IFERROR(ROUND(JB49/JE49,2),0)</f>
        <v/>
      </c>
      <c r="JN49" s="2" t="inlineStr">
        <is>
          <t>2023-10-24</t>
        </is>
      </c>
      <c r="JO49" s="5">
        <f>ROUND(0.0,2)</f>
        <v/>
      </c>
      <c r="JP49" s="3">
        <f>ROUND(0.0,2)</f>
        <v/>
      </c>
      <c r="JQ49" s="3">
        <f>ROUND(0.0,2)</f>
        <v/>
      </c>
      <c r="JR49" s="3">
        <f>ROUND(0.0,2)</f>
        <v/>
      </c>
      <c r="JS49" s="3">
        <f>ROUND(0.0,2)</f>
        <v/>
      </c>
      <c r="JT49" s="3">
        <f>ROUND(0.0,2)</f>
        <v/>
      </c>
      <c r="JU49" s="3">
        <f>ROUND(0.0,2)</f>
        <v/>
      </c>
      <c r="JV49" s="3">
        <f>ROUND(0.0,2)</f>
        <v/>
      </c>
      <c r="JW49" s="4">
        <f>IFERROR((JQ49/JP49),0)</f>
        <v/>
      </c>
      <c r="JX49" s="4">
        <f>IFERROR(((0+JO11+JO12+JO13+JO14+JO15+JO16+JO17+JO19+JO20+JO21+JO22+JO23+JO24+JO25+JO27+JO28+JO29+JO30+JO31+JO32+JO33+JO35+JO36+JO37+JO38+JO39+JO40+JO41+JO43+JO44+JO45+JO46+JO47+JO48+JO49)/T2),0)</f>
        <v/>
      </c>
      <c r="JY49" s="5">
        <f>IFERROR(ROUND(JO49/JQ49,2),0)</f>
        <v/>
      </c>
      <c r="JZ49" s="5">
        <f>IFERROR(ROUND(JO49/JR49,2),0)</f>
        <v/>
      </c>
      <c r="KA49" s="2" t="inlineStr">
        <is>
          <t>2023-10-24</t>
        </is>
      </c>
      <c r="KB49" s="5">
        <f>ROUND(0.0,2)</f>
        <v/>
      </c>
      <c r="KC49" s="3">
        <f>ROUND(0.0,2)</f>
        <v/>
      </c>
      <c r="KD49" s="3">
        <f>ROUND(0.0,2)</f>
        <v/>
      </c>
      <c r="KE49" s="3">
        <f>ROUND(0.0,2)</f>
        <v/>
      </c>
      <c r="KF49" s="3">
        <f>ROUND(0.0,2)</f>
        <v/>
      </c>
      <c r="KG49" s="3">
        <f>ROUND(0.0,2)</f>
        <v/>
      </c>
      <c r="KH49" s="3">
        <f>ROUND(0.0,2)</f>
        <v/>
      </c>
      <c r="KI49" s="3">
        <f>ROUND(0.0,2)</f>
        <v/>
      </c>
      <c r="KJ49" s="4">
        <f>IFERROR((KD49/KC49),0)</f>
        <v/>
      </c>
      <c r="KK49" s="4">
        <f>IFERROR(((0+KB11+KB12+KB13+KB14+KB15+KB16+KB17+KB19+KB20+KB21+KB22+KB23+KB24+KB25+KB27+KB28+KB29+KB30+KB31+KB32+KB33+KB35+KB36+KB37+KB38+KB39+KB40+KB41+KB43+KB44+KB45+KB46+KB47+KB48+KB49)/T2),0)</f>
        <v/>
      </c>
      <c r="KL49" s="5">
        <f>IFERROR(ROUND(KB49/KD49,2),0)</f>
        <v/>
      </c>
      <c r="KM49" s="5">
        <f>IFERROR(ROUND(KB49/KE49,2),0)</f>
        <v/>
      </c>
      <c r="KN49" s="2" t="inlineStr">
        <is>
          <t>2023-10-24</t>
        </is>
      </c>
      <c r="KO49" s="5">
        <f>ROUND(0.0,2)</f>
        <v/>
      </c>
      <c r="KP49" s="3">
        <f>ROUND(0.0,2)</f>
        <v/>
      </c>
      <c r="KQ49" s="3">
        <f>ROUND(0.0,2)</f>
        <v/>
      </c>
      <c r="KR49" s="3">
        <f>ROUND(0.0,2)</f>
        <v/>
      </c>
      <c r="KS49" s="3">
        <f>ROUND(0.0,2)</f>
        <v/>
      </c>
      <c r="KT49" s="3">
        <f>ROUND(0.0,2)</f>
        <v/>
      </c>
      <c r="KU49" s="3">
        <f>ROUND(0.0,2)</f>
        <v/>
      </c>
      <c r="KV49" s="3">
        <f>ROUND(0.0,2)</f>
        <v/>
      </c>
      <c r="KW49" s="4">
        <f>IFERROR((KQ49/KP49),0)</f>
        <v/>
      </c>
      <c r="KX49" s="4">
        <f>IFERROR(((0+KO11+KO12+KO13+KO14+KO15+KO16+KO17+KO19+KO20+KO21+KO22+KO23+KO24+KO25+KO27+KO28+KO29+KO30+KO31+KO32+KO33+KO35+KO36+KO37+KO38+KO39+KO40+KO41+KO43+KO44+KO45+KO46+KO47+KO48+KO49)/T2),0)</f>
        <v/>
      </c>
      <c r="KY49" s="5">
        <f>IFERROR(ROUND(KO49/KQ49,2),0)</f>
        <v/>
      </c>
      <c r="KZ49" s="5">
        <f>IFERROR(ROUND(KO49/KR49,2),0)</f>
        <v/>
      </c>
      <c r="LA49" s="2" t="inlineStr">
        <is>
          <t>2023-10-24</t>
        </is>
      </c>
      <c r="LB49" s="5">
        <f>ROUND(0.0,2)</f>
        <v/>
      </c>
      <c r="LC49" s="3">
        <f>ROUND(0.0,2)</f>
        <v/>
      </c>
      <c r="LD49" s="3">
        <f>ROUND(0.0,2)</f>
        <v/>
      </c>
      <c r="LE49" s="3">
        <f>ROUND(0.0,2)</f>
        <v/>
      </c>
      <c r="LF49" s="3">
        <f>ROUND(0.0,2)</f>
        <v/>
      </c>
      <c r="LG49" s="3">
        <f>ROUND(0.0,2)</f>
        <v/>
      </c>
      <c r="LH49" s="3">
        <f>ROUND(0.0,2)</f>
        <v/>
      </c>
      <c r="LI49" s="3">
        <f>ROUND(0.0,2)</f>
        <v/>
      </c>
      <c r="LJ49" s="4">
        <f>IFERROR((LD49/LC49),0)</f>
        <v/>
      </c>
      <c r="LK49" s="4">
        <f>IFERROR(((0+LB11+LB12+LB13+LB14+LB15+LB16+LB17+LB19+LB20+LB21+LB22+LB23+LB24+LB25+LB27+LB28+LB29+LB30+LB31+LB32+LB33+LB35+LB36+LB37+LB38+LB39+LB40+LB41+LB43+LB44+LB45+LB46+LB47+LB48+LB49)/T2),0)</f>
        <v/>
      </c>
      <c r="LL49" s="5">
        <f>IFERROR(ROUND(LB49/LD49,2),0)</f>
        <v/>
      </c>
      <c r="LM49" s="5">
        <f>IFERROR(ROUND(LB49/LE49,2),0)</f>
        <v/>
      </c>
      <c r="LN49" s="2" t="inlineStr">
        <is>
          <t>2023-10-24</t>
        </is>
      </c>
      <c r="LO49" s="5">
        <f>ROUND(0.0,2)</f>
        <v/>
      </c>
      <c r="LP49" s="3">
        <f>ROUND(0.0,2)</f>
        <v/>
      </c>
      <c r="LQ49" s="3">
        <f>ROUND(0.0,2)</f>
        <v/>
      </c>
      <c r="LR49" s="3">
        <f>ROUND(0.0,2)</f>
        <v/>
      </c>
      <c r="LS49" s="3">
        <f>ROUND(0.0,2)</f>
        <v/>
      </c>
      <c r="LT49" s="3">
        <f>ROUND(0.0,2)</f>
        <v/>
      </c>
      <c r="LU49" s="3">
        <f>ROUND(0.0,2)</f>
        <v/>
      </c>
      <c r="LV49" s="3">
        <f>ROUND(0.0,2)</f>
        <v/>
      </c>
      <c r="LW49" s="4">
        <f>IFERROR((LQ49/LP49),0)</f>
        <v/>
      </c>
      <c r="LX49" s="4">
        <f>IFERROR(((0+LO11+LO12+LO13+LO14+LO15+LO16+LO17+LO19+LO20+LO21+LO22+LO23+LO24+LO25+LO27+LO28+LO29+LO30+LO31+LO32+LO33+LO35+LO36+LO37+LO38+LO39+LO40+LO41+LO43+LO44+LO45+LO46+LO47+LO48+LO49)/T2),0)</f>
        <v/>
      </c>
      <c r="LY49" s="5">
        <f>IFERROR(ROUND(LO49/LQ49,2),0)</f>
        <v/>
      </c>
      <c r="LZ49" s="5">
        <f>IFERROR(ROUND(LO49/LR49,2),0)</f>
        <v/>
      </c>
      <c r="MA49" s="2" t="inlineStr">
        <is>
          <t>2023-10-24</t>
        </is>
      </c>
      <c r="MB49" s="5">
        <f>ROUND(0.0,2)</f>
        <v/>
      </c>
      <c r="MC49" s="3">
        <f>ROUND(0.0,2)</f>
        <v/>
      </c>
      <c r="MD49" s="3">
        <f>ROUND(0.0,2)</f>
        <v/>
      </c>
      <c r="ME49" s="3">
        <f>ROUND(0.0,2)</f>
        <v/>
      </c>
      <c r="MF49" s="3">
        <f>ROUND(0.0,2)</f>
        <v/>
      </c>
      <c r="MG49" s="3">
        <f>ROUND(0.0,2)</f>
        <v/>
      </c>
      <c r="MH49" s="3">
        <f>ROUND(0.0,2)</f>
        <v/>
      </c>
      <c r="MI49" s="3">
        <f>ROUND(0.0,2)</f>
        <v/>
      </c>
      <c r="MJ49" s="4">
        <f>IFERROR((MD49/MC49),0)</f>
        <v/>
      </c>
      <c r="MK49" s="4">
        <f>IFERROR(((0+MB11+MB12+MB13+MB14+MB15+MB16+MB17+MB19+MB20+MB21+MB22+MB23+MB24+MB25+MB27+MB28+MB29+MB30+MB31+MB32+MB33+MB35+MB36+MB37+MB38+MB39+MB40+MB41+MB43+MB44+MB45+MB46+MB47+MB48+MB49)/T2),0)</f>
        <v/>
      </c>
      <c r="ML49" s="5">
        <f>IFERROR(ROUND(MB49/MD49,2),0)</f>
        <v/>
      </c>
      <c r="MM49" s="5">
        <f>IFERROR(ROUND(MB49/ME49,2),0)</f>
        <v/>
      </c>
      <c r="MN49" s="2" t="inlineStr">
        <is>
          <t>2023-10-24</t>
        </is>
      </c>
      <c r="MO49" s="5">
        <f>ROUND(0.0,2)</f>
        <v/>
      </c>
      <c r="MP49" s="3">
        <f>ROUND(0.0,2)</f>
        <v/>
      </c>
      <c r="MQ49" s="3">
        <f>ROUND(0.0,2)</f>
        <v/>
      </c>
      <c r="MR49" s="3">
        <f>ROUND(0.0,2)</f>
        <v/>
      </c>
      <c r="MS49" s="3">
        <f>ROUND(0.0,2)</f>
        <v/>
      </c>
      <c r="MT49" s="3">
        <f>ROUND(0.0,2)</f>
        <v/>
      </c>
      <c r="MU49" s="3">
        <f>ROUND(0.0,2)</f>
        <v/>
      </c>
      <c r="MV49" s="3">
        <f>ROUND(0.0,2)</f>
        <v/>
      </c>
      <c r="MW49" s="4">
        <f>IFERROR((MQ49/MP49),0)</f>
        <v/>
      </c>
      <c r="MX49" s="4">
        <f>IFERROR(((0+MO11+MO12+MO13+MO14+MO15+MO16+MO17+MO19+MO20+MO21+MO22+MO23+MO24+MO25+MO27+MO28+MO29+MO30+MO31+MO32+MO33+MO35+MO36+MO37+MO38+MO39+MO40+MO41+MO43+MO44+MO45+MO46+MO47+MO48+MO49)/T2),0)</f>
        <v/>
      </c>
      <c r="MY49" s="5">
        <f>IFERROR(ROUND(MO49/MQ49,2),0)</f>
        <v/>
      </c>
      <c r="MZ49" s="5">
        <f>IFERROR(ROUND(MO49/MR49,2),0)</f>
        <v/>
      </c>
      <c r="NA49" s="2" t="inlineStr">
        <is>
          <t>2023-10-24</t>
        </is>
      </c>
      <c r="NB49" s="5">
        <f>ROUND(0.0,2)</f>
        <v/>
      </c>
      <c r="NC49" s="3">
        <f>ROUND(0.0,2)</f>
        <v/>
      </c>
      <c r="ND49" s="3">
        <f>ROUND(0.0,2)</f>
        <v/>
      </c>
      <c r="NE49" s="3">
        <f>ROUND(0.0,2)</f>
        <v/>
      </c>
      <c r="NF49" s="3">
        <f>ROUND(0.0,2)</f>
        <v/>
      </c>
      <c r="NG49" s="3">
        <f>ROUND(0.0,2)</f>
        <v/>
      </c>
      <c r="NH49" s="3">
        <f>ROUND(0.0,2)</f>
        <v/>
      </c>
      <c r="NI49" s="3">
        <f>ROUND(0.0,2)</f>
        <v/>
      </c>
      <c r="NJ49" s="4">
        <f>IFERROR((ND49/NC49),0)</f>
        <v/>
      </c>
      <c r="NK49" s="4">
        <f>IFERROR(((0+NB11+NB12+NB13+NB14+NB15+NB16+NB17+NB19+NB20+NB21+NB22+NB23+NB24+NB25+NB27+NB28+NB29+NB30+NB31+NB32+NB33+NB35+NB36+NB37+NB38+NB39+NB40+NB41+NB43+NB44+NB45+NB46+NB47+NB48+NB49)/T2),0)</f>
        <v/>
      </c>
      <c r="NL49" s="5">
        <f>IFERROR(ROUND(NB49/ND49,2),0)</f>
        <v/>
      </c>
      <c r="NM49" s="5">
        <f>IFERROR(ROUND(NB49/NE49,2),0)</f>
        <v/>
      </c>
      <c r="NN49" s="2" t="inlineStr">
        <is>
          <t>2023-10-24</t>
        </is>
      </c>
      <c r="NO49" s="5">
        <f>ROUND(0.0,2)</f>
        <v/>
      </c>
      <c r="NP49" s="3">
        <f>ROUND(0.0,2)</f>
        <v/>
      </c>
      <c r="NQ49" s="3">
        <f>ROUND(0.0,2)</f>
        <v/>
      </c>
      <c r="NR49" s="3">
        <f>ROUND(0.0,2)</f>
        <v/>
      </c>
      <c r="NS49" s="3">
        <f>ROUND(0.0,2)</f>
        <v/>
      </c>
      <c r="NT49" s="3">
        <f>ROUND(0.0,2)</f>
        <v/>
      </c>
      <c r="NU49" s="3">
        <f>ROUND(0.0,2)</f>
        <v/>
      </c>
      <c r="NV49" s="3">
        <f>ROUND(0.0,2)</f>
        <v/>
      </c>
      <c r="NW49" s="4">
        <f>IFERROR((NQ49/NP49),0)</f>
        <v/>
      </c>
      <c r="NX49" s="4">
        <f>IFERROR(((0+NO11+NO12+NO13+NO14+NO15+NO16+NO17+NO19+NO20+NO21+NO22+NO23+NO24+NO25+NO27+NO28+NO29+NO30+NO31+NO32+NO33+NO35+NO36+NO37+NO38+NO39+NO40+NO41+NO43+NO44+NO45+NO46+NO47+NO48+NO49)/T2),0)</f>
        <v/>
      </c>
      <c r="NY49" s="5">
        <f>IFERROR(ROUND(NO49/NQ49,2),0)</f>
        <v/>
      </c>
      <c r="NZ49" s="5">
        <f>IFERROR(ROUND(NO49/NR49,2),0)</f>
        <v/>
      </c>
      <c r="OA49" s="2" t="inlineStr">
        <is>
          <t>2023-10-24</t>
        </is>
      </c>
      <c r="OB49" s="5">
        <f>ROUND(0.0,2)</f>
        <v/>
      </c>
      <c r="OC49" s="3">
        <f>ROUND(0.0,2)</f>
        <v/>
      </c>
      <c r="OD49" s="3">
        <f>ROUND(0.0,2)</f>
        <v/>
      </c>
      <c r="OE49" s="3">
        <f>ROUND(0.0,2)</f>
        <v/>
      </c>
      <c r="OF49" s="3">
        <f>ROUND(0.0,2)</f>
        <v/>
      </c>
      <c r="OG49" s="3">
        <f>ROUND(0.0,2)</f>
        <v/>
      </c>
      <c r="OH49" s="3">
        <f>ROUND(0.0,2)</f>
        <v/>
      </c>
      <c r="OI49" s="3">
        <f>ROUND(0.0,2)</f>
        <v/>
      </c>
      <c r="OJ49" s="4">
        <f>IFERROR((OD49/OC49),0)</f>
        <v/>
      </c>
      <c r="OK49" s="4">
        <f>IFERROR(((0+OB11+OB12+OB13+OB14+OB15+OB16+OB17+OB19+OB20+OB21+OB22+OB23+OB24+OB25+OB27+OB28+OB29+OB30+OB31+OB32+OB33+OB35+OB36+OB37+OB38+OB39+OB40+OB41+OB43+OB44+OB45+OB46+OB47+OB48+OB49)/T2),0)</f>
        <v/>
      </c>
      <c r="OL49" s="5">
        <f>IFERROR(ROUND(OB49/OD49,2),0)</f>
        <v/>
      </c>
      <c r="OM49" s="5">
        <f>IFERROR(ROUND(OB49/OE49,2),0)</f>
        <v/>
      </c>
      <c r="ON49" s="2" t="inlineStr">
        <is>
          <t>2023-10-24</t>
        </is>
      </c>
      <c r="OO49" s="5">
        <f>ROUND(0.0,2)</f>
        <v/>
      </c>
      <c r="OP49" s="3">
        <f>ROUND(0.0,2)</f>
        <v/>
      </c>
      <c r="OQ49" s="3">
        <f>ROUND(0.0,2)</f>
        <v/>
      </c>
      <c r="OR49" s="3">
        <f>ROUND(0.0,2)</f>
        <v/>
      </c>
      <c r="OS49" s="3">
        <f>ROUND(0.0,2)</f>
        <v/>
      </c>
      <c r="OT49" s="3">
        <f>ROUND(0.0,2)</f>
        <v/>
      </c>
      <c r="OU49" s="3">
        <f>ROUND(0.0,2)</f>
        <v/>
      </c>
      <c r="OV49" s="3">
        <f>ROUND(0.0,2)</f>
        <v/>
      </c>
      <c r="OW49" s="4">
        <f>IFERROR((OQ49/OP49),0)</f>
        <v/>
      </c>
      <c r="OX49" s="4">
        <f>IFERROR(((0+OO11+OO12+OO13+OO14+OO15+OO16+OO17+OO19+OO20+OO21+OO22+OO23+OO24+OO25+OO27+OO28+OO29+OO30+OO31+OO32+OO33+OO35+OO36+OO37+OO38+OO39+OO40+OO41+OO43+OO44+OO45+OO46+OO47+OO48+OO49)/T2),0)</f>
        <v/>
      </c>
      <c r="OY49" s="5">
        <f>IFERROR(ROUND(OO49/OQ49,2),0)</f>
        <v/>
      </c>
      <c r="OZ49" s="5">
        <f>IFERROR(ROUND(OO49/OR49,2),0)</f>
        <v/>
      </c>
      <c r="PA49" s="2" t="inlineStr">
        <is>
          <t>2023-10-24</t>
        </is>
      </c>
      <c r="PB49" s="5">
        <f>ROUND(0.0,2)</f>
        <v/>
      </c>
      <c r="PC49" s="3">
        <f>ROUND(0.0,2)</f>
        <v/>
      </c>
      <c r="PD49" s="3">
        <f>ROUND(0.0,2)</f>
        <v/>
      </c>
      <c r="PE49" s="3">
        <f>ROUND(0.0,2)</f>
        <v/>
      </c>
      <c r="PF49" s="3">
        <f>ROUND(0.0,2)</f>
        <v/>
      </c>
      <c r="PG49" s="3">
        <f>ROUND(0.0,2)</f>
        <v/>
      </c>
      <c r="PH49" s="3">
        <f>ROUND(0.0,2)</f>
        <v/>
      </c>
      <c r="PI49" s="3">
        <f>ROUND(0.0,2)</f>
        <v/>
      </c>
      <c r="PJ49" s="4">
        <f>IFERROR((PD49/PC49),0)</f>
        <v/>
      </c>
      <c r="PK49" s="4">
        <f>IFERROR(((0+PB11+PB12+PB13+PB14+PB15+PB16+PB17+PB19+PB20+PB21+PB22+PB23+PB24+PB25+PB27+PB28+PB29+PB30+PB31+PB32+PB33+PB35+PB36+PB37+PB38+PB39+PB40+PB41+PB43+PB44+PB45+PB46+PB47+PB48+PB49)/T2),0)</f>
        <v/>
      </c>
      <c r="PL49" s="5">
        <f>IFERROR(ROUND(PB49/PD49,2),0)</f>
        <v/>
      </c>
      <c r="PM49" s="5">
        <f>IFERROR(ROUND(PB49/PE49,2),0)</f>
        <v/>
      </c>
      <c r="PN49" s="2" t="inlineStr">
        <is>
          <t>2023-10-24</t>
        </is>
      </c>
      <c r="PO49" s="5">
        <f>ROUND(0.0,2)</f>
        <v/>
      </c>
      <c r="PP49" s="3">
        <f>ROUND(0.0,2)</f>
        <v/>
      </c>
      <c r="PQ49" s="3">
        <f>ROUND(0.0,2)</f>
        <v/>
      </c>
      <c r="PR49" s="3">
        <f>ROUND(0.0,2)</f>
        <v/>
      </c>
      <c r="PS49" s="3">
        <f>ROUND(0.0,2)</f>
        <v/>
      </c>
      <c r="PT49" s="3">
        <f>ROUND(0.0,2)</f>
        <v/>
      </c>
      <c r="PU49" s="3">
        <f>ROUND(0.0,2)</f>
        <v/>
      </c>
      <c r="PV49" s="3">
        <f>ROUND(0.0,2)</f>
        <v/>
      </c>
      <c r="PW49" s="4">
        <f>IFERROR((PQ49/PP49),0)</f>
        <v/>
      </c>
      <c r="PX49" s="4">
        <f>IFERROR(((0+PO11+PO12+PO13+PO14+PO15+PO16+PO17+PO19+PO20+PO21+PO22+PO23+PO24+PO25+PO27+PO28+PO29+PO30+PO31+PO32+PO33+PO35+PO36+PO37+PO38+PO39+PO40+PO41+PO43+PO44+PO45+PO46+PO47+PO48+PO49)/T2),0)</f>
        <v/>
      </c>
      <c r="PY49" s="5">
        <f>IFERROR(ROUND(PO49/PQ49,2),0)</f>
        <v/>
      </c>
      <c r="PZ49" s="5">
        <f>IFERROR(ROUND(PO49/PR49,2),0)</f>
        <v/>
      </c>
      <c r="QA49" s="2" t="inlineStr">
        <is>
          <t>2023-10-24</t>
        </is>
      </c>
      <c r="QB49" s="5">
        <f>ROUND(0.0,2)</f>
        <v/>
      </c>
      <c r="QC49" s="3">
        <f>ROUND(0.0,2)</f>
        <v/>
      </c>
      <c r="QD49" s="3">
        <f>ROUND(0.0,2)</f>
        <v/>
      </c>
      <c r="QE49" s="3">
        <f>ROUND(0.0,2)</f>
        <v/>
      </c>
      <c r="QF49" s="3">
        <f>ROUND(0.0,2)</f>
        <v/>
      </c>
      <c r="QG49" s="3">
        <f>ROUND(0.0,2)</f>
        <v/>
      </c>
      <c r="QH49" s="3">
        <f>ROUND(0.0,2)</f>
        <v/>
      </c>
      <c r="QI49" s="3">
        <f>ROUND(0.0,2)</f>
        <v/>
      </c>
      <c r="QJ49" s="4">
        <f>IFERROR((QD49/QC49),0)</f>
        <v/>
      </c>
      <c r="QK49" s="4">
        <f>IFERROR(((0+QB11+QB12+QB13+QB14+QB15+QB16+QB17+QB19+QB20+QB21+QB22+QB23+QB24+QB25+QB27+QB28+QB29+QB30+QB31+QB32+QB33+QB35+QB36+QB37+QB38+QB39+QB40+QB41+QB43+QB44+QB45+QB46+QB47+QB48+QB49)/T2),0)</f>
        <v/>
      </c>
      <c r="QL49" s="5">
        <f>IFERROR(ROUND(QB49/QD49,2),0)</f>
        <v/>
      </c>
      <c r="QM49" s="5">
        <f>IFERROR(ROUND(QB49/QE49,2),0)</f>
        <v/>
      </c>
      <c r="QN49" s="2" t="inlineStr">
        <is>
          <t>2023-10-24</t>
        </is>
      </c>
      <c r="QO49" s="5">
        <f>ROUND(0.0,2)</f>
        <v/>
      </c>
      <c r="QP49" s="3">
        <f>ROUND(0.0,2)</f>
        <v/>
      </c>
      <c r="QQ49" s="3">
        <f>ROUND(0.0,2)</f>
        <v/>
      </c>
      <c r="QR49" s="3">
        <f>ROUND(0.0,2)</f>
        <v/>
      </c>
      <c r="QS49" s="3">
        <f>ROUND(0.0,2)</f>
        <v/>
      </c>
      <c r="QT49" s="3">
        <f>ROUND(0.0,2)</f>
        <v/>
      </c>
      <c r="QU49" s="3">
        <f>ROUND(0.0,2)</f>
        <v/>
      </c>
      <c r="QV49" s="3">
        <f>ROUND(0.0,2)</f>
        <v/>
      </c>
      <c r="QW49" s="4">
        <f>IFERROR((QQ49/QP49),0)</f>
        <v/>
      </c>
      <c r="QX49" s="4">
        <f>IFERROR(((0+QO11+QO12+QO13+QO14+QO15+QO16+QO17+QO19+QO20+QO21+QO22+QO23+QO24+QO25+QO27+QO28+QO29+QO30+QO31+QO32+QO33+QO35+QO36+QO37+QO38+QO39+QO40+QO41+QO43+QO44+QO45+QO46+QO47+QO48+QO49)/T2),0)</f>
        <v/>
      </c>
      <c r="QY49" s="5">
        <f>IFERROR(ROUND(QO49/QQ49,2),0)</f>
        <v/>
      </c>
      <c r="QZ49" s="5">
        <f>IFERROR(ROUND(QO49/QR49,2),0)</f>
        <v/>
      </c>
      <c r="RA49" s="2" t="inlineStr">
        <is>
          <t>2023-10-24</t>
        </is>
      </c>
      <c r="RB49" s="5">
        <f>ROUND(0.0,2)</f>
        <v/>
      </c>
      <c r="RC49" s="3">
        <f>ROUND(0.0,2)</f>
        <v/>
      </c>
      <c r="RD49" s="3">
        <f>ROUND(0.0,2)</f>
        <v/>
      </c>
      <c r="RE49" s="3">
        <f>ROUND(0.0,2)</f>
        <v/>
      </c>
      <c r="RF49" s="3">
        <f>ROUND(0.0,2)</f>
        <v/>
      </c>
      <c r="RG49" s="3">
        <f>ROUND(0.0,2)</f>
        <v/>
      </c>
      <c r="RH49" s="3">
        <f>ROUND(0.0,2)</f>
        <v/>
      </c>
      <c r="RI49" s="3">
        <f>ROUND(0.0,2)</f>
        <v/>
      </c>
      <c r="RJ49" s="4">
        <f>IFERROR((RD49/RC49),0)</f>
        <v/>
      </c>
      <c r="RK49" s="4">
        <f>IFERROR(((0+RB11+RB12+RB13+RB14+RB15+RB16+RB17+RB19+RB20+RB21+RB22+RB23+RB24+RB25+RB27+RB28+RB29+RB30+RB31+RB32+RB33+RB35+RB36+RB37+RB38+RB39+RB40+RB41+RB43+RB44+RB45+RB46+RB47+RB48+RB49)/T2),0)</f>
        <v/>
      </c>
      <c r="RL49" s="5">
        <f>IFERROR(ROUND(RB49/RD49,2),0)</f>
        <v/>
      </c>
      <c r="RM49" s="5">
        <f>IFERROR(ROUND(RB49/RE49,2),0)</f>
        <v/>
      </c>
      <c r="RN49" s="2" t="inlineStr">
        <is>
          <t>2023-10-24</t>
        </is>
      </c>
      <c r="RO49" s="5">
        <f>ROUND(0.0,2)</f>
        <v/>
      </c>
      <c r="RP49" s="3">
        <f>ROUND(0.0,2)</f>
        <v/>
      </c>
      <c r="RQ49" s="3">
        <f>ROUND(0.0,2)</f>
        <v/>
      </c>
      <c r="RR49" s="3">
        <f>ROUND(0.0,2)</f>
        <v/>
      </c>
      <c r="RS49" s="3">
        <f>ROUND(0.0,2)</f>
        <v/>
      </c>
      <c r="RT49" s="3">
        <f>ROUND(0.0,2)</f>
        <v/>
      </c>
      <c r="RU49" s="3">
        <f>ROUND(0.0,2)</f>
        <v/>
      </c>
      <c r="RV49" s="3">
        <f>ROUND(0.0,2)</f>
        <v/>
      </c>
      <c r="RW49" s="4">
        <f>IFERROR((RQ49/RP49),0)</f>
        <v/>
      </c>
      <c r="RX49" s="4">
        <f>IFERROR(((0+RO11+RO12+RO13+RO14+RO15+RO16+RO17+RO19+RO20+RO21+RO22+RO23+RO24+RO25+RO27+RO28+RO29+RO30+RO31+RO32+RO33+RO35+RO36+RO37+RO38+RO39+RO40+RO41+RO43+RO44+RO45+RO46+RO47+RO48+RO49)/T2),0)</f>
        <v/>
      </c>
      <c r="RY49" s="5">
        <f>IFERROR(ROUND(RO49/RQ49,2),0)</f>
        <v/>
      </c>
      <c r="RZ49" s="5">
        <f>IFERROR(ROUND(RO49/RR49,2),0)</f>
        <v/>
      </c>
      <c r="SA49" s="2" t="inlineStr">
        <is>
          <t>2023-10-24</t>
        </is>
      </c>
      <c r="SB49" s="5">
        <f>ROUND(0.0,2)</f>
        <v/>
      </c>
      <c r="SC49" s="3">
        <f>ROUND(0.0,2)</f>
        <v/>
      </c>
      <c r="SD49" s="3">
        <f>ROUND(0.0,2)</f>
        <v/>
      </c>
      <c r="SE49" s="3">
        <f>ROUND(0.0,2)</f>
        <v/>
      </c>
      <c r="SF49" s="3">
        <f>ROUND(0.0,2)</f>
        <v/>
      </c>
      <c r="SG49" s="3">
        <f>ROUND(0.0,2)</f>
        <v/>
      </c>
      <c r="SH49" s="3">
        <f>ROUND(0.0,2)</f>
        <v/>
      </c>
      <c r="SI49" s="3">
        <f>ROUND(0.0,2)</f>
        <v/>
      </c>
      <c r="SJ49" s="4">
        <f>IFERROR((SD49/SC49),0)</f>
        <v/>
      </c>
      <c r="SK49" s="4">
        <f>IFERROR(((0+SB11+SB12+SB13+SB14+SB15+SB16+SB17+SB19+SB20+SB21+SB22+SB23+SB24+SB25+SB27+SB28+SB29+SB30+SB31+SB32+SB33+SB35+SB36+SB37+SB38+SB39+SB40+SB41+SB43+SB44+SB45+SB46+SB47+SB48+SB49)/T2),0)</f>
        <v/>
      </c>
      <c r="SL49" s="5">
        <f>IFERROR(ROUND(SB49/SD49,2),0)</f>
        <v/>
      </c>
      <c r="SM49" s="5">
        <f>IFERROR(ROUND(SB49/SE49,2),0)</f>
        <v/>
      </c>
      <c r="SN49" s="2" t="inlineStr">
        <is>
          <t>2023-10-24</t>
        </is>
      </c>
      <c r="SO49" s="5">
        <f>ROUND(0.0,2)</f>
        <v/>
      </c>
      <c r="SP49" s="3">
        <f>ROUND(0.0,2)</f>
        <v/>
      </c>
      <c r="SQ49" s="3">
        <f>ROUND(0.0,2)</f>
        <v/>
      </c>
      <c r="SR49" s="3">
        <f>ROUND(0.0,2)</f>
        <v/>
      </c>
      <c r="SS49" s="3">
        <f>ROUND(0.0,2)</f>
        <v/>
      </c>
      <c r="ST49" s="3">
        <f>ROUND(0.0,2)</f>
        <v/>
      </c>
      <c r="SU49" s="3">
        <f>ROUND(0.0,2)</f>
        <v/>
      </c>
      <c r="SV49" s="3">
        <f>ROUND(0.0,2)</f>
        <v/>
      </c>
      <c r="SW49" s="4">
        <f>IFERROR((SQ49/SP49),0)</f>
        <v/>
      </c>
      <c r="SX49" s="4">
        <f>IFERROR(((0+SO11+SO12+SO13+SO14+SO15+SO16+SO17+SO19+SO20+SO21+SO22+SO23+SO24+SO25+SO27+SO28+SO29+SO30+SO31+SO32+SO33+SO35+SO36+SO37+SO38+SO39+SO40+SO41+SO43+SO44+SO45+SO46+SO47+SO48+SO49)/T2),0)</f>
        <v/>
      </c>
      <c r="SY49" s="5">
        <f>IFERROR(ROUND(SO49/SQ49,2),0)</f>
        <v/>
      </c>
      <c r="SZ49" s="5">
        <f>IFERROR(ROUND(SO49/SR49,2),0)</f>
        <v/>
      </c>
    </row>
    <row r="50">
      <c r="A50" s="2" t="inlineStr">
        <is>
          <t>5 Weekly Total</t>
        </is>
      </c>
      <c r="B50" s="5">
        <f>ROUND(65.36,2)</f>
        <v/>
      </c>
      <c r="C50" s="3">
        <f>ROUND(143618.0,2)</f>
        <v/>
      </c>
      <c r="D50" s="3">
        <f>ROUND(6535.0,2)</f>
        <v/>
      </c>
      <c r="E50" s="3">
        <f>ROUND(0.0,2)</f>
        <v/>
      </c>
      <c r="F50" s="3">
        <f>ROUND(0.0,2)</f>
        <v/>
      </c>
      <c r="G50" s="3">
        <f>ROUND(0.0,2)</f>
        <v/>
      </c>
      <c r="H50" s="3">
        <f>ROUND(0.0,2)</f>
        <v/>
      </c>
      <c r="I50" s="3">
        <f>ROUND(0.0,2)</f>
        <v/>
      </c>
      <c r="J50" s="4">
        <f>IFERROR((D50/C50),0)</f>
        <v/>
      </c>
      <c r="K50" s="4">
        <f>IFERROR(((0+B11+B12+B13+B14+B15+B16+B17+B19+B20+B21+B22+B23+B24+B25+B27+B28+B29+B30+B31+B32+B33+B35+B36+B37+B38+B39+B40+B41+B43+B44+B45+B46+B47+B48+B49)/T2),0)</f>
        <v/>
      </c>
      <c r="L50" s="5">
        <f>IFERROR(ROUND(B50/D50,2),0)</f>
        <v/>
      </c>
      <c r="M50" s="5">
        <f>IFERROR(ROUND(B50/E50,2),0)</f>
        <v/>
      </c>
      <c r="N50" s="2" t="inlineStr">
        <is>
          <t>5 Weekly Total</t>
        </is>
      </c>
      <c r="O50" s="5">
        <f>ROUND(17.31,2)</f>
        <v/>
      </c>
      <c r="P50" s="3">
        <f>ROUND(22432.0,2)</f>
        <v/>
      </c>
      <c r="Q50" s="3">
        <f>ROUND(1731.0,2)</f>
        <v/>
      </c>
      <c r="R50" s="3">
        <f>ROUND(0.0,2)</f>
        <v/>
      </c>
      <c r="S50" s="3">
        <f>ROUND(0.0,2)</f>
        <v/>
      </c>
      <c r="T50" s="3">
        <f>ROUND(0.0,2)</f>
        <v/>
      </c>
      <c r="U50" s="3">
        <f>ROUND(0.0,2)</f>
        <v/>
      </c>
      <c r="V50" s="3">
        <f>ROUND(0.0,2)</f>
        <v/>
      </c>
      <c r="W50" s="4">
        <f>IFERROR((Q50/P50),0)</f>
        <v/>
      </c>
      <c r="X50" s="4">
        <f>IFERROR(((0+O11+O12+O13+O14+O15+O16+O17+O19+O20+O21+O22+O23+O24+O25+O27+O28+O29+O30+O31+O32+O33+O35+O36+O37+O38+O39+O40+O41+O43+O44+O45+O46+O47+O48+O49)/T2),0)</f>
        <v/>
      </c>
      <c r="Y50" s="5">
        <f>IFERROR(ROUND(O50/Q50,2),0)</f>
        <v/>
      </c>
      <c r="Z50" s="5">
        <f>IFERROR(ROUND(O50/R50,2),0)</f>
        <v/>
      </c>
      <c r="AA50" s="2" t="inlineStr">
        <is>
          <t>5 Weekly Total</t>
        </is>
      </c>
      <c r="AB50" s="5">
        <f>ROUND(0.05,2)</f>
        <v/>
      </c>
      <c r="AC50" s="3">
        <f>ROUND(77.0,2)</f>
        <v/>
      </c>
      <c r="AD50" s="3">
        <f>ROUND(5.0,2)</f>
        <v/>
      </c>
      <c r="AE50" s="3">
        <f>ROUND(0.0,2)</f>
        <v/>
      </c>
      <c r="AF50" s="3">
        <f>ROUND(0.0,2)</f>
        <v/>
      </c>
      <c r="AG50" s="3">
        <f>ROUND(0.0,2)</f>
        <v/>
      </c>
      <c r="AH50" s="3">
        <f>ROUND(0.0,2)</f>
        <v/>
      </c>
      <c r="AI50" s="3">
        <f>ROUND(0.0,2)</f>
        <v/>
      </c>
      <c r="AJ50" s="4">
        <f>IFERROR((AD50/AC50),0)</f>
        <v/>
      </c>
      <c r="AK50" s="4">
        <f>IFERROR(((0+AB11+AB12+AB13+AB14+AB15+AB16+AB17+AB19+AB20+AB21+AB22+AB23+AB24+AB25+AB27+AB28+AB29+AB30+AB31+AB32+AB33+AB35+AB36+AB37+AB38+AB39+AB40+AB41+AB43+AB44+AB45+AB46+AB47+AB48+AB49)/T2),0)</f>
        <v/>
      </c>
      <c r="AL50" s="5">
        <f>IFERROR(ROUND(AB50/AD50,2),0)</f>
        <v/>
      </c>
      <c r="AM50" s="5">
        <f>IFERROR(ROUND(AB50/AE50,2),0)</f>
        <v/>
      </c>
      <c r="AN50" s="2" t="inlineStr">
        <is>
          <t>5 Weekly Total</t>
        </is>
      </c>
      <c r="AO50" s="5">
        <f>ROUND(3.88,2)</f>
        <v/>
      </c>
      <c r="AP50" s="3">
        <f>ROUND(19529.0,2)</f>
        <v/>
      </c>
      <c r="AQ50" s="3">
        <f>ROUND(388.0,2)</f>
        <v/>
      </c>
      <c r="AR50" s="3">
        <f>ROUND(0.0,2)</f>
        <v/>
      </c>
      <c r="AS50" s="3">
        <f>ROUND(0.0,2)</f>
        <v/>
      </c>
      <c r="AT50" s="3">
        <f>ROUND(0.0,2)</f>
        <v/>
      </c>
      <c r="AU50" s="3">
        <f>ROUND(0.0,2)</f>
        <v/>
      </c>
      <c r="AV50" s="3">
        <f>ROUND(0.0,2)</f>
        <v/>
      </c>
      <c r="AW50" s="4">
        <f>IFERROR((AQ50/AP50),0)</f>
        <v/>
      </c>
      <c r="AX50" s="4">
        <f>IFERROR(((0+AO11+AO12+AO13+AO14+AO15+AO16+AO17+AO19+AO20+AO21+AO22+AO23+AO24+AO25+AO27+AO28+AO29+AO30+AO31+AO32+AO33+AO35+AO36+AO37+AO38+AO39+AO40+AO41+AO43+AO44+AO45+AO46+AO47+AO48+AO49)/T2),0)</f>
        <v/>
      </c>
      <c r="AY50" s="5">
        <f>IFERROR(ROUND(AO50/AQ50,2),0)</f>
        <v/>
      </c>
      <c r="AZ50" s="5">
        <f>IFERROR(ROUND(AO50/AR50,2),0)</f>
        <v/>
      </c>
      <c r="BA50" s="2" t="inlineStr">
        <is>
          <t>5 Weekly Total</t>
        </is>
      </c>
      <c r="BB50" s="5">
        <f>ROUND(0.04,2)</f>
        <v/>
      </c>
      <c r="BC50" s="3">
        <f>ROUND(65.0,2)</f>
        <v/>
      </c>
      <c r="BD50" s="3">
        <f>ROUND(4.0,2)</f>
        <v/>
      </c>
      <c r="BE50" s="3">
        <f>ROUND(0.0,2)</f>
        <v/>
      </c>
      <c r="BF50" s="3">
        <f>ROUND(0.0,2)</f>
        <v/>
      </c>
      <c r="BG50" s="3">
        <f>ROUND(0.0,2)</f>
        <v/>
      </c>
      <c r="BH50" s="3">
        <f>ROUND(0.0,2)</f>
        <v/>
      </c>
      <c r="BI50" s="3">
        <f>ROUND(0.0,2)</f>
        <v/>
      </c>
      <c r="BJ50" s="4">
        <f>IFERROR((BD50/BC50),0)</f>
        <v/>
      </c>
      <c r="BK50" s="4">
        <f>IFERROR(((0+BB11+BB12+BB13+BB14+BB15+BB16+BB17+BB19+BB20+BB21+BB22+BB23+BB24+BB25+BB27+BB28+BB29+BB30+BB31+BB32+BB33+BB35+BB36+BB37+BB38+BB39+BB40+BB41+BB43+BB44+BB45+BB46+BB47+BB48+BB49)/T2),0)</f>
        <v/>
      </c>
      <c r="BL50" s="5">
        <f>IFERROR(ROUND(BB50/BD50,2),0)</f>
        <v/>
      </c>
      <c r="BM50" s="5">
        <f>IFERROR(ROUND(BB50/BE50,2),0)</f>
        <v/>
      </c>
      <c r="BN50" s="2" t="inlineStr">
        <is>
          <t>5 Weekly Total</t>
        </is>
      </c>
      <c r="BO50" s="5">
        <f>ROUND(0.97,2)</f>
        <v/>
      </c>
      <c r="BP50" s="3">
        <f>ROUND(912.0,2)</f>
        <v/>
      </c>
      <c r="BQ50" s="3">
        <f>ROUND(97.0,2)</f>
        <v/>
      </c>
      <c r="BR50" s="3">
        <f>ROUND(0.0,2)</f>
        <v/>
      </c>
      <c r="BS50" s="3">
        <f>ROUND(0.0,2)</f>
        <v/>
      </c>
      <c r="BT50" s="3">
        <f>ROUND(0.0,2)</f>
        <v/>
      </c>
      <c r="BU50" s="3">
        <f>ROUND(0.0,2)</f>
        <v/>
      </c>
      <c r="BV50" s="3">
        <f>ROUND(0.0,2)</f>
        <v/>
      </c>
      <c r="BW50" s="4">
        <f>IFERROR((BQ50/BP50),0)</f>
        <v/>
      </c>
      <c r="BX50" s="4">
        <f>IFERROR(((0+BO11+BO12+BO13+BO14+BO15+BO16+BO17+BO19+BO20+BO21+BO22+BO23+BO24+BO25+BO27+BO28+BO29+BO30+BO31+BO32+BO33+BO35+BO36+BO37+BO38+BO39+BO40+BO41+BO43+BO44+BO45+BO46+BO47+BO48+BO49)/T2),0)</f>
        <v/>
      </c>
      <c r="BY50" s="5">
        <f>IFERROR(ROUND(BO50/BQ50,2),0)</f>
        <v/>
      </c>
      <c r="BZ50" s="5">
        <f>IFERROR(ROUND(BO50/BR50,2),0)</f>
        <v/>
      </c>
      <c r="CA50" s="2" t="inlineStr">
        <is>
          <t>5 Weekly Total</t>
        </is>
      </c>
      <c r="CB50" s="5">
        <f>ROUND(0.08,2)</f>
        <v/>
      </c>
      <c r="CC50" s="3">
        <f>ROUND(90.0,2)</f>
        <v/>
      </c>
      <c r="CD50" s="3">
        <f>ROUND(8.0,2)</f>
        <v/>
      </c>
      <c r="CE50" s="3">
        <f>ROUND(0.0,2)</f>
        <v/>
      </c>
      <c r="CF50" s="3">
        <f>ROUND(0.0,2)</f>
        <v/>
      </c>
      <c r="CG50" s="3">
        <f>ROUND(0.0,2)</f>
        <v/>
      </c>
      <c r="CH50" s="3">
        <f>ROUND(0.0,2)</f>
        <v/>
      </c>
      <c r="CI50" s="3">
        <f>ROUND(0.0,2)</f>
        <v/>
      </c>
      <c r="CJ50" s="4">
        <f>IFERROR((CD50/CC50),0)</f>
        <v/>
      </c>
      <c r="CK50" s="4">
        <f>IFERROR(((0+CB11+CB12+CB13+CB14+CB15+CB16+CB17+CB19+CB20+CB21+CB22+CB23+CB24+CB25+CB27+CB28+CB29+CB30+CB31+CB32+CB33+CB35+CB36+CB37+CB38+CB39+CB40+CB41+CB43+CB44+CB45+CB46+CB47+CB48+CB49)/T2),0)</f>
        <v/>
      </c>
      <c r="CL50" s="5">
        <f>IFERROR(ROUND(CB50/CD50,2),0)</f>
        <v/>
      </c>
      <c r="CM50" s="5">
        <f>IFERROR(ROUND(CB50/CE50,2),0)</f>
        <v/>
      </c>
      <c r="CN50" s="2" t="inlineStr">
        <is>
          <t>5 Weekly Total</t>
        </is>
      </c>
      <c r="CO50" s="5">
        <f>ROUND(0.47,2)</f>
        <v/>
      </c>
      <c r="CP50" s="3">
        <f>ROUND(1780.0,2)</f>
        <v/>
      </c>
      <c r="CQ50" s="3">
        <f>ROUND(47.0,2)</f>
        <v/>
      </c>
      <c r="CR50" s="3">
        <f>ROUND(0.0,2)</f>
        <v/>
      </c>
      <c r="CS50" s="3">
        <f>ROUND(0.0,2)</f>
        <v/>
      </c>
      <c r="CT50" s="3">
        <f>ROUND(0.0,2)</f>
        <v/>
      </c>
      <c r="CU50" s="3">
        <f>ROUND(0.0,2)</f>
        <v/>
      </c>
      <c r="CV50" s="3">
        <f>ROUND(0.0,2)</f>
        <v/>
      </c>
      <c r="CW50" s="4">
        <f>IFERROR((CQ50/CP50),0)</f>
        <v/>
      </c>
      <c r="CX50" s="4">
        <f>IFERROR(((0+CO11+CO12+CO13+CO14+CO15+CO16+CO17+CO19+CO20+CO21+CO22+CO23+CO24+CO25+CO27+CO28+CO29+CO30+CO31+CO32+CO33+CO35+CO36+CO37+CO38+CO39+CO40+CO41+CO43+CO44+CO45+CO46+CO47+CO48+CO49)/T2),0)</f>
        <v/>
      </c>
      <c r="CY50" s="5">
        <f>IFERROR(ROUND(CO50/CQ50,2),0)</f>
        <v/>
      </c>
      <c r="CZ50" s="5">
        <f>IFERROR(ROUND(CO50/CR50,2),0)</f>
        <v/>
      </c>
      <c r="DA50" s="2" t="inlineStr">
        <is>
          <t>5 Weekly Total</t>
        </is>
      </c>
      <c r="DB50" s="5">
        <f>ROUND(2.41,2)</f>
        <v/>
      </c>
      <c r="DC50" s="3">
        <f>ROUND(6704.0,2)</f>
        <v/>
      </c>
      <c r="DD50" s="3">
        <f>ROUND(241.0,2)</f>
        <v/>
      </c>
      <c r="DE50" s="3">
        <f>ROUND(0.0,2)</f>
        <v/>
      </c>
      <c r="DF50" s="3">
        <f>ROUND(0.0,2)</f>
        <v/>
      </c>
      <c r="DG50" s="3">
        <f>ROUND(0.0,2)</f>
        <v/>
      </c>
      <c r="DH50" s="3">
        <f>ROUND(0.0,2)</f>
        <v/>
      </c>
      <c r="DI50" s="3">
        <f>ROUND(0.0,2)</f>
        <v/>
      </c>
      <c r="DJ50" s="4">
        <f>IFERROR((DD50/DC50),0)</f>
        <v/>
      </c>
      <c r="DK50" s="4">
        <f>IFERROR(((0+DB11+DB12+DB13+DB14+DB15+DB16+DB17+DB19+DB20+DB21+DB22+DB23+DB24+DB25+DB27+DB28+DB29+DB30+DB31+DB32+DB33+DB35+DB36+DB37+DB38+DB39+DB40+DB41+DB43+DB44+DB45+DB46+DB47+DB48+DB49)/T2),0)</f>
        <v/>
      </c>
      <c r="DL50" s="5">
        <f>IFERROR(ROUND(DB50/DD50,2),0)</f>
        <v/>
      </c>
      <c r="DM50" s="5">
        <f>IFERROR(ROUND(DB50/DE50,2),0)</f>
        <v/>
      </c>
      <c r="DN50" s="2" t="inlineStr">
        <is>
          <t>5 Weekly Total</t>
        </is>
      </c>
      <c r="DO50" s="5">
        <f>ROUND(0.01,2)</f>
        <v/>
      </c>
      <c r="DP50" s="3">
        <f>ROUND(26.0,2)</f>
        <v/>
      </c>
      <c r="DQ50" s="3">
        <f>ROUND(1.0,2)</f>
        <v/>
      </c>
      <c r="DR50" s="3">
        <f>ROUND(0.0,2)</f>
        <v/>
      </c>
      <c r="DS50" s="3">
        <f>ROUND(0.0,2)</f>
        <v/>
      </c>
      <c r="DT50" s="3">
        <f>ROUND(0.0,2)</f>
        <v/>
      </c>
      <c r="DU50" s="3">
        <f>ROUND(0.0,2)</f>
        <v/>
      </c>
      <c r="DV50" s="3">
        <f>ROUND(0.0,2)</f>
        <v/>
      </c>
      <c r="DW50" s="4">
        <f>IFERROR((DQ50/DP50),0)</f>
        <v/>
      </c>
      <c r="DX50" s="4">
        <f>IFERROR(((0+DO11+DO12+DO13+DO14+DO15+DO16+DO17+DO19+DO20+DO21+DO22+DO23+DO24+DO25+DO27+DO28+DO29+DO30+DO31+DO32+DO33+DO35+DO36+DO37+DO38+DO39+DO40+DO41+DO43+DO44+DO45+DO46+DO47+DO48+DO49)/T2),0)</f>
        <v/>
      </c>
      <c r="DY50" s="5">
        <f>IFERROR(ROUND(DO50/DQ50,2),0)</f>
        <v/>
      </c>
      <c r="DZ50" s="5">
        <f>IFERROR(ROUND(DO50/DR50,2),0)</f>
        <v/>
      </c>
      <c r="EA50" s="2" t="inlineStr">
        <is>
          <t>5 Weekly Total</t>
        </is>
      </c>
      <c r="EB50" s="5">
        <f>ROUND(3.23,2)</f>
        <v/>
      </c>
      <c r="EC50" s="3">
        <f>ROUND(14773.0,2)</f>
        <v/>
      </c>
      <c r="ED50" s="3">
        <f>ROUND(323.0,2)</f>
        <v/>
      </c>
      <c r="EE50" s="3">
        <f>ROUND(0.0,2)</f>
        <v/>
      </c>
      <c r="EF50" s="3">
        <f>ROUND(0.0,2)</f>
        <v/>
      </c>
      <c r="EG50" s="3">
        <f>ROUND(0.0,2)</f>
        <v/>
      </c>
      <c r="EH50" s="3">
        <f>ROUND(0.0,2)</f>
        <v/>
      </c>
      <c r="EI50" s="3">
        <f>ROUND(0.0,2)</f>
        <v/>
      </c>
      <c r="EJ50" s="4">
        <f>IFERROR((ED50/EC50),0)</f>
        <v/>
      </c>
      <c r="EK50" s="4">
        <f>IFERROR(((0+EB11+EB12+EB13+EB14+EB15+EB16+EB17+EB19+EB20+EB21+EB22+EB23+EB24+EB25+EB27+EB28+EB29+EB30+EB31+EB32+EB33+EB35+EB36+EB37+EB38+EB39+EB40+EB41+EB43+EB44+EB45+EB46+EB47+EB48+EB49)/T2),0)</f>
        <v/>
      </c>
      <c r="EL50" s="5">
        <f>IFERROR(ROUND(EB50/ED50,2),0)</f>
        <v/>
      </c>
      <c r="EM50" s="5">
        <f>IFERROR(ROUND(EB50/EE50,2),0)</f>
        <v/>
      </c>
      <c r="EN50" s="2" t="inlineStr">
        <is>
          <t>5 Weekly Total</t>
        </is>
      </c>
      <c r="EO50" s="5">
        <f>ROUND(0.01,2)</f>
        <v/>
      </c>
      <c r="EP50" s="3">
        <f>ROUND(103.0,2)</f>
        <v/>
      </c>
      <c r="EQ50" s="3">
        <f>ROUND(1.0,2)</f>
        <v/>
      </c>
      <c r="ER50" s="3">
        <f>ROUND(0.0,2)</f>
        <v/>
      </c>
      <c r="ES50" s="3">
        <f>ROUND(0.0,2)</f>
        <v/>
      </c>
      <c r="ET50" s="3">
        <f>ROUND(0.0,2)</f>
        <v/>
      </c>
      <c r="EU50" s="3">
        <f>ROUND(0.0,2)</f>
        <v/>
      </c>
      <c r="EV50" s="3">
        <f>ROUND(0.0,2)</f>
        <v/>
      </c>
      <c r="EW50" s="4">
        <f>IFERROR((EQ50/EP50),0)</f>
        <v/>
      </c>
      <c r="EX50" s="4">
        <f>IFERROR(((0+EO11+EO12+EO13+EO14+EO15+EO16+EO17+EO19+EO20+EO21+EO22+EO23+EO24+EO25+EO27+EO28+EO29+EO30+EO31+EO32+EO33+EO35+EO36+EO37+EO38+EO39+EO40+EO41+EO43+EO44+EO45+EO46+EO47+EO48+EO49)/T2),0)</f>
        <v/>
      </c>
      <c r="EY50" s="5">
        <f>IFERROR(ROUND(EO50/EQ50,2),0)</f>
        <v/>
      </c>
      <c r="EZ50" s="5">
        <f>IFERROR(ROUND(EO50/ER50,2),0)</f>
        <v/>
      </c>
      <c r="FA50" s="2" t="inlineStr">
        <is>
          <t>5 Weekly Total</t>
        </is>
      </c>
      <c r="FB50" s="5">
        <f>ROUND(0.86,2)</f>
        <v/>
      </c>
      <c r="FC50" s="3">
        <f>ROUND(3143.0,2)</f>
        <v/>
      </c>
      <c r="FD50" s="3">
        <f>ROUND(86.0,2)</f>
        <v/>
      </c>
      <c r="FE50" s="3">
        <f>ROUND(0.0,2)</f>
        <v/>
      </c>
      <c r="FF50" s="3">
        <f>ROUND(0.0,2)</f>
        <v/>
      </c>
      <c r="FG50" s="3">
        <f>ROUND(0.0,2)</f>
        <v/>
      </c>
      <c r="FH50" s="3">
        <f>ROUND(0.0,2)</f>
        <v/>
      </c>
      <c r="FI50" s="3">
        <f>ROUND(0.0,2)</f>
        <v/>
      </c>
      <c r="FJ50" s="4">
        <f>IFERROR((FD50/FC50),0)</f>
        <v/>
      </c>
      <c r="FK50" s="4">
        <f>IFERROR(((0+FB11+FB12+FB13+FB14+FB15+FB16+FB17+FB19+FB20+FB21+FB22+FB23+FB24+FB25+FB27+FB28+FB29+FB30+FB31+FB32+FB33+FB35+FB36+FB37+FB38+FB39+FB40+FB41+FB43+FB44+FB45+FB46+FB47+FB48+FB49)/T2),0)</f>
        <v/>
      </c>
      <c r="FL50" s="5">
        <f>IFERROR(ROUND(FB50/FD50,2),0)</f>
        <v/>
      </c>
      <c r="FM50" s="5">
        <f>IFERROR(ROUND(FB50/FE50,2),0)</f>
        <v/>
      </c>
      <c r="FN50" s="2" t="inlineStr">
        <is>
          <t>5 Weekly Total</t>
        </is>
      </c>
      <c r="FO50" s="5">
        <f>ROUND(0.45,2)</f>
        <v/>
      </c>
      <c r="FP50" s="3">
        <f>ROUND(1378.0,2)</f>
        <v/>
      </c>
      <c r="FQ50" s="3">
        <f>ROUND(45.0,2)</f>
        <v/>
      </c>
      <c r="FR50" s="3">
        <f>ROUND(0.0,2)</f>
        <v/>
      </c>
      <c r="FS50" s="3">
        <f>ROUND(0.0,2)</f>
        <v/>
      </c>
      <c r="FT50" s="3">
        <f>ROUND(0.0,2)</f>
        <v/>
      </c>
      <c r="FU50" s="3">
        <f>ROUND(0.0,2)</f>
        <v/>
      </c>
      <c r="FV50" s="3">
        <f>ROUND(0.0,2)</f>
        <v/>
      </c>
      <c r="FW50" s="4">
        <f>IFERROR((FQ50/FP50),0)</f>
        <v/>
      </c>
      <c r="FX50" s="4">
        <f>IFERROR(((0+FO11+FO12+FO13+FO14+FO15+FO16+FO17+FO19+FO20+FO21+FO22+FO23+FO24+FO25+FO27+FO28+FO29+FO30+FO31+FO32+FO33+FO35+FO36+FO37+FO38+FO39+FO40+FO41+FO43+FO44+FO45+FO46+FO47+FO48+FO49)/T2),0)</f>
        <v/>
      </c>
      <c r="FY50" s="5">
        <f>IFERROR(ROUND(FO50/FQ50,2),0)</f>
        <v/>
      </c>
      <c r="FZ50" s="5">
        <f>IFERROR(ROUND(FO50/FR50,2),0)</f>
        <v/>
      </c>
      <c r="GA50" s="2" t="inlineStr">
        <is>
          <t>5 Weekly Total</t>
        </is>
      </c>
      <c r="GB50" s="5">
        <f>ROUND(0.06,2)</f>
        <v/>
      </c>
      <c r="GC50" s="3">
        <f>ROUND(51.0,2)</f>
        <v/>
      </c>
      <c r="GD50" s="3">
        <f>ROUND(6.0,2)</f>
        <v/>
      </c>
      <c r="GE50" s="3">
        <f>ROUND(0.0,2)</f>
        <v/>
      </c>
      <c r="GF50" s="3">
        <f>ROUND(0.0,2)</f>
        <v/>
      </c>
      <c r="GG50" s="3">
        <f>ROUND(0.0,2)</f>
        <v/>
      </c>
      <c r="GH50" s="3">
        <f>ROUND(0.0,2)</f>
        <v/>
      </c>
      <c r="GI50" s="3">
        <f>ROUND(0.0,2)</f>
        <v/>
      </c>
      <c r="GJ50" s="4">
        <f>IFERROR((GD50/GC50),0)</f>
        <v/>
      </c>
      <c r="GK50" s="4">
        <f>IFERROR(((0+GB11+GB12+GB13+GB14+GB15+GB16+GB17+GB19+GB20+GB21+GB22+GB23+GB24+GB25+GB27+GB28+GB29+GB30+GB31+GB32+GB33+GB35+GB36+GB37+GB38+GB39+GB40+GB41+GB43+GB44+GB45+GB46+GB47+GB48+GB49)/T2),0)</f>
        <v/>
      </c>
      <c r="GL50" s="5">
        <f>IFERROR(ROUND(GB50/GD50,2),0)</f>
        <v/>
      </c>
      <c r="GM50" s="5">
        <f>IFERROR(ROUND(GB50/GE50,2),0)</f>
        <v/>
      </c>
      <c r="GN50" s="2" t="inlineStr">
        <is>
          <t>5 Weekly Total</t>
        </is>
      </c>
      <c r="GO50" s="5">
        <f>ROUND(0.59,2)</f>
        <v/>
      </c>
      <c r="GP50" s="3">
        <f>ROUND(776.0,2)</f>
        <v/>
      </c>
      <c r="GQ50" s="3">
        <f>ROUND(59.0,2)</f>
        <v/>
      </c>
      <c r="GR50" s="3">
        <f>ROUND(0.0,2)</f>
        <v/>
      </c>
      <c r="GS50" s="3">
        <f>ROUND(0.0,2)</f>
        <v/>
      </c>
      <c r="GT50" s="3">
        <f>ROUND(0.0,2)</f>
        <v/>
      </c>
      <c r="GU50" s="3">
        <f>ROUND(0.0,2)</f>
        <v/>
      </c>
      <c r="GV50" s="3">
        <f>ROUND(0.0,2)</f>
        <v/>
      </c>
      <c r="GW50" s="4">
        <f>IFERROR((GQ50/GP50),0)</f>
        <v/>
      </c>
      <c r="GX50" s="4">
        <f>IFERROR(((0+GO11+GO12+GO13+GO14+GO15+GO16+GO17+GO19+GO20+GO21+GO22+GO23+GO24+GO25+GO27+GO28+GO29+GO30+GO31+GO32+GO33+GO35+GO36+GO37+GO38+GO39+GO40+GO41+GO43+GO44+GO45+GO46+GO47+GO48+GO49)/T2),0)</f>
        <v/>
      </c>
      <c r="GY50" s="5">
        <f>IFERROR(ROUND(GO50/GQ50,2),0)</f>
        <v/>
      </c>
      <c r="GZ50" s="5">
        <f>IFERROR(ROUND(GO50/GR50,2),0)</f>
        <v/>
      </c>
      <c r="HA50" s="2" t="inlineStr">
        <is>
          <t>5 Weekly Total</t>
        </is>
      </c>
      <c r="HB50" s="5">
        <f>ROUND(9.25,2)</f>
        <v/>
      </c>
      <c r="HC50" s="3">
        <f>ROUND(11867.0,2)</f>
        <v/>
      </c>
      <c r="HD50" s="3">
        <f>ROUND(925.0,2)</f>
        <v/>
      </c>
      <c r="HE50" s="3">
        <f>ROUND(0.0,2)</f>
        <v/>
      </c>
      <c r="HF50" s="3">
        <f>ROUND(0.0,2)</f>
        <v/>
      </c>
      <c r="HG50" s="3">
        <f>ROUND(0.0,2)</f>
        <v/>
      </c>
      <c r="HH50" s="3">
        <f>ROUND(0.0,2)</f>
        <v/>
      </c>
      <c r="HI50" s="3">
        <f>ROUND(0.0,2)</f>
        <v/>
      </c>
      <c r="HJ50" s="4">
        <f>IFERROR((HD50/HC50),0)</f>
        <v/>
      </c>
      <c r="HK50" s="4">
        <f>IFERROR(((0+HB11+HB12+HB13+HB14+HB15+HB16+HB17+HB19+HB20+HB21+HB22+HB23+HB24+HB25+HB27+HB28+HB29+HB30+HB31+HB32+HB33+HB35+HB36+HB37+HB38+HB39+HB40+HB41+HB43+HB44+HB45+HB46+HB47+HB48+HB49)/T2),0)</f>
        <v/>
      </c>
      <c r="HL50" s="5">
        <f>IFERROR(ROUND(HB50/HD50,2),0)</f>
        <v/>
      </c>
      <c r="HM50" s="5">
        <f>IFERROR(ROUND(HB50/HE50,2),0)</f>
        <v/>
      </c>
      <c r="HN50" s="2" t="inlineStr">
        <is>
          <t>5 Weekly Total</t>
        </is>
      </c>
      <c r="HO50" s="5">
        <f>ROUND(0.03,2)</f>
        <v/>
      </c>
      <c r="HP50" s="3">
        <f>ROUND(48.0,2)</f>
        <v/>
      </c>
      <c r="HQ50" s="3">
        <f>ROUND(3.0,2)</f>
        <v/>
      </c>
      <c r="HR50" s="3">
        <f>ROUND(0.0,2)</f>
        <v/>
      </c>
      <c r="HS50" s="3">
        <f>ROUND(0.0,2)</f>
        <v/>
      </c>
      <c r="HT50" s="3">
        <f>ROUND(0.0,2)</f>
        <v/>
      </c>
      <c r="HU50" s="3">
        <f>ROUND(0.0,2)</f>
        <v/>
      </c>
      <c r="HV50" s="3">
        <f>ROUND(0.0,2)</f>
        <v/>
      </c>
      <c r="HW50" s="4">
        <f>IFERROR((HQ50/HP50),0)</f>
        <v/>
      </c>
      <c r="HX50" s="4">
        <f>IFERROR(((0+HO11+HO12+HO13+HO14+HO15+HO16+HO17+HO19+HO20+HO21+HO22+HO23+HO24+HO25+HO27+HO28+HO29+HO30+HO31+HO32+HO33+HO35+HO36+HO37+HO38+HO39+HO40+HO41+HO43+HO44+HO45+HO46+HO47+HO48+HO49)/T2),0)</f>
        <v/>
      </c>
      <c r="HY50" s="5">
        <f>IFERROR(ROUND(HO50/HQ50,2),0)</f>
        <v/>
      </c>
      <c r="HZ50" s="5">
        <f>IFERROR(ROUND(HO50/HR50,2),0)</f>
        <v/>
      </c>
      <c r="IA50" s="2" t="inlineStr">
        <is>
          <t>5 Weekly Total</t>
        </is>
      </c>
      <c r="IB50" s="5">
        <f>ROUND(0.28,2)</f>
        <v/>
      </c>
      <c r="IC50" s="3">
        <f>ROUND(150.0,2)</f>
        <v/>
      </c>
      <c r="ID50" s="3">
        <f>ROUND(28.0,2)</f>
        <v/>
      </c>
      <c r="IE50" s="3">
        <f>ROUND(0.0,2)</f>
        <v/>
      </c>
      <c r="IF50" s="3">
        <f>ROUND(0.0,2)</f>
        <v/>
      </c>
      <c r="IG50" s="3">
        <f>ROUND(0.0,2)</f>
        <v/>
      </c>
      <c r="IH50" s="3">
        <f>ROUND(0.0,2)</f>
        <v/>
      </c>
      <c r="II50" s="3">
        <f>ROUND(0.0,2)</f>
        <v/>
      </c>
      <c r="IJ50" s="4">
        <f>IFERROR((ID50/IC50),0)</f>
        <v/>
      </c>
      <c r="IK50" s="4">
        <f>IFERROR(((0+IB11+IB12+IB13+IB14+IB15+IB16+IB17+IB19+IB20+IB21+IB22+IB23+IB24+IB25+IB27+IB28+IB29+IB30+IB31+IB32+IB33+IB35+IB36+IB37+IB38+IB39+IB40+IB41+IB43+IB44+IB45+IB46+IB47+IB48+IB49)/T2),0)</f>
        <v/>
      </c>
      <c r="IL50" s="5">
        <f>IFERROR(ROUND(IB50/ID50,2),0)</f>
        <v/>
      </c>
      <c r="IM50" s="5">
        <f>IFERROR(ROUND(IB50/IE50,2),0)</f>
        <v/>
      </c>
      <c r="IN50" s="2" t="inlineStr">
        <is>
          <t>5 Weekly Total</t>
        </is>
      </c>
      <c r="IO50" s="5">
        <f>ROUND(1.51,2)</f>
        <v/>
      </c>
      <c r="IP50" s="3">
        <f>ROUND(7110.0,2)</f>
        <v/>
      </c>
      <c r="IQ50" s="3">
        <f>ROUND(151.0,2)</f>
        <v/>
      </c>
      <c r="IR50" s="3">
        <f>ROUND(0.0,2)</f>
        <v/>
      </c>
      <c r="IS50" s="3">
        <f>ROUND(0.0,2)</f>
        <v/>
      </c>
      <c r="IT50" s="3">
        <f>ROUND(0.0,2)</f>
        <v/>
      </c>
      <c r="IU50" s="3">
        <f>ROUND(0.0,2)</f>
        <v/>
      </c>
      <c r="IV50" s="3">
        <f>ROUND(0.0,2)</f>
        <v/>
      </c>
      <c r="IW50" s="4">
        <f>IFERROR((IQ50/IP50),0)</f>
        <v/>
      </c>
      <c r="IX50" s="4">
        <f>IFERROR(((0+IO11+IO12+IO13+IO14+IO15+IO16+IO17+IO19+IO20+IO21+IO22+IO23+IO24+IO25+IO27+IO28+IO29+IO30+IO31+IO32+IO33+IO35+IO36+IO37+IO38+IO39+IO40+IO41+IO43+IO44+IO45+IO46+IO47+IO48+IO49)/T2),0)</f>
        <v/>
      </c>
      <c r="IY50" s="5">
        <f>IFERROR(ROUND(IO50/IQ50,2),0)</f>
        <v/>
      </c>
      <c r="IZ50" s="5">
        <f>IFERROR(ROUND(IO50/IR50,2),0)</f>
        <v/>
      </c>
      <c r="JA50" s="2" t="inlineStr">
        <is>
          <t>5 Weekly Total</t>
        </is>
      </c>
      <c r="JB50" s="5">
        <f>ROUND(0.09,2)</f>
        <v/>
      </c>
      <c r="JC50" s="3">
        <f>ROUND(191.0,2)</f>
        <v/>
      </c>
      <c r="JD50" s="3">
        <f>ROUND(9.0,2)</f>
        <v/>
      </c>
      <c r="JE50" s="3">
        <f>ROUND(0.0,2)</f>
        <v/>
      </c>
      <c r="JF50" s="3">
        <f>ROUND(0.0,2)</f>
        <v/>
      </c>
      <c r="JG50" s="3">
        <f>ROUND(0.0,2)</f>
        <v/>
      </c>
      <c r="JH50" s="3">
        <f>ROUND(0.0,2)</f>
        <v/>
      </c>
      <c r="JI50" s="3">
        <f>ROUND(0.0,2)</f>
        <v/>
      </c>
      <c r="JJ50" s="4">
        <f>IFERROR((JD50/JC50),0)</f>
        <v/>
      </c>
      <c r="JK50" s="4">
        <f>IFERROR(((0+JB11+JB12+JB13+JB14+JB15+JB16+JB17+JB19+JB20+JB21+JB22+JB23+JB24+JB25+JB27+JB28+JB29+JB30+JB31+JB32+JB33+JB35+JB36+JB37+JB38+JB39+JB40+JB41+JB43+JB44+JB45+JB46+JB47+JB48+JB49)/T2),0)</f>
        <v/>
      </c>
      <c r="JL50" s="5">
        <f>IFERROR(ROUND(JB50/JD50,2),0)</f>
        <v/>
      </c>
      <c r="JM50" s="5">
        <f>IFERROR(ROUND(JB50/JE50,2),0)</f>
        <v/>
      </c>
      <c r="JN50" s="2" t="inlineStr">
        <is>
          <t>5 Weekly Total</t>
        </is>
      </c>
      <c r="JO50" s="5">
        <f>ROUND(0.04,2)</f>
        <v/>
      </c>
      <c r="JP50" s="3">
        <f>ROUND(107.0,2)</f>
        <v/>
      </c>
      <c r="JQ50" s="3">
        <f>ROUND(4.0,2)</f>
        <v/>
      </c>
      <c r="JR50" s="3">
        <f>ROUND(0.0,2)</f>
        <v/>
      </c>
      <c r="JS50" s="3">
        <f>ROUND(0.0,2)</f>
        <v/>
      </c>
      <c r="JT50" s="3">
        <f>ROUND(0.0,2)</f>
        <v/>
      </c>
      <c r="JU50" s="3">
        <f>ROUND(0.0,2)</f>
        <v/>
      </c>
      <c r="JV50" s="3">
        <f>ROUND(0.0,2)</f>
        <v/>
      </c>
      <c r="JW50" s="4">
        <f>IFERROR((JQ50/JP50),0)</f>
        <v/>
      </c>
      <c r="JX50" s="4">
        <f>IFERROR(((0+JO11+JO12+JO13+JO14+JO15+JO16+JO17+JO19+JO20+JO21+JO22+JO23+JO24+JO25+JO27+JO28+JO29+JO30+JO31+JO32+JO33+JO35+JO36+JO37+JO38+JO39+JO40+JO41+JO43+JO44+JO45+JO46+JO47+JO48+JO49)/T2),0)</f>
        <v/>
      </c>
      <c r="JY50" s="5">
        <f>IFERROR(ROUND(JO50/JQ50,2),0)</f>
        <v/>
      </c>
      <c r="JZ50" s="5">
        <f>IFERROR(ROUND(JO50/JR50,2),0)</f>
        <v/>
      </c>
      <c r="KA50" s="2" t="inlineStr">
        <is>
          <t>5 Weekly Total</t>
        </is>
      </c>
      <c r="KB50" s="5">
        <f>ROUND(0.05,2)</f>
        <v/>
      </c>
      <c r="KC50" s="3">
        <f>ROUND(125.0,2)</f>
        <v/>
      </c>
      <c r="KD50" s="3">
        <f>ROUND(5.0,2)</f>
        <v/>
      </c>
      <c r="KE50" s="3">
        <f>ROUND(0.0,2)</f>
        <v/>
      </c>
      <c r="KF50" s="3">
        <f>ROUND(0.0,2)</f>
        <v/>
      </c>
      <c r="KG50" s="3">
        <f>ROUND(0.0,2)</f>
        <v/>
      </c>
      <c r="KH50" s="3">
        <f>ROUND(0.0,2)</f>
        <v/>
      </c>
      <c r="KI50" s="3">
        <f>ROUND(0.0,2)</f>
        <v/>
      </c>
      <c r="KJ50" s="4">
        <f>IFERROR((KD50/KC50),0)</f>
        <v/>
      </c>
      <c r="KK50" s="4">
        <f>IFERROR(((0+KB11+KB12+KB13+KB14+KB15+KB16+KB17+KB19+KB20+KB21+KB22+KB23+KB24+KB25+KB27+KB28+KB29+KB30+KB31+KB32+KB33+KB35+KB36+KB37+KB38+KB39+KB40+KB41+KB43+KB44+KB45+KB46+KB47+KB48+KB49)/T2),0)</f>
        <v/>
      </c>
      <c r="KL50" s="5">
        <f>IFERROR(ROUND(KB50/KD50,2),0)</f>
        <v/>
      </c>
      <c r="KM50" s="5">
        <f>IFERROR(ROUND(KB50/KE50,2),0)</f>
        <v/>
      </c>
      <c r="KN50" s="2" t="inlineStr">
        <is>
          <t>5 Weekly Total</t>
        </is>
      </c>
      <c r="KO50" s="5">
        <f>ROUND(2.93,2)</f>
        <v/>
      </c>
      <c r="KP50" s="3">
        <f>ROUND(13150.0,2)</f>
        <v/>
      </c>
      <c r="KQ50" s="3">
        <f>ROUND(293.0,2)</f>
        <v/>
      </c>
      <c r="KR50" s="3">
        <f>ROUND(0.0,2)</f>
        <v/>
      </c>
      <c r="KS50" s="3">
        <f>ROUND(0.0,2)</f>
        <v/>
      </c>
      <c r="KT50" s="3">
        <f>ROUND(0.0,2)</f>
        <v/>
      </c>
      <c r="KU50" s="3">
        <f>ROUND(0.0,2)</f>
        <v/>
      </c>
      <c r="KV50" s="3">
        <f>ROUND(0.0,2)</f>
        <v/>
      </c>
      <c r="KW50" s="4">
        <f>IFERROR((KQ50/KP50),0)</f>
        <v/>
      </c>
      <c r="KX50" s="4">
        <f>IFERROR(((0+KO11+KO12+KO13+KO14+KO15+KO16+KO17+KO19+KO20+KO21+KO22+KO23+KO24+KO25+KO27+KO28+KO29+KO30+KO31+KO32+KO33+KO35+KO36+KO37+KO38+KO39+KO40+KO41+KO43+KO44+KO45+KO46+KO47+KO48+KO49)/T2),0)</f>
        <v/>
      </c>
      <c r="KY50" s="5">
        <f>IFERROR(ROUND(KO50/KQ50,2),0)</f>
        <v/>
      </c>
      <c r="KZ50" s="5">
        <f>IFERROR(ROUND(KO50/KR50,2),0)</f>
        <v/>
      </c>
      <c r="LA50" s="2" t="inlineStr">
        <is>
          <t>5 Weekly Total</t>
        </is>
      </c>
      <c r="LB50" s="5">
        <f>ROUND(1.15,2)</f>
        <v/>
      </c>
      <c r="LC50" s="3">
        <f>ROUND(4223.0,2)</f>
        <v/>
      </c>
      <c r="LD50" s="3">
        <f>ROUND(115.0,2)</f>
        <v/>
      </c>
      <c r="LE50" s="3">
        <f>ROUND(0.0,2)</f>
        <v/>
      </c>
      <c r="LF50" s="3">
        <f>ROUND(0.0,2)</f>
        <v/>
      </c>
      <c r="LG50" s="3">
        <f>ROUND(0.0,2)</f>
        <v/>
      </c>
      <c r="LH50" s="3">
        <f>ROUND(0.0,2)</f>
        <v/>
      </c>
      <c r="LI50" s="3">
        <f>ROUND(0.0,2)</f>
        <v/>
      </c>
      <c r="LJ50" s="4">
        <f>IFERROR((LD50/LC50),0)</f>
        <v/>
      </c>
      <c r="LK50" s="4">
        <f>IFERROR(((0+LB11+LB12+LB13+LB14+LB15+LB16+LB17+LB19+LB20+LB21+LB22+LB23+LB24+LB25+LB27+LB28+LB29+LB30+LB31+LB32+LB33+LB35+LB36+LB37+LB38+LB39+LB40+LB41+LB43+LB44+LB45+LB46+LB47+LB48+LB49)/T2),0)</f>
        <v/>
      </c>
      <c r="LL50" s="5">
        <f>IFERROR(ROUND(LB50/LD50,2),0)</f>
        <v/>
      </c>
      <c r="LM50" s="5">
        <f>IFERROR(ROUND(LB50/LE50,2),0)</f>
        <v/>
      </c>
      <c r="LN50" s="2" t="inlineStr">
        <is>
          <t>5 Weekly Total</t>
        </is>
      </c>
      <c r="LO50" s="5">
        <f>ROUND(0.84,2)</f>
        <v/>
      </c>
      <c r="LP50" s="3">
        <f>ROUND(958.0,2)</f>
        <v/>
      </c>
      <c r="LQ50" s="3">
        <f>ROUND(84.0,2)</f>
        <v/>
      </c>
      <c r="LR50" s="3">
        <f>ROUND(0.0,2)</f>
        <v/>
      </c>
      <c r="LS50" s="3">
        <f>ROUND(0.0,2)</f>
        <v/>
      </c>
      <c r="LT50" s="3">
        <f>ROUND(0.0,2)</f>
        <v/>
      </c>
      <c r="LU50" s="3">
        <f>ROUND(0.0,2)</f>
        <v/>
      </c>
      <c r="LV50" s="3">
        <f>ROUND(0.0,2)</f>
        <v/>
      </c>
      <c r="LW50" s="4">
        <f>IFERROR((LQ50/LP50),0)</f>
        <v/>
      </c>
      <c r="LX50" s="4">
        <f>IFERROR(((0+LO11+LO12+LO13+LO14+LO15+LO16+LO17+LO19+LO20+LO21+LO22+LO23+LO24+LO25+LO27+LO28+LO29+LO30+LO31+LO32+LO33+LO35+LO36+LO37+LO38+LO39+LO40+LO41+LO43+LO44+LO45+LO46+LO47+LO48+LO49)/T2),0)</f>
        <v/>
      </c>
      <c r="LY50" s="5">
        <f>IFERROR(ROUND(LO50/LQ50,2),0)</f>
        <v/>
      </c>
      <c r="LZ50" s="5">
        <f>IFERROR(ROUND(LO50/LR50,2),0)</f>
        <v/>
      </c>
      <c r="MA50" s="2" t="inlineStr">
        <is>
          <t>5 Weekly Total</t>
        </is>
      </c>
      <c r="MB50" s="5">
        <f>ROUND(0.9,2)</f>
        <v/>
      </c>
      <c r="MC50" s="3">
        <f>ROUND(2677.0,2)</f>
        <v/>
      </c>
      <c r="MD50" s="3">
        <f>ROUND(90.0,2)</f>
        <v/>
      </c>
      <c r="ME50" s="3">
        <f>ROUND(0.0,2)</f>
        <v/>
      </c>
      <c r="MF50" s="3">
        <f>ROUND(0.0,2)</f>
        <v/>
      </c>
      <c r="MG50" s="3">
        <f>ROUND(0.0,2)</f>
        <v/>
      </c>
      <c r="MH50" s="3">
        <f>ROUND(0.0,2)</f>
        <v/>
      </c>
      <c r="MI50" s="3">
        <f>ROUND(0.0,2)</f>
        <v/>
      </c>
      <c r="MJ50" s="4">
        <f>IFERROR((MD50/MC50),0)</f>
        <v/>
      </c>
      <c r="MK50" s="4">
        <f>IFERROR(((0+MB11+MB12+MB13+MB14+MB15+MB16+MB17+MB19+MB20+MB21+MB22+MB23+MB24+MB25+MB27+MB28+MB29+MB30+MB31+MB32+MB33+MB35+MB36+MB37+MB38+MB39+MB40+MB41+MB43+MB44+MB45+MB46+MB47+MB48+MB49)/T2),0)</f>
        <v/>
      </c>
      <c r="ML50" s="5">
        <f>IFERROR(ROUND(MB50/MD50,2),0)</f>
        <v/>
      </c>
      <c r="MM50" s="5">
        <f>IFERROR(ROUND(MB50/ME50,2),0)</f>
        <v/>
      </c>
      <c r="MN50" s="2" t="inlineStr">
        <is>
          <t>5 Weekly Total</t>
        </is>
      </c>
      <c r="MO50" s="5">
        <f>ROUND(7.34,2)</f>
        <v/>
      </c>
      <c r="MP50" s="3">
        <f>ROUND(10577.0,2)</f>
        <v/>
      </c>
      <c r="MQ50" s="3">
        <f>ROUND(733.0,2)</f>
        <v/>
      </c>
      <c r="MR50" s="3">
        <f>ROUND(0.0,2)</f>
        <v/>
      </c>
      <c r="MS50" s="3">
        <f>ROUND(0.0,2)</f>
        <v/>
      </c>
      <c r="MT50" s="3">
        <f>ROUND(0.0,2)</f>
        <v/>
      </c>
      <c r="MU50" s="3">
        <f>ROUND(0.0,2)</f>
        <v/>
      </c>
      <c r="MV50" s="3">
        <f>ROUND(0.0,2)</f>
        <v/>
      </c>
      <c r="MW50" s="4">
        <f>IFERROR((MQ50/MP50),0)</f>
        <v/>
      </c>
      <c r="MX50" s="4">
        <f>IFERROR(((0+MO11+MO12+MO13+MO14+MO15+MO16+MO17+MO19+MO20+MO21+MO22+MO23+MO24+MO25+MO27+MO28+MO29+MO30+MO31+MO32+MO33+MO35+MO36+MO37+MO38+MO39+MO40+MO41+MO43+MO44+MO45+MO46+MO47+MO48+MO49)/T2),0)</f>
        <v/>
      </c>
      <c r="MY50" s="5">
        <f>IFERROR(ROUND(MO50/MQ50,2),0)</f>
        <v/>
      </c>
      <c r="MZ50" s="5">
        <f>IFERROR(ROUND(MO50/MR50,2),0)</f>
        <v/>
      </c>
      <c r="NA50" s="2" t="inlineStr">
        <is>
          <t>5 Weekly Total</t>
        </is>
      </c>
      <c r="NB50" s="5">
        <f>ROUND(2.02,2)</f>
        <v/>
      </c>
      <c r="NC50" s="3">
        <f>ROUND(7854.0,2)</f>
        <v/>
      </c>
      <c r="ND50" s="3">
        <f>ROUND(202.0,2)</f>
        <v/>
      </c>
      <c r="NE50" s="3">
        <f>ROUND(0.0,2)</f>
        <v/>
      </c>
      <c r="NF50" s="3">
        <f>ROUND(0.0,2)</f>
        <v/>
      </c>
      <c r="NG50" s="3">
        <f>ROUND(0.0,2)</f>
        <v/>
      </c>
      <c r="NH50" s="3">
        <f>ROUND(0.0,2)</f>
        <v/>
      </c>
      <c r="NI50" s="3">
        <f>ROUND(0.0,2)</f>
        <v/>
      </c>
      <c r="NJ50" s="4">
        <f>IFERROR((ND50/NC50),0)</f>
        <v/>
      </c>
      <c r="NK50" s="4">
        <f>IFERROR(((0+NB11+NB12+NB13+NB14+NB15+NB16+NB17+NB19+NB20+NB21+NB22+NB23+NB24+NB25+NB27+NB28+NB29+NB30+NB31+NB32+NB33+NB35+NB36+NB37+NB38+NB39+NB40+NB41+NB43+NB44+NB45+NB46+NB47+NB48+NB49)/T2),0)</f>
        <v/>
      </c>
      <c r="NL50" s="5">
        <f>IFERROR(ROUND(NB50/ND50,2),0)</f>
        <v/>
      </c>
      <c r="NM50" s="5">
        <f>IFERROR(ROUND(NB50/NE50,2),0)</f>
        <v/>
      </c>
      <c r="NN50" s="2" t="inlineStr">
        <is>
          <t>5 Weekly Total</t>
        </is>
      </c>
      <c r="NO50" s="5">
        <f>ROUND(0.02,2)</f>
        <v/>
      </c>
      <c r="NP50" s="3">
        <f>ROUND(85.0,2)</f>
        <v/>
      </c>
      <c r="NQ50" s="3">
        <f>ROUND(2.0,2)</f>
        <v/>
      </c>
      <c r="NR50" s="3">
        <f>ROUND(0.0,2)</f>
        <v/>
      </c>
      <c r="NS50" s="3">
        <f>ROUND(0.0,2)</f>
        <v/>
      </c>
      <c r="NT50" s="3">
        <f>ROUND(0.0,2)</f>
        <v/>
      </c>
      <c r="NU50" s="3">
        <f>ROUND(0.0,2)</f>
        <v/>
      </c>
      <c r="NV50" s="3">
        <f>ROUND(0.0,2)</f>
        <v/>
      </c>
      <c r="NW50" s="4">
        <f>IFERROR((NQ50/NP50),0)</f>
        <v/>
      </c>
      <c r="NX50" s="4">
        <f>IFERROR(((0+NO11+NO12+NO13+NO14+NO15+NO16+NO17+NO19+NO20+NO21+NO22+NO23+NO24+NO25+NO27+NO28+NO29+NO30+NO31+NO32+NO33+NO35+NO36+NO37+NO38+NO39+NO40+NO41+NO43+NO44+NO45+NO46+NO47+NO48+NO49)/T2),0)</f>
        <v/>
      </c>
      <c r="NY50" s="5">
        <f>IFERROR(ROUND(NO50/NQ50,2),0)</f>
        <v/>
      </c>
      <c r="NZ50" s="5">
        <f>IFERROR(ROUND(NO50/NR50,2),0)</f>
        <v/>
      </c>
      <c r="OA50" s="2" t="inlineStr">
        <is>
          <t>5 Weekly Total</t>
        </is>
      </c>
      <c r="OB50" s="5">
        <f>ROUND(0.01,2)</f>
        <v/>
      </c>
      <c r="OC50" s="3">
        <f>ROUND(62.0,2)</f>
        <v/>
      </c>
      <c r="OD50" s="3">
        <f>ROUND(1.0,2)</f>
        <v/>
      </c>
      <c r="OE50" s="3">
        <f>ROUND(0.0,2)</f>
        <v/>
      </c>
      <c r="OF50" s="3">
        <f>ROUND(0.0,2)</f>
        <v/>
      </c>
      <c r="OG50" s="3">
        <f>ROUND(0.0,2)</f>
        <v/>
      </c>
      <c r="OH50" s="3">
        <f>ROUND(0.0,2)</f>
        <v/>
      </c>
      <c r="OI50" s="3">
        <f>ROUND(0.0,2)</f>
        <v/>
      </c>
      <c r="OJ50" s="4">
        <f>IFERROR((OD50/OC50),0)</f>
        <v/>
      </c>
      <c r="OK50" s="4">
        <f>IFERROR(((0+OB11+OB12+OB13+OB14+OB15+OB16+OB17+OB19+OB20+OB21+OB22+OB23+OB24+OB25+OB27+OB28+OB29+OB30+OB31+OB32+OB33+OB35+OB36+OB37+OB38+OB39+OB40+OB41+OB43+OB44+OB45+OB46+OB47+OB48+OB49)/T2),0)</f>
        <v/>
      </c>
      <c r="OL50" s="5">
        <f>IFERROR(ROUND(OB50/OD50,2),0)</f>
        <v/>
      </c>
      <c r="OM50" s="5">
        <f>IFERROR(ROUND(OB50/OE50,2),0)</f>
        <v/>
      </c>
      <c r="ON50" s="2" t="inlineStr">
        <is>
          <t>5 Weekly Total</t>
        </is>
      </c>
      <c r="OO50" s="5">
        <f>ROUND(0.5,2)</f>
        <v/>
      </c>
      <c r="OP50" s="3">
        <f>ROUND(885.0,2)</f>
        <v/>
      </c>
      <c r="OQ50" s="3">
        <f>ROUND(50.0,2)</f>
        <v/>
      </c>
      <c r="OR50" s="3">
        <f>ROUND(0.0,2)</f>
        <v/>
      </c>
      <c r="OS50" s="3">
        <f>ROUND(0.0,2)</f>
        <v/>
      </c>
      <c r="OT50" s="3">
        <f>ROUND(0.0,2)</f>
        <v/>
      </c>
      <c r="OU50" s="3">
        <f>ROUND(0.0,2)</f>
        <v/>
      </c>
      <c r="OV50" s="3">
        <f>ROUND(0.0,2)</f>
        <v/>
      </c>
      <c r="OW50" s="4">
        <f>IFERROR((OQ50/OP50),0)</f>
        <v/>
      </c>
      <c r="OX50" s="4">
        <f>IFERROR(((0+OO11+OO12+OO13+OO14+OO15+OO16+OO17+OO19+OO20+OO21+OO22+OO23+OO24+OO25+OO27+OO28+OO29+OO30+OO31+OO32+OO33+OO35+OO36+OO37+OO38+OO39+OO40+OO41+OO43+OO44+OO45+OO46+OO47+OO48+OO49)/T2),0)</f>
        <v/>
      </c>
      <c r="OY50" s="5">
        <f>IFERROR(ROUND(OO50/OQ50,2),0)</f>
        <v/>
      </c>
      <c r="OZ50" s="5">
        <f>IFERROR(ROUND(OO50/OR50,2),0)</f>
        <v/>
      </c>
      <c r="PA50" s="2" t="inlineStr">
        <is>
          <t>5 Weekly Total</t>
        </is>
      </c>
      <c r="PB50" s="5">
        <f>ROUND(0.21,2)</f>
        <v/>
      </c>
      <c r="PC50" s="3">
        <f>ROUND(239.0,2)</f>
        <v/>
      </c>
      <c r="PD50" s="3">
        <f>ROUND(21.0,2)</f>
        <v/>
      </c>
      <c r="PE50" s="3">
        <f>ROUND(0.0,2)</f>
        <v/>
      </c>
      <c r="PF50" s="3">
        <f>ROUND(0.0,2)</f>
        <v/>
      </c>
      <c r="PG50" s="3">
        <f>ROUND(0.0,2)</f>
        <v/>
      </c>
      <c r="PH50" s="3">
        <f>ROUND(0.0,2)</f>
        <v/>
      </c>
      <c r="PI50" s="3">
        <f>ROUND(0.0,2)</f>
        <v/>
      </c>
      <c r="PJ50" s="4">
        <f>IFERROR((PD50/PC50),0)</f>
        <v/>
      </c>
      <c r="PK50" s="4">
        <f>IFERROR(((0+PB11+PB12+PB13+PB14+PB15+PB16+PB17+PB19+PB20+PB21+PB22+PB23+PB24+PB25+PB27+PB28+PB29+PB30+PB31+PB32+PB33+PB35+PB36+PB37+PB38+PB39+PB40+PB41+PB43+PB44+PB45+PB46+PB47+PB48+PB49)/T2),0)</f>
        <v/>
      </c>
      <c r="PL50" s="5">
        <f>IFERROR(ROUND(PB50/PD50,2),0)</f>
        <v/>
      </c>
      <c r="PM50" s="5">
        <f>IFERROR(ROUND(PB50/PE50,2),0)</f>
        <v/>
      </c>
      <c r="PN50" s="2" t="inlineStr">
        <is>
          <t>5 Weekly Total</t>
        </is>
      </c>
      <c r="PO50" s="5">
        <f>ROUND(3.81,2)</f>
        <v/>
      </c>
      <c r="PP50" s="3">
        <f>ROUND(6300.0,2)</f>
        <v/>
      </c>
      <c r="PQ50" s="3">
        <f>ROUND(381.0,2)</f>
        <v/>
      </c>
      <c r="PR50" s="3">
        <f>ROUND(0.0,2)</f>
        <v/>
      </c>
      <c r="PS50" s="3">
        <f>ROUND(0.0,2)</f>
        <v/>
      </c>
      <c r="PT50" s="3">
        <f>ROUND(0.0,2)</f>
        <v/>
      </c>
      <c r="PU50" s="3">
        <f>ROUND(0.0,2)</f>
        <v/>
      </c>
      <c r="PV50" s="3">
        <f>ROUND(0.0,2)</f>
        <v/>
      </c>
      <c r="PW50" s="4">
        <f>IFERROR((PQ50/PP50),0)</f>
        <v/>
      </c>
      <c r="PX50" s="4">
        <f>IFERROR(((0+PO11+PO12+PO13+PO14+PO15+PO16+PO17+PO19+PO20+PO21+PO22+PO23+PO24+PO25+PO27+PO28+PO29+PO30+PO31+PO32+PO33+PO35+PO36+PO37+PO38+PO39+PO40+PO41+PO43+PO44+PO45+PO46+PO47+PO48+PO49)/T2),0)</f>
        <v/>
      </c>
      <c r="PY50" s="5">
        <f>IFERROR(ROUND(PO50/PQ50,2),0)</f>
        <v/>
      </c>
      <c r="PZ50" s="5">
        <f>IFERROR(ROUND(PO50/PR50,2),0)</f>
        <v/>
      </c>
      <c r="QA50" s="2" t="inlineStr">
        <is>
          <t>5 Weekly Total</t>
        </is>
      </c>
      <c r="QB50" s="5">
        <f>ROUND(0.09,2)</f>
        <v/>
      </c>
      <c r="QC50" s="3">
        <f>ROUND(78.0,2)</f>
        <v/>
      </c>
      <c r="QD50" s="3">
        <f>ROUND(9.0,2)</f>
        <v/>
      </c>
      <c r="QE50" s="3">
        <f>ROUND(0.0,2)</f>
        <v/>
      </c>
      <c r="QF50" s="3">
        <f>ROUND(0.0,2)</f>
        <v/>
      </c>
      <c r="QG50" s="3">
        <f>ROUND(0.0,2)</f>
        <v/>
      </c>
      <c r="QH50" s="3">
        <f>ROUND(0.0,2)</f>
        <v/>
      </c>
      <c r="QI50" s="3">
        <f>ROUND(0.0,2)</f>
        <v/>
      </c>
      <c r="QJ50" s="4">
        <f>IFERROR((QD50/QC50),0)</f>
        <v/>
      </c>
      <c r="QK50" s="4">
        <f>IFERROR(((0+QB11+QB12+QB13+QB14+QB15+QB16+QB17+QB19+QB20+QB21+QB22+QB23+QB24+QB25+QB27+QB28+QB29+QB30+QB31+QB32+QB33+QB35+QB36+QB37+QB38+QB39+QB40+QB41+QB43+QB44+QB45+QB46+QB47+QB48+QB49)/T2),0)</f>
        <v/>
      </c>
      <c r="QL50" s="5">
        <f>IFERROR(ROUND(QB50/QD50,2),0)</f>
        <v/>
      </c>
      <c r="QM50" s="5">
        <f>IFERROR(ROUND(QB50/QE50,2),0)</f>
        <v/>
      </c>
      <c r="QN50" s="2" t="inlineStr">
        <is>
          <t>5 Weekly Total</t>
        </is>
      </c>
      <c r="QO50" s="5">
        <f>ROUND(0.14,2)</f>
        <v/>
      </c>
      <c r="QP50" s="3">
        <f>ROUND(230.0,2)</f>
        <v/>
      </c>
      <c r="QQ50" s="3">
        <f>ROUND(14.0,2)</f>
        <v/>
      </c>
      <c r="QR50" s="3">
        <f>ROUND(0.0,2)</f>
        <v/>
      </c>
      <c r="QS50" s="3">
        <f>ROUND(0.0,2)</f>
        <v/>
      </c>
      <c r="QT50" s="3">
        <f>ROUND(0.0,2)</f>
        <v/>
      </c>
      <c r="QU50" s="3">
        <f>ROUND(0.0,2)</f>
        <v/>
      </c>
      <c r="QV50" s="3">
        <f>ROUND(0.0,2)</f>
        <v/>
      </c>
      <c r="QW50" s="4">
        <f>IFERROR((QQ50/QP50),0)</f>
        <v/>
      </c>
      <c r="QX50" s="4">
        <f>IFERROR(((0+QO11+QO12+QO13+QO14+QO15+QO16+QO17+QO19+QO20+QO21+QO22+QO23+QO24+QO25+QO27+QO28+QO29+QO30+QO31+QO32+QO33+QO35+QO36+QO37+QO38+QO39+QO40+QO41+QO43+QO44+QO45+QO46+QO47+QO48+QO49)/T2),0)</f>
        <v/>
      </c>
      <c r="QY50" s="5">
        <f>IFERROR(ROUND(QO50/QQ50,2),0)</f>
        <v/>
      </c>
      <c r="QZ50" s="5">
        <f>IFERROR(ROUND(QO50/QR50,2),0)</f>
        <v/>
      </c>
      <c r="RA50" s="2" t="inlineStr">
        <is>
          <t>5 Weekly Total</t>
        </is>
      </c>
      <c r="RB50" s="5">
        <f>ROUND(0.06,2)</f>
        <v/>
      </c>
      <c r="RC50" s="3">
        <f>ROUND(99.0,2)</f>
        <v/>
      </c>
      <c r="RD50" s="3">
        <f>ROUND(6.0,2)</f>
        <v/>
      </c>
      <c r="RE50" s="3">
        <f>ROUND(0.0,2)</f>
        <v/>
      </c>
      <c r="RF50" s="3">
        <f>ROUND(0.0,2)</f>
        <v/>
      </c>
      <c r="RG50" s="3">
        <f>ROUND(0.0,2)</f>
        <v/>
      </c>
      <c r="RH50" s="3">
        <f>ROUND(0.0,2)</f>
        <v/>
      </c>
      <c r="RI50" s="3">
        <f>ROUND(0.0,2)</f>
        <v/>
      </c>
      <c r="RJ50" s="4">
        <f>IFERROR((RD50/RC50),0)</f>
        <v/>
      </c>
      <c r="RK50" s="4">
        <f>IFERROR(((0+RB11+RB12+RB13+RB14+RB15+RB16+RB17+RB19+RB20+RB21+RB22+RB23+RB24+RB25+RB27+RB28+RB29+RB30+RB31+RB32+RB33+RB35+RB36+RB37+RB38+RB39+RB40+RB41+RB43+RB44+RB45+RB46+RB47+RB48+RB49)/T2),0)</f>
        <v/>
      </c>
      <c r="RL50" s="5">
        <f>IFERROR(ROUND(RB50/RD50,2),0)</f>
        <v/>
      </c>
      <c r="RM50" s="5">
        <f>IFERROR(ROUND(RB50/RE50,2),0)</f>
        <v/>
      </c>
      <c r="RN50" s="2" t="inlineStr">
        <is>
          <t>5 Weekly Total</t>
        </is>
      </c>
      <c r="RO50" s="5">
        <f>ROUND(0.07,2)</f>
        <v/>
      </c>
      <c r="RP50" s="3">
        <f>ROUND(110.0,2)</f>
        <v/>
      </c>
      <c r="RQ50" s="3">
        <f>ROUND(7.0,2)</f>
        <v/>
      </c>
      <c r="RR50" s="3">
        <f>ROUND(0.0,2)</f>
        <v/>
      </c>
      <c r="RS50" s="3">
        <f>ROUND(0.0,2)</f>
        <v/>
      </c>
      <c r="RT50" s="3">
        <f>ROUND(0.0,2)</f>
        <v/>
      </c>
      <c r="RU50" s="3">
        <f>ROUND(0.0,2)</f>
        <v/>
      </c>
      <c r="RV50" s="3">
        <f>ROUND(0.0,2)</f>
        <v/>
      </c>
      <c r="RW50" s="4">
        <f>IFERROR((RQ50/RP50),0)</f>
        <v/>
      </c>
      <c r="RX50" s="4">
        <f>IFERROR(((0+RO11+RO12+RO13+RO14+RO15+RO16+RO17+RO19+RO20+RO21+RO22+RO23+RO24+RO25+RO27+RO28+RO29+RO30+RO31+RO32+RO33+RO35+RO36+RO37+RO38+RO39+RO40+RO41+RO43+RO44+RO45+RO46+RO47+RO48+RO49)/T2),0)</f>
        <v/>
      </c>
      <c r="RY50" s="5">
        <f>IFERROR(ROUND(RO50/RQ50,2),0)</f>
        <v/>
      </c>
      <c r="RZ50" s="5">
        <f>IFERROR(ROUND(RO50/RR50,2),0)</f>
        <v/>
      </c>
      <c r="SA50" s="2" t="inlineStr">
        <is>
          <t>5 Weekly Total</t>
        </is>
      </c>
      <c r="SB50" s="5">
        <f>ROUND(2.72,2)</f>
        <v/>
      </c>
      <c r="SC50" s="3">
        <f>ROUND(3796.0,2)</f>
        <v/>
      </c>
      <c r="SD50" s="3">
        <f>ROUND(272.0,2)</f>
        <v/>
      </c>
      <c r="SE50" s="3">
        <f>ROUND(0.0,2)</f>
        <v/>
      </c>
      <c r="SF50" s="3">
        <f>ROUND(0.0,2)</f>
        <v/>
      </c>
      <c r="SG50" s="3">
        <f>ROUND(0.0,2)</f>
        <v/>
      </c>
      <c r="SH50" s="3">
        <f>ROUND(0.0,2)</f>
        <v/>
      </c>
      <c r="SI50" s="3">
        <f>ROUND(0.0,2)</f>
        <v/>
      </c>
      <c r="SJ50" s="4">
        <f>IFERROR((SD50/SC50),0)</f>
        <v/>
      </c>
      <c r="SK50" s="4">
        <f>IFERROR(((0+SB11+SB12+SB13+SB14+SB15+SB16+SB17+SB19+SB20+SB21+SB22+SB23+SB24+SB25+SB27+SB28+SB29+SB30+SB31+SB32+SB33+SB35+SB36+SB37+SB38+SB39+SB40+SB41+SB43+SB44+SB45+SB46+SB47+SB48+SB49)/T2),0)</f>
        <v/>
      </c>
      <c r="SL50" s="5">
        <f>IFERROR(ROUND(SB50/SD50,2),0)</f>
        <v/>
      </c>
      <c r="SM50" s="5">
        <f>IFERROR(ROUND(SB50/SE50,2),0)</f>
        <v/>
      </c>
      <c r="SN50" s="2" t="inlineStr">
        <is>
          <t>5 Weekly Total</t>
        </is>
      </c>
      <c r="SO50" s="5">
        <f>ROUND(0.88,2)</f>
        <v/>
      </c>
      <c r="SP50" s="3">
        <f>ROUND(858.0,2)</f>
        <v/>
      </c>
      <c r="SQ50" s="3">
        <f>ROUND(88.0,2)</f>
        <v/>
      </c>
      <c r="SR50" s="3">
        <f>ROUND(0.0,2)</f>
        <v/>
      </c>
      <c r="SS50" s="3">
        <f>ROUND(0.0,2)</f>
        <v/>
      </c>
      <c r="ST50" s="3">
        <f>ROUND(0.0,2)</f>
        <v/>
      </c>
      <c r="SU50" s="3">
        <f>ROUND(0.0,2)</f>
        <v/>
      </c>
      <c r="SV50" s="3">
        <f>ROUND(0.0,2)</f>
        <v/>
      </c>
      <c r="SW50" s="4">
        <f>IFERROR((SQ50/SP50),0)</f>
        <v/>
      </c>
      <c r="SX50" s="4">
        <f>IFERROR(((0+SO11+SO12+SO13+SO14+SO15+SO16+SO17+SO19+SO20+SO21+SO22+SO23+SO24+SO25+SO27+SO28+SO29+SO30+SO31+SO32+SO33+SO35+SO36+SO37+SO38+SO39+SO40+SO41+SO43+SO44+SO45+SO46+SO47+SO48+SO49)/T2),0)</f>
        <v/>
      </c>
      <c r="SY50" s="5">
        <f>IFERROR(ROUND(SO50/SQ50,2),0)</f>
        <v/>
      </c>
      <c r="SZ50" s="5">
        <f>IFERROR(ROUND(SO50/SR50,2),0)</f>
        <v/>
      </c>
    </row>
    <row r="51">
      <c r="A51" s="2" t="inlineStr">
        <is>
          <t>2023-10-25</t>
        </is>
      </c>
      <c r="B51" s="5">
        <f>ROUND(0.0,2)</f>
        <v/>
      </c>
      <c r="C51" s="3">
        <f>ROUND(0.0,2)</f>
        <v/>
      </c>
      <c r="D51" s="3">
        <f>ROUND(0.0,2)</f>
        <v/>
      </c>
      <c r="E51" s="3">
        <f>ROUND(0.0,2)</f>
        <v/>
      </c>
      <c r="F51" s="3">
        <f>ROUND(0.0,2)</f>
        <v/>
      </c>
      <c r="G51" s="3">
        <f>ROUND(0.0,2)</f>
        <v/>
      </c>
      <c r="H51" s="3">
        <f>ROUND(0.0,2)</f>
        <v/>
      </c>
      <c r="I51" s="3">
        <f>ROUND(0.0,2)</f>
        <v/>
      </c>
      <c r="J51" s="4">
        <f>IFERROR((D51/C51),0)</f>
        <v/>
      </c>
      <c r="K51" s="4">
        <f>IFERROR(((0+B11+B12+B13+B14+B15+B16+B17+B19+B20+B21+B22+B23+B24+B25+B27+B28+B29+B30+B31+B32+B33+B35+B36+B37+B38+B39+B40+B41+B43+B44+B45+B46+B47+B48+B49+B51)/T2),0)</f>
        <v/>
      </c>
      <c r="L51" s="5">
        <f>IFERROR(ROUND(B51/D51,2),0)</f>
        <v/>
      </c>
      <c r="M51" s="5">
        <f>IFERROR(ROUND(B51/E51,2),0)</f>
        <v/>
      </c>
      <c r="N51" s="2" t="inlineStr">
        <is>
          <t>2023-10-25</t>
        </is>
      </c>
      <c r="O51" s="5">
        <f>ROUND(0.0,2)</f>
        <v/>
      </c>
      <c r="P51" s="3">
        <f>ROUND(0.0,2)</f>
        <v/>
      </c>
      <c r="Q51" s="3">
        <f>ROUND(0.0,2)</f>
        <v/>
      </c>
      <c r="R51" s="3">
        <f>ROUND(0.0,2)</f>
        <v/>
      </c>
      <c r="S51" s="3">
        <f>ROUND(0.0,2)</f>
        <v/>
      </c>
      <c r="T51" s="3">
        <f>ROUND(0.0,2)</f>
        <v/>
      </c>
      <c r="U51" s="3">
        <f>ROUND(0.0,2)</f>
        <v/>
      </c>
      <c r="V51" s="3">
        <f>ROUND(0.0,2)</f>
        <v/>
      </c>
      <c r="W51" s="4">
        <f>IFERROR((Q51/P51),0)</f>
        <v/>
      </c>
      <c r="X51" s="4">
        <f>IFERROR(((0+O11+O12+O13+O14+O15+O16+O17+O19+O20+O21+O22+O23+O24+O25+O27+O28+O29+O30+O31+O32+O33+O35+O36+O37+O38+O39+O40+O41+O43+O44+O45+O46+O47+O48+O49+O51)/T2),0)</f>
        <v/>
      </c>
      <c r="Y51" s="5">
        <f>IFERROR(ROUND(O51/Q51,2),0)</f>
        <v/>
      </c>
      <c r="Z51" s="5">
        <f>IFERROR(ROUND(O51/R51,2),0)</f>
        <v/>
      </c>
      <c r="AA51" s="2" t="inlineStr">
        <is>
          <t>2023-10-25</t>
        </is>
      </c>
      <c r="AB51" s="5">
        <f>ROUND(0.0,2)</f>
        <v/>
      </c>
      <c r="AC51" s="3">
        <f>ROUND(0.0,2)</f>
        <v/>
      </c>
      <c r="AD51" s="3">
        <f>ROUND(0.0,2)</f>
        <v/>
      </c>
      <c r="AE51" s="3">
        <f>ROUND(0.0,2)</f>
        <v/>
      </c>
      <c r="AF51" s="3">
        <f>ROUND(0.0,2)</f>
        <v/>
      </c>
      <c r="AG51" s="3">
        <f>ROUND(0.0,2)</f>
        <v/>
      </c>
      <c r="AH51" s="3">
        <f>ROUND(0.0,2)</f>
        <v/>
      </c>
      <c r="AI51" s="3">
        <f>ROUND(0.0,2)</f>
        <v/>
      </c>
      <c r="AJ51" s="4">
        <f>IFERROR((AD51/AC51),0)</f>
        <v/>
      </c>
      <c r="AK51" s="4">
        <f>IFERROR(((0+AB11+AB12+AB13+AB14+AB15+AB16+AB17+AB19+AB20+AB21+AB22+AB23+AB24+AB25+AB27+AB28+AB29+AB30+AB31+AB32+AB33+AB35+AB36+AB37+AB38+AB39+AB40+AB41+AB43+AB44+AB45+AB46+AB47+AB48+AB49+AB51)/T2),0)</f>
        <v/>
      </c>
      <c r="AL51" s="5">
        <f>IFERROR(ROUND(AB51/AD51,2),0)</f>
        <v/>
      </c>
      <c r="AM51" s="5">
        <f>IFERROR(ROUND(AB51/AE51,2),0)</f>
        <v/>
      </c>
      <c r="AN51" s="2" t="inlineStr">
        <is>
          <t>2023-10-25</t>
        </is>
      </c>
      <c r="AO51" s="5">
        <f>ROUND(0.0,2)</f>
        <v/>
      </c>
      <c r="AP51" s="3">
        <f>ROUND(0.0,2)</f>
        <v/>
      </c>
      <c r="AQ51" s="3">
        <f>ROUND(0.0,2)</f>
        <v/>
      </c>
      <c r="AR51" s="3">
        <f>ROUND(0.0,2)</f>
        <v/>
      </c>
      <c r="AS51" s="3">
        <f>ROUND(0.0,2)</f>
        <v/>
      </c>
      <c r="AT51" s="3">
        <f>ROUND(0.0,2)</f>
        <v/>
      </c>
      <c r="AU51" s="3">
        <f>ROUND(0.0,2)</f>
        <v/>
      </c>
      <c r="AV51" s="3">
        <f>ROUND(0.0,2)</f>
        <v/>
      </c>
      <c r="AW51" s="4">
        <f>IFERROR((AQ51/AP51),0)</f>
        <v/>
      </c>
      <c r="AX51" s="4">
        <f>IFERROR(((0+AO11+AO12+AO13+AO14+AO15+AO16+AO17+AO19+AO20+AO21+AO22+AO23+AO24+AO25+AO27+AO28+AO29+AO30+AO31+AO32+AO33+AO35+AO36+AO37+AO38+AO39+AO40+AO41+AO43+AO44+AO45+AO46+AO47+AO48+AO49+AO51)/T2),0)</f>
        <v/>
      </c>
      <c r="AY51" s="5">
        <f>IFERROR(ROUND(AO51/AQ51,2),0)</f>
        <v/>
      </c>
      <c r="AZ51" s="5">
        <f>IFERROR(ROUND(AO51/AR51,2),0)</f>
        <v/>
      </c>
      <c r="BA51" s="2" t="inlineStr">
        <is>
          <t>2023-10-25</t>
        </is>
      </c>
      <c r="BB51" s="5">
        <f>ROUND(0.0,2)</f>
        <v/>
      </c>
      <c r="BC51" s="3">
        <f>ROUND(0.0,2)</f>
        <v/>
      </c>
      <c r="BD51" s="3">
        <f>ROUND(0.0,2)</f>
        <v/>
      </c>
      <c r="BE51" s="3">
        <f>ROUND(0.0,2)</f>
        <v/>
      </c>
      <c r="BF51" s="3">
        <f>ROUND(0.0,2)</f>
        <v/>
      </c>
      <c r="BG51" s="3">
        <f>ROUND(0.0,2)</f>
        <v/>
      </c>
      <c r="BH51" s="3">
        <f>ROUND(0.0,2)</f>
        <v/>
      </c>
      <c r="BI51" s="3">
        <f>ROUND(0.0,2)</f>
        <v/>
      </c>
      <c r="BJ51" s="4">
        <f>IFERROR((BD51/BC51),0)</f>
        <v/>
      </c>
      <c r="BK51" s="4">
        <f>IFERROR(((0+BB11+BB12+BB13+BB14+BB15+BB16+BB17+BB19+BB20+BB21+BB22+BB23+BB24+BB25+BB27+BB28+BB29+BB30+BB31+BB32+BB33+BB35+BB36+BB37+BB38+BB39+BB40+BB41+BB43+BB44+BB45+BB46+BB47+BB48+BB49+BB51)/T2),0)</f>
        <v/>
      </c>
      <c r="BL51" s="5">
        <f>IFERROR(ROUND(BB51/BD51,2),0)</f>
        <v/>
      </c>
      <c r="BM51" s="5">
        <f>IFERROR(ROUND(BB51/BE51,2),0)</f>
        <v/>
      </c>
      <c r="BN51" s="2" t="inlineStr">
        <is>
          <t>2023-10-25</t>
        </is>
      </c>
      <c r="BO51" s="5">
        <f>ROUND(0.0,2)</f>
        <v/>
      </c>
      <c r="BP51" s="3">
        <f>ROUND(0.0,2)</f>
        <v/>
      </c>
      <c r="BQ51" s="3">
        <f>ROUND(0.0,2)</f>
        <v/>
      </c>
      <c r="BR51" s="3">
        <f>ROUND(0.0,2)</f>
        <v/>
      </c>
      <c r="BS51" s="3">
        <f>ROUND(0.0,2)</f>
        <v/>
      </c>
      <c r="BT51" s="3">
        <f>ROUND(0.0,2)</f>
        <v/>
      </c>
      <c r="BU51" s="3">
        <f>ROUND(0.0,2)</f>
        <v/>
      </c>
      <c r="BV51" s="3">
        <f>ROUND(0.0,2)</f>
        <v/>
      </c>
      <c r="BW51" s="4">
        <f>IFERROR((BQ51/BP51),0)</f>
        <v/>
      </c>
      <c r="BX51" s="4">
        <f>IFERROR(((0+BO11+BO12+BO13+BO14+BO15+BO16+BO17+BO19+BO20+BO21+BO22+BO23+BO24+BO25+BO27+BO28+BO29+BO30+BO31+BO32+BO33+BO35+BO36+BO37+BO38+BO39+BO40+BO41+BO43+BO44+BO45+BO46+BO47+BO48+BO49+BO51)/T2),0)</f>
        <v/>
      </c>
      <c r="BY51" s="5">
        <f>IFERROR(ROUND(BO51/BQ51,2),0)</f>
        <v/>
      </c>
      <c r="BZ51" s="5">
        <f>IFERROR(ROUND(BO51/BR51,2),0)</f>
        <v/>
      </c>
      <c r="CA51" s="2" t="inlineStr">
        <is>
          <t>2023-10-25</t>
        </is>
      </c>
      <c r="CB51" s="5">
        <f>ROUND(0.0,2)</f>
        <v/>
      </c>
      <c r="CC51" s="3">
        <f>ROUND(0.0,2)</f>
        <v/>
      </c>
      <c r="CD51" s="3">
        <f>ROUND(0.0,2)</f>
        <v/>
      </c>
      <c r="CE51" s="3">
        <f>ROUND(0.0,2)</f>
        <v/>
      </c>
      <c r="CF51" s="3">
        <f>ROUND(0.0,2)</f>
        <v/>
      </c>
      <c r="CG51" s="3">
        <f>ROUND(0.0,2)</f>
        <v/>
      </c>
      <c r="CH51" s="3">
        <f>ROUND(0.0,2)</f>
        <v/>
      </c>
      <c r="CI51" s="3">
        <f>ROUND(0.0,2)</f>
        <v/>
      </c>
      <c r="CJ51" s="4">
        <f>IFERROR((CD51/CC51),0)</f>
        <v/>
      </c>
      <c r="CK51" s="4">
        <f>IFERROR(((0+CB11+CB12+CB13+CB14+CB15+CB16+CB17+CB19+CB20+CB21+CB22+CB23+CB24+CB25+CB27+CB28+CB29+CB30+CB31+CB32+CB33+CB35+CB36+CB37+CB38+CB39+CB40+CB41+CB43+CB44+CB45+CB46+CB47+CB48+CB49+CB51)/T2),0)</f>
        <v/>
      </c>
      <c r="CL51" s="5">
        <f>IFERROR(ROUND(CB51/CD51,2),0)</f>
        <v/>
      </c>
      <c r="CM51" s="5">
        <f>IFERROR(ROUND(CB51/CE51,2),0)</f>
        <v/>
      </c>
      <c r="CN51" s="2" t="inlineStr">
        <is>
          <t>2023-10-25</t>
        </is>
      </c>
      <c r="CO51" s="5">
        <f>ROUND(0.0,2)</f>
        <v/>
      </c>
      <c r="CP51" s="3">
        <f>ROUND(0.0,2)</f>
        <v/>
      </c>
      <c r="CQ51" s="3">
        <f>ROUND(0.0,2)</f>
        <v/>
      </c>
      <c r="CR51" s="3">
        <f>ROUND(0.0,2)</f>
        <v/>
      </c>
      <c r="CS51" s="3">
        <f>ROUND(0.0,2)</f>
        <v/>
      </c>
      <c r="CT51" s="3">
        <f>ROUND(0.0,2)</f>
        <v/>
      </c>
      <c r="CU51" s="3">
        <f>ROUND(0.0,2)</f>
        <v/>
      </c>
      <c r="CV51" s="3">
        <f>ROUND(0.0,2)</f>
        <v/>
      </c>
      <c r="CW51" s="4">
        <f>IFERROR((CQ51/CP51),0)</f>
        <v/>
      </c>
      <c r="CX51" s="4">
        <f>IFERROR(((0+CO11+CO12+CO13+CO14+CO15+CO16+CO17+CO19+CO20+CO21+CO22+CO23+CO24+CO25+CO27+CO28+CO29+CO30+CO31+CO32+CO33+CO35+CO36+CO37+CO38+CO39+CO40+CO41+CO43+CO44+CO45+CO46+CO47+CO48+CO49+CO51)/T2),0)</f>
        <v/>
      </c>
      <c r="CY51" s="5">
        <f>IFERROR(ROUND(CO51/CQ51,2),0)</f>
        <v/>
      </c>
      <c r="CZ51" s="5">
        <f>IFERROR(ROUND(CO51/CR51,2),0)</f>
        <v/>
      </c>
      <c r="DA51" s="2" t="inlineStr">
        <is>
          <t>2023-10-25</t>
        </is>
      </c>
      <c r="DB51" s="5">
        <f>ROUND(0.0,2)</f>
        <v/>
      </c>
      <c r="DC51" s="3">
        <f>ROUND(0.0,2)</f>
        <v/>
      </c>
      <c r="DD51" s="3">
        <f>ROUND(0.0,2)</f>
        <v/>
      </c>
      <c r="DE51" s="3">
        <f>ROUND(0.0,2)</f>
        <v/>
      </c>
      <c r="DF51" s="3">
        <f>ROUND(0.0,2)</f>
        <v/>
      </c>
      <c r="DG51" s="3">
        <f>ROUND(0.0,2)</f>
        <v/>
      </c>
      <c r="DH51" s="3">
        <f>ROUND(0.0,2)</f>
        <v/>
      </c>
      <c r="DI51" s="3">
        <f>ROUND(0.0,2)</f>
        <v/>
      </c>
      <c r="DJ51" s="4">
        <f>IFERROR((DD51/DC51),0)</f>
        <v/>
      </c>
      <c r="DK51" s="4">
        <f>IFERROR(((0+DB11+DB12+DB13+DB14+DB15+DB16+DB17+DB19+DB20+DB21+DB22+DB23+DB24+DB25+DB27+DB28+DB29+DB30+DB31+DB32+DB33+DB35+DB36+DB37+DB38+DB39+DB40+DB41+DB43+DB44+DB45+DB46+DB47+DB48+DB49+DB51)/T2),0)</f>
        <v/>
      </c>
      <c r="DL51" s="5">
        <f>IFERROR(ROUND(DB51/DD51,2),0)</f>
        <v/>
      </c>
      <c r="DM51" s="5">
        <f>IFERROR(ROUND(DB51/DE51,2),0)</f>
        <v/>
      </c>
      <c r="DN51" s="2" t="inlineStr">
        <is>
          <t>2023-10-25</t>
        </is>
      </c>
      <c r="DO51" s="5">
        <f>ROUND(0.0,2)</f>
        <v/>
      </c>
      <c r="DP51" s="3">
        <f>ROUND(0.0,2)</f>
        <v/>
      </c>
      <c r="DQ51" s="3">
        <f>ROUND(0.0,2)</f>
        <v/>
      </c>
      <c r="DR51" s="3">
        <f>ROUND(0.0,2)</f>
        <v/>
      </c>
      <c r="DS51" s="3">
        <f>ROUND(0.0,2)</f>
        <v/>
      </c>
      <c r="DT51" s="3">
        <f>ROUND(0.0,2)</f>
        <v/>
      </c>
      <c r="DU51" s="3">
        <f>ROUND(0.0,2)</f>
        <v/>
      </c>
      <c r="DV51" s="3">
        <f>ROUND(0.0,2)</f>
        <v/>
      </c>
      <c r="DW51" s="4">
        <f>IFERROR((DQ51/DP51),0)</f>
        <v/>
      </c>
      <c r="DX51" s="4">
        <f>IFERROR(((0+DO11+DO12+DO13+DO14+DO15+DO16+DO17+DO19+DO20+DO21+DO22+DO23+DO24+DO25+DO27+DO28+DO29+DO30+DO31+DO32+DO33+DO35+DO36+DO37+DO38+DO39+DO40+DO41+DO43+DO44+DO45+DO46+DO47+DO48+DO49+DO51)/T2),0)</f>
        <v/>
      </c>
      <c r="DY51" s="5">
        <f>IFERROR(ROUND(DO51/DQ51,2),0)</f>
        <v/>
      </c>
      <c r="DZ51" s="5">
        <f>IFERROR(ROUND(DO51/DR51,2),0)</f>
        <v/>
      </c>
      <c r="EA51" s="2" t="inlineStr">
        <is>
          <t>2023-10-25</t>
        </is>
      </c>
      <c r="EB51" s="5">
        <f>ROUND(0.0,2)</f>
        <v/>
      </c>
      <c r="EC51" s="3">
        <f>ROUND(0.0,2)</f>
        <v/>
      </c>
      <c r="ED51" s="3">
        <f>ROUND(0.0,2)</f>
        <v/>
      </c>
      <c r="EE51" s="3">
        <f>ROUND(0.0,2)</f>
        <v/>
      </c>
      <c r="EF51" s="3">
        <f>ROUND(0.0,2)</f>
        <v/>
      </c>
      <c r="EG51" s="3">
        <f>ROUND(0.0,2)</f>
        <v/>
      </c>
      <c r="EH51" s="3">
        <f>ROUND(0.0,2)</f>
        <v/>
      </c>
      <c r="EI51" s="3">
        <f>ROUND(0.0,2)</f>
        <v/>
      </c>
      <c r="EJ51" s="4">
        <f>IFERROR((ED51/EC51),0)</f>
        <v/>
      </c>
      <c r="EK51" s="4">
        <f>IFERROR(((0+EB11+EB12+EB13+EB14+EB15+EB16+EB17+EB19+EB20+EB21+EB22+EB23+EB24+EB25+EB27+EB28+EB29+EB30+EB31+EB32+EB33+EB35+EB36+EB37+EB38+EB39+EB40+EB41+EB43+EB44+EB45+EB46+EB47+EB48+EB49+EB51)/T2),0)</f>
        <v/>
      </c>
      <c r="EL51" s="5">
        <f>IFERROR(ROUND(EB51/ED51,2),0)</f>
        <v/>
      </c>
      <c r="EM51" s="5">
        <f>IFERROR(ROUND(EB51/EE51,2),0)</f>
        <v/>
      </c>
      <c r="EN51" s="2" t="inlineStr">
        <is>
          <t>2023-10-25</t>
        </is>
      </c>
      <c r="EO51" s="5">
        <f>ROUND(0.0,2)</f>
        <v/>
      </c>
      <c r="EP51" s="3">
        <f>ROUND(0.0,2)</f>
        <v/>
      </c>
      <c r="EQ51" s="3">
        <f>ROUND(0.0,2)</f>
        <v/>
      </c>
      <c r="ER51" s="3">
        <f>ROUND(0.0,2)</f>
        <v/>
      </c>
      <c r="ES51" s="3">
        <f>ROUND(0.0,2)</f>
        <v/>
      </c>
      <c r="ET51" s="3">
        <f>ROUND(0.0,2)</f>
        <v/>
      </c>
      <c r="EU51" s="3">
        <f>ROUND(0.0,2)</f>
        <v/>
      </c>
      <c r="EV51" s="3">
        <f>ROUND(0.0,2)</f>
        <v/>
      </c>
      <c r="EW51" s="4">
        <f>IFERROR((EQ51/EP51),0)</f>
        <v/>
      </c>
      <c r="EX51" s="4">
        <f>IFERROR(((0+EO11+EO12+EO13+EO14+EO15+EO16+EO17+EO19+EO20+EO21+EO22+EO23+EO24+EO25+EO27+EO28+EO29+EO30+EO31+EO32+EO33+EO35+EO36+EO37+EO38+EO39+EO40+EO41+EO43+EO44+EO45+EO46+EO47+EO48+EO49+EO51)/T2),0)</f>
        <v/>
      </c>
      <c r="EY51" s="5">
        <f>IFERROR(ROUND(EO51/EQ51,2),0)</f>
        <v/>
      </c>
      <c r="EZ51" s="5">
        <f>IFERROR(ROUND(EO51/ER51,2),0)</f>
        <v/>
      </c>
      <c r="FA51" s="2" t="inlineStr">
        <is>
          <t>2023-10-25</t>
        </is>
      </c>
      <c r="FB51" s="5">
        <f>ROUND(0.0,2)</f>
        <v/>
      </c>
      <c r="FC51" s="3">
        <f>ROUND(0.0,2)</f>
        <v/>
      </c>
      <c r="FD51" s="3">
        <f>ROUND(0.0,2)</f>
        <v/>
      </c>
      <c r="FE51" s="3">
        <f>ROUND(0.0,2)</f>
        <v/>
      </c>
      <c r="FF51" s="3">
        <f>ROUND(0.0,2)</f>
        <v/>
      </c>
      <c r="FG51" s="3">
        <f>ROUND(0.0,2)</f>
        <v/>
      </c>
      <c r="FH51" s="3">
        <f>ROUND(0.0,2)</f>
        <v/>
      </c>
      <c r="FI51" s="3">
        <f>ROUND(0.0,2)</f>
        <v/>
      </c>
      <c r="FJ51" s="4">
        <f>IFERROR((FD51/FC51),0)</f>
        <v/>
      </c>
      <c r="FK51" s="4">
        <f>IFERROR(((0+FB11+FB12+FB13+FB14+FB15+FB16+FB17+FB19+FB20+FB21+FB22+FB23+FB24+FB25+FB27+FB28+FB29+FB30+FB31+FB32+FB33+FB35+FB36+FB37+FB38+FB39+FB40+FB41+FB43+FB44+FB45+FB46+FB47+FB48+FB49+FB51)/T2),0)</f>
        <v/>
      </c>
      <c r="FL51" s="5">
        <f>IFERROR(ROUND(FB51/FD51,2),0)</f>
        <v/>
      </c>
      <c r="FM51" s="5">
        <f>IFERROR(ROUND(FB51/FE51,2),0)</f>
        <v/>
      </c>
      <c r="FN51" s="2" t="inlineStr">
        <is>
          <t>2023-10-25</t>
        </is>
      </c>
      <c r="FO51" s="5">
        <f>ROUND(0.0,2)</f>
        <v/>
      </c>
      <c r="FP51" s="3">
        <f>ROUND(0.0,2)</f>
        <v/>
      </c>
      <c r="FQ51" s="3">
        <f>ROUND(0.0,2)</f>
        <v/>
      </c>
      <c r="FR51" s="3">
        <f>ROUND(0.0,2)</f>
        <v/>
      </c>
      <c r="FS51" s="3">
        <f>ROUND(0.0,2)</f>
        <v/>
      </c>
      <c r="FT51" s="3">
        <f>ROUND(0.0,2)</f>
        <v/>
      </c>
      <c r="FU51" s="3">
        <f>ROUND(0.0,2)</f>
        <v/>
      </c>
      <c r="FV51" s="3">
        <f>ROUND(0.0,2)</f>
        <v/>
      </c>
      <c r="FW51" s="4">
        <f>IFERROR((FQ51/FP51),0)</f>
        <v/>
      </c>
      <c r="FX51" s="4">
        <f>IFERROR(((0+FO11+FO12+FO13+FO14+FO15+FO16+FO17+FO19+FO20+FO21+FO22+FO23+FO24+FO25+FO27+FO28+FO29+FO30+FO31+FO32+FO33+FO35+FO36+FO37+FO38+FO39+FO40+FO41+FO43+FO44+FO45+FO46+FO47+FO48+FO49+FO51)/T2),0)</f>
        <v/>
      </c>
      <c r="FY51" s="5">
        <f>IFERROR(ROUND(FO51/FQ51,2),0)</f>
        <v/>
      </c>
      <c r="FZ51" s="5">
        <f>IFERROR(ROUND(FO51/FR51,2),0)</f>
        <v/>
      </c>
      <c r="GA51" s="2" t="inlineStr">
        <is>
          <t>2023-10-25</t>
        </is>
      </c>
      <c r="GB51" s="5">
        <f>ROUND(0.0,2)</f>
        <v/>
      </c>
      <c r="GC51" s="3">
        <f>ROUND(0.0,2)</f>
        <v/>
      </c>
      <c r="GD51" s="3">
        <f>ROUND(0.0,2)</f>
        <v/>
      </c>
      <c r="GE51" s="3">
        <f>ROUND(0.0,2)</f>
        <v/>
      </c>
      <c r="GF51" s="3">
        <f>ROUND(0.0,2)</f>
        <v/>
      </c>
      <c r="GG51" s="3">
        <f>ROUND(0.0,2)</f>
        <v/>
      </c>
      <c r="GH51" s="3">
        <f>ROUND(0.0,2)</f>
        <v/>
      </c>
      <c r="GI51" s="3">
        <f>ROUND(0.0,2)</f>
        <v/>
      </c>
      <c r="GJ51" s="4">
        <f>IFERROR((GD51/GC51),0)</f>
        <v/>
      </c>
      <c r="GK51" s="4">
        <f>IFERROR(((0+GB11+GB12+GB13+GB14+GB15+GB16+GB17+GB19+GB20+GB21+GB22+GB23+GB24+GB25+GB27+GB28+GB29+GB30+GB31+GB32+GB33+GB35+GB36+GB37+GB38+GB39+GB40+GB41+GB43+GB44+GB45+GB46+GB47+GB48+GB49+GB51)/T2),0)</f>
        <v/>
      </c>
      <c r="GL51" s="5">
        <f>IFERROR(ROUND(GB51/GD51,2),0)</f>
        <v/>
      </c>
      <c r="GM51" s="5">
        <f>IFERROR(ROUND(GB51/GE51,2),0)</f>
        <v/>
      </c>
      <c r="GN51" s="2" t="inlineStr">
        <is>
          <t>2023-10-25</t>
        </is>
      </c>
      <c r="GO51" s="5">
        <f>ROUND(0.0,2)</f>
        <v/>
      </c>
      <c r="GP51" s="3">
        <f>ROUND(0.0,2)</f>
        <v/>
      </c>
      <c r="GQ51" s="3">
        <f>ROUND(0.0,2)</f>
        <v/>
      </c>
      <c r="GR51" s="3">
        <f>ROUND(0.0,2)</f>
        <v/>
      </c>
      <c r="GS51" s="3">
        <f>ROUND(0.0,2)</f>
        <v/>
      </c>
      <c r="GT51" s="3">
        <f>ROUND(0.0,2)</f>
        <v/>
      </c>
      <c r="GU51" s="3">
        <f>ROUND(0.0,2)</f>
        <v/>
      </c>
      <c r="GV51" s="3">
        <f>ROUND(0.0,2)</f>
        <v/>
      </c>
      <c r="GW51" s="4">
        <f>IFERROR((GQ51/GP51),0)</f>
        <v/>
      </c>
      <c r="GX51" s="4">
        <f>IFERROR(((0+GO11+GO12+GO13+GO14+GO15+GO16+GO17+GO19+GO20+GO21+GO22+GO23+GO24+GO25+GO27+GO28+GO29+GO30+GO31+GO32+GO33+GO35+GO36+GO37+GO38+GO39+GO40+GO41+GO43+GO44+GO45+GO46+GO47+GO48+GO49+GO51)/T2),0)</f>
        <v/>
      </c>
      <c r="GY51" s="5">
        <f>IFERROR(ROUND(GO51/GQ51,2),0)</f>
        <v/>
      </c>
      <c r="GZ51" s="5">
        <f>IFERROR(ROUND(GO51/GR51,2),0)</f>
        <v/>
      </c>
      <c r="HA51" s="2" t="inlineStr">
        <is>
          <t>2023-10-25</t>
        </is>
      </c>
      <c r="HB51" s="5">
        <f>ROUND(0.0,2)</f>
        <v/>
      </c>
      <c r="HC51" s="3">
        <f>ROUND(0.0,2)</f>
        <v/>
      </c>
      <c r="HD51" s="3">
        <f>ROUND(0.0,2)</f>
        <v/>
      </c>
      <c r="HE51" s="3">
        <f>ROUND(0.0,2)</f>
        <v/>
      </c>
      <c r="HF51" s="3">
        <f>ROUND(0.0,2)</f>
        <v/>
      </c>
      <c r="HG51" s="3">
        <f>ROUND(0.0,2)</f>
        <v/>
      </c>
      <c r="HH51" s="3">
        <f>ROUND(0.0,2)</f>
        <v/>
      </c>
      <c r="HI51" s="3">
        <f>ROUND(0.0,2)</f>
        <v/>
      </c>
      <c r="HJ51" s="4">
        <f>IFERROR((HD51/HC51),0)</f>
        <v/>
      </c>
      <c r="HK51" s="4">
        <f>IFERROR(((0+HB11+HB12+HB13+HB14+HB15+HB16+HB17+HB19+HB20+HB21+HB22+HB23+HB24+HB25+HB27+HB28+HB29+HB30+HB31+HB32+HB33+HB35+HB36+HB37+HB38+HB39+HB40+HB41+HB43+HB44+HB45+HB46+HB47+HB48+HB49+HB51)/T2),0)</f>
        <v/>
      </c>
      <c r="HL51" s="5">
        <f>IFERROR(ROUND(HB51/HD51,2),0)</f>
        <v/>
      </c>
      <c r="HM51" s="5">
        <f>IFERROR(ROUND(HB51/HE51,2),0)</f>
        <v/>
      </c>
      <c r="HN51" s="2" t="inlineStr">
        <is>
          <t>2023-10-25</t>
        </is>
      </c>
      <c r="HO51" s="5">
        <f>ROUND(0.0,2)</f>
        <v/>
      </c>
      <c r="HP51" s="3">
        <f>ROUND(0.0,2)</f>
        <v/>
      </c>
      <c r="HQ51" s="3">
        <f>ROUND(0.0,2)</f>
        <v/>
      </c>
      <c r="HR51" s="3">
        <f>ROUND(0.0,2)</f>
        <v/>
      </c>
      <c r="HS51" s="3">
        <f>ROUND(0.0,2)</f>
        <v/>
      </c>
      <c r="HT51" s="3">
        <f>ROUND(0.0,2)</f>
        <v/>
      </c>
      <c r="HU51" s="3">
        <f>ROUND(0.0,2)</f>
        <v/>
      </c>
      <c r="HV51" s="3">
        <f>ROUND(0.0,2)</f>
        <v/>
      </c>
      <c r="HW51" s="4">
        <f>IFERROR((HQ51/HP51),0)</f>
        <v/>
      </c>
      <c r="HX51" s="4">
        <f>IFERROR(((0+HO11+HO12+HO13+HO14+HO15+HO16+HO17+HO19+HO20+HO21+HO22+HO23+HO24+HO25+HO27+HO28+HO29+HO30+HO31+HO32+HO33+HO35+HO36+HO37+HO38+HO39+HO40+HO41+HO43+HO44+HO45+HO46+HO47+HO48+HO49+HO51)/T2),0)</f>
        <v/>
      </c>
      <c r="HY51" s="5">
        <f>IFERROR(ROUND(HO51/HQ51,2),0)</f>
        <v/>
      </c>
      <c r="HZ51" s="5">
        <f>IFERROR(ROUND(HO51/HR51,2),0)</f>
        <v/>
      </c>
      <c r="IA51" s="2" t="inlineStr">
        <is>
          <t>2023-10-25</t>
        </is>
      </c>
      <c r="IB51" s="5">
        <f>ROUND(0.0,2)</f>
        <v/>
      </c>
      <c r="IC51" s="3">
        <f>ROUND(0.0,2)</f>
        <v/>
      </c>
      <c r="ID51" s="3">
        <f>ROUND(0.0,2)</f>
        <v/>
      </c>
      <c r="IE51" s="3">
        <f>ROUND(0.0,2)</f>
        <v/>
      </c>
      <c r="IF51" s="3">
        <f>ROUND(0.0,2)</f>
        <v/>
      </c>
      <c r="IG51" s="3">
        <f>ROUND(0.0,2)</f>
        <v/>
      </c>
      <c r="IH51" s="3">
        <f>ROUND(0.0,2)</f>
        <v/>
      </c>
      <c r="II51" s="3">
        <f>ROUND(0.0,2)</f>
        <v/>
      </c>
      <c r="IJ51" s="4">
        <f>IFERROR((ID51/IC51),0)</f>
        <v/>
      </c>
      <c r="IK51" s="4">
        <f>IFERROR(((0+IB11+IB12+IB13+IB14+IB15+IB16+IB17+IB19+IB20+IB21+IB22+IB23+IB24+IB25+IB27+IB28+IB29+IB30+IB31+IB32+IB33+IB35+IB36+IB37+IB38+IB39+IB40+IB41+IB43+IB44+IB45+IB46+IB47+IB48+IB49+IB51)/T2),0)</f>
        <v/>
      </c>
      <c r="IL51" s="5">
        <f>IFERROR(ROUND(IB51/ID51,2),0)</f>
        <v/>
      </c>
      <c r="IM51" s="5">
        <f>IFERROR(ROUND(IB51/IE51,2),0)</f>
        <v/>
      </c>
      <c r="IN51" s="2" t="inlineStr">
        <is>
          <t>2023-10-25</t>
        </is>
      </c>
      <c r="IO51" s="5">
        <f>ROUND(0.0,2)</f>
        <v/>
      </c>
      <c r="IP51" s="3">
        <f>ROUND(0.0,2)</f>
        <v/>
      </c>
      <c r="IQ51" s="3">
        <f>ROUND(0.0,2)</f>
        <v/>
      </c>
      <c r="IR51" s="3">
        <f>ROUND(0.0,2)</f>
        <v/>
      </c>
      <c r="IS51" s="3">
        <f>ROUND(0.0,2)</f>
        <v/>
      </c>
      <c r="IT51" s="3">
        <f>ROUND(0.0,2)</f>
        <v/>
      </c>
      <c r="IU51" s="3">
        <f>ROUND(0.0,2)</f>
        <v/>
      </c>
      <c r="IV51" s="3">
        <f>ROUND(0.0,2)</f>
        <v/>
      </c>
      <c r="IW51" s="4">
        <f>IFERROR((IQ51/IP51),0)</f>
        <v/>
      </c>
      <c r="IX51" s="4">
        <f>IFERROR(((0+IO11+IO12+IO13+IO14+IO15+IO16+IO17+IO19+IO20+IO21+IO22+IO23+IO24+IO25+IO27+IO28+IO29+IO30+IO31+IO32+IO33+IO35+IO36+IO37+IO38+IO39+IO40+IO41+IO43+IO44+IO45+IO46+IO47+IO48+IO49+IO51)/T2),0)</f>
        <v/>
      </c>
      <c r="IY51" s="5">
        <f>IFERROR(ROUND(IO51/IQ51,2),0)</f>
        <v/>
      </c>
      <c r="IZ51" s="5">
        <f>IFERROR(ROUND(IO51/IR51,2),0)</f>
        <v/>
      </c>
      <c r="JA51" s="2" t="inlineStr">
        <is>
          <t>2023-10-25</t>
        </is>
      </c>
      <c r="JB51" s="5">
        <f>ROUND(0.0,2)</f>
        <v/>
      </c>
      <c r="JC51" s="3">
        <f>ROUND(0.0,2)</f>
        <v/>
      </c>
      <c r="JD51" s="3">
        <f>ROUND(0.0,2)</f>
        <v/>
      </c>
      <c r="JE51" s="3">
        <f>ROUND(0.0,2)</f>
        <v/>
      </c>
      <c r="JF51" s="3">
        <f>ROUND(0.0,2)</f>
        <v/>
      </c>
      <c r="JG51" s="3">
        <f>ROUND(0.0,2)</f>
        <v/>
      </c>
      <c r="JH51" s="3">
        <f>ROUND(0.0,2)</f>
        <v/>
      </c>
      <c r="JI51" s="3">
        <f>ROUND(0.0,2)</f>
        <v/>
      </c>
      <c r="JJ51" s="4">
        <f>IFERROR((JD51/JC51),0)</f>
        <v/>
      </c>
      <c r="JK51" s="4">
        <f>IFERROR(((0+JB11+JB12+JB13+JB14+JB15+JB16+JB17+JB19+JB20+JB21+JB22+JB23+JB24+JB25+JB27+JB28+JB29+JB30+JB31+JB32+JB33+JB35+JB36+JB37+JB38+JB39+JB40+JB41+JB43+JB44+JB45+JB46+JB47+JB48+JB49+JB51)/T2),0)</f>
        <v/>
      </c>
      <c r="JL51" s="5">
        <f>IFERROR(ROUND(JB51/JD51,2),0)</f>
        <v/>
      </c>
      <c r="JM51" s="5">
        <f>IFERROR(ROUND(JB51/JE51,2),0)</f>
        <v/>
      </c>
      <c r="JN51" s="2" t="inlineStr">
        <is>
          <t>2023-10-25</t>
        </is>
      </c>
      <c r="JO51" s="5">
        <f>ROUND(0.0,2)</f>
        <v/>
      </c>
      <c r="JP51" s="3">
        <f>ROUND(0.0,2)</f>
        <v/>
      </c>
      <c r="JQ51" s="3">
        <f>ROUND(0.0,2)</f>
        <v/>
      </c>
      <c r="JR51" s="3">
        <f>ROUND(0.0,2)</f>
        <v/>
      </c>
      <c r="JS51" s="3">
        <f>ROUND(0.0,2)</f>
        <v/>
      </c>
      <c r="JT51" s="3">
        <f>ROUND(0.0,2)</f>
        <v/>
      </c>
      <c r="JU51" s="3">
        <f>ROUND(0.0,2)</f>
        <v/>
      </c>
      <c r="JV51" s="3">
        <f>ROUND(0.0,2)</f>
        <v/>
      </c>
      <c r="JW51" s="4">
        <f>IFERROR((JQ51/JP51),0)</f>
        <v/>
      </c>
      <c r="JX51" s="4">
        <f>IFERROR(((0+JO11+JO12+JO13+JO14+JO15+JO16+JO17+JO19+JO20+JO21+JO22+JO23+JO24+JO25+JO27+JO28+JO29+JO30+JO31+JO32+JO33+JO35+JO36+JO37+JO38+JO39+JO40+JO41+JO43+JO44+JO45+JO46+JO47+JO48+JO49+JO51)/T2),0)</f>
        <v/>
      </c>
      <c r="JY51" s="5">
        <f>IFERROR(ROUND(JO51/JQ51,2),0)</f>
        <v/>
      </c>
      <c r="JZ51" s="5">
        <f>IFERROR(ROUND(JO51/JR51,2),0)</f>
        <v/>
      </c>
      <c r="KA51" s="2" t="inlineStr">
        <is>
          <t>2023-10-25</t>
        </is>
      </c>
      <c r="KB51" s="5">
        <f>ROUND(0.0,2)</f>
        <v/>
      </c>
      <c r="KC51" s="3">
        <f>ROUND(0.0,2)</f>
        <v/>
      </c>
      <c r="KD51" s="3">
        <f>ROUND(0.0,2)</f>
        <v/>
      </c>
      <c r="KE51" s="3">
        <f>ROUND(0.0,2)</f>
        <v/>
      </c>
      <c r="KF51" s="3">
        <f>ROUND(0.0,2)</f>
        <v/>
      </c>
      <c r="KG51" s="3">
        <f>ROUND(0.0,2)</f>
        <v/>
      </c>
      <c r="KH51" s="3">
        <f>ROUND(0.0,2)</f>
        <v/>
      </c>
      <c r="KI51" s="3">
        <f>ROUND(0.0,2)</f>
        <v/>
      </c>
      <c r="KJ51" s="4">
        <f>IFERROR((KD51/KC51),0)</f>
        <v/>
      </c>
      <c r="KK51" s="4">
        <f>IFERROR(((0+KB11+KB12+KB13+KB14+KB15+KB16+KB17+KB19+KB20+KB21+KB22+KB23+KB24+KB25+KB27+KB28+KB29+KB30+KB31+KB32+KB33+KB35+KB36+KB37+KB38+KB39+KB40+KB41+KB43+KB44+KB45+KB46+KB47+KB48+KB49+KB51)/T2),0)</f>
        <v/>
      </c>
      <c r="KL51" s="5">
        <f>IFERROR(ROUND(KB51/KD51,2),0)</f>
        <v/>
      </c>
      <c r="KM51" s="5">
        <f>IFERROR(ROUND(KB51/KE51,2),0)</f>
        <v/>
      </c>
      <c r="KN51" s="2" t="inlineStr">
        <is>
          <t>2023-10-25</t>
        </is>
      </c>
      <c r="KO51" s="5">
        <f>ROUND(0.0,2)</f>
        <v/>
      </c>
      <c r="KP51" s="3">
        <f>ROUND(0.0,2)</f>
        <v/>
      </c>
      <c r="KQ51" s="3">
        <f>ROUND(0.0,2)</f>
        <v/>
      </c>
      <c r="KR51" s="3">
        <f>ROUND(0.0,2)</f>
        <v/>
      </c>
      <c r="KS51" s="3">
        <f>ROUND(0.0,2)</f>
        <v/>
      </c>
      <c r="KT51" s="3">
        <f>ROUND(0.0,2)</f>
        <v/>
      </c>
      <c r="KU51" s="3">
        <f>ROUND(0.0,2)</f>
        <v/>
      </c>
      <c r="KV51" s="3">
        <f>ROUND(0.0,2)</f>
        <v/>
      </c>
      <c r="KW51" s="4">
        <f>IFERROR((KQ51/KP51),0)</f>
        <v/>
      </c>
      <c r="KX51" s="4">
        <f>IFERROR(((0+KO11+KO12+KO13+KO14+KO15+KO16+KO17+KO19+KO20+KO21+KO22+KO23+KO24+KO25+KO27+KO28+KO29+KO30+KO31+KO32+KO33+KO35+KO36+KO37+KO38+KO39+KO40+KO41+KO43+KO44+KO45+KO46+KO47+KO48+KO49+KO51)/T2),0)</f>
        <v/>
      </c>
      <c r="KY51" s="5">
        <f>IFERROR(ROUND(KO51/KQ51,2),0)</f>
        <v/>
      </c>
      <c r="KZ51" s="5">
        <f>IFERROR(ROUND(KO51/KR51,2),0)</f>
        <v/>
      </c>
      <c r="LA51" s="2" t="inlineStr">
        <is>
          <t>2023-10-25</t>
        </is>
      </c>
      <c r="LB51" s="5">
        <f>ROUND(0.0,2)</f>
        <v/>
      </c>
      <c r="LC51" s="3">
        <f>ROUND(0.0,2)</f>
        <v/>
      </c>
      <c r="LD51" s="3">
        <f>ROUND(0.0,2)</f>
        <v/>
      </c>
      <c r="LE51" s="3">
        <f>ROUND(0.0,2)</f>
        <v/>
      </c>
      <c r="LF51" s="3">
        <f>ROUND(0.0,2)</f>
        <v/>
      </c>
      <c r="LG51" s="3">
        <f>ROUND(0.0,2)</f>
        <v/>
      </c>
      <c r="LH51" s="3">
        <f>ROUND(0.0,2)</f>
        <v/>
      </c>
      <c r="LI51" s="3">
        <f>ROUND(0.0,2)</f>
        <v/>
      </c>
      <c r="LJ51" s="4">
        <f>IFERROR((LD51/LC51),0)</f>
        <v/>
      </c>
      <c r="LK51" s="4">
        <f>IFERROR(((0+LB11+LB12+LB13+LB14+LB15+LB16+LB17+LB19+LB20+LB21+LB22+LB23+LB24+LB25+LB27+LB28+LB29+LB30+LB31+LB32+LB33+LB35+LB36+LB37+LB38+LB39+LB40+LB41+LB43+LB44+LB45+LB46+LB47+LB48+LB49+LB51)/T2),0)</f>
        <v/>
      </c>
      <c r="LL51" s="5">
        <f>IFERROR(ROUND(LB51/LD51,2),0)</f>
        <v/>
      </c>
      <c r="LM51" s="5">
        <f>IFERROR(ROUND(LB51/LE51,2),0)</f>
        <v/>
      </c>
      <c r="LN51" s="2" t="inlineStr">
        <is>
          <t>2023-10-25</t>
        </is>
      </c>
      <c r="LO51" s="5">
        <f>ROUND(0.0,2)</f>
        <v/>
      </c>
      <c r="LP51" s="3">
        <f>ROUND(0.0,2)</f>
        <v/>
      </c>
      <c r="LQ51" s="3">
        <f>ROUND(0.0,2)</f>
        <v/>
      </c>
      <c r="LR51" s="3">
        <f>ROUND(0.0,2)</f>
        <v/>
      </c>
      <c r="LS51" s="3">
        <f>ROUND(0.0,2)</f>
        <v/>
      </c>
      <c r="LT51" s="3">
        <f>ROUND(0.0,2)</f>
        <v/>
      </c>
      <c r="LU51" s="3">
        <f>ROUND(0.0,2)</f>
        <v/>
      </c>
      <c r="LV51" s="3">
        <f>ROUND(0.0,2)</f>
        <v/>
      </c>
      <c r="LW51" s="4">
        <f>IFERROR((LQ51/LP51),0)</f>
        <v/>
      </c>
      <c r="LX51" s="4">
        <f>IFERROR(((0+LO11+LO12+LO13+LO14+LO15+LO16+LO17+LO19+LO20+LO21+LO22+LO23+LO24+LO25+LO27+LO28+LO29+LO30+LO31+LO32+LO33+LO35+LO36+LO37+LO38+LO39+LO40+LO41+LO43+LO44+LO45+LO46+LO47+LO48+LO49+LO51)/T2),0)</f>
        <v/>
      </c>
      <c r="LY51" s="5">
        <f>IFERROR(ROUND(LO51/LQ51,2),0)</f>
        <v/>
      </c>
      <c r="LZ51" s="5">
        <f>IFERROR(ROUND(LO51/LR51,2),0)</f>
        <v/>
      </c>
      <c r="MA51" s="2" t="inlineStr">
        <is>
          <t>2023-10-25</t>
        </is>
      </c>
      <c r="MB51" s="5">
        <f>ROUND(0.0,2)</f>
        <v/>
      </c>
      <c r="MC51" s="3">
        <f>ROUND(0.0,2)</f>
        <v/>
      </c>
      <c r="MD51" s="3">
        <f>ROUND(0.0,2)</f>
        <v/>
      </c>
      <c r="ME51" s="3">
        <f>ROUND(0.0,2)</f>
        <v/>
      </c>
      <c r="MF51" s="3">
        <f>ROUND(0.0,2)</f>
        <v/>
      </c>
      <c r="MG51" s="3">
        <f>ROUND(0.0,2)</f>
        <v/>
      </c>
      <c r="MH51" s="3">
        <f>ROUND(0.0,2)</f>
        <v/>
      </c>
      <c r="MI51" s="3">
        <f>ROUND(0.0,2)</f>
        <v/>
      </c>
      <c r="MJ51" s="4">
        <f>IFERROR((MD51/MC51),0)</f>
        <v/>
      </c>
      <c r="MK51" s="4">
        <f>IFERROR(((0+MB11+MB12+MB13+MB14+MB15+MB16+MB17+MB19+MB20+MB21+MB22+MB23+MB24+MB25+MB27+MB28+MB29+MB30+MB31+MB32+MB33+MB35+MB36+MB37+MB38+MB39+MB40+MB41+MB43+MB44+MB45+MB46+MB47+MB48+MB49+MB51)/T2),0)</f>
        <v/>
      </c>
      <c r="ML51" s="5">
        <f>IFERROR(ROUND(MB51/MD51,2),0)</f>
        <v/>
      </c>
      <c r="MM51" s="5">
        <f>IFERROR(ROUND(MB51/ME51,2),0)</f>
        <v/>
      </c>
      <c r="MN51" s="2" t="inlineStr">
        <is>
          <t>2023-10-25</t>
        </is>
      </c>
      <c r="MO51" s="5">
        <f>ROUND(0.0,2)</f>
        <v/>
      </c>
      <c r="MP51" s="3">
        <f>ROUND(0.0,2)</f>
        <v/>
      </c>
      <c r="MQ51" s="3">
        <f>ROUND(0.0,2)</f>
        <v/>
      </c>
      <c r="MR51" s="3">
        <f>ROUND(0.0,2)</f>
        <v/>
      </c>
      <c r="MS51" s="3">
        <f>ROUND(0.0,2)</f>
        <v/>
      </c>
      <c r="MT51" s="3">
        <f>ROUND(0.0,2)</f>
        <v/>
      </c>
      <c r="MU51" s="3">
        <f>ROUND(0.0,2)</f>
        <v/>
      </c>
      <c r="MV51" s="3">
        <f>ROUND(0.0,2)</f>
        <v/>
      </c>
      <c r="MW51" s="4">
        <f>IFERROR((MQ51/MP51),0)</f>
        <v/>
      </c>
      <c r="MX51" s="4">
        <f>IFERROR(((0+MO11+MO12+MO13+MO14+MO15+MO16+MO17+MO19+MO20+MO21+MO22+MO23+MO24+MO25+MO27+MO28+MO29+MO30+MO31+MO32+MO33+MO35+MO36+MO37+MO38+MO39+MO40+MO41+MO43+MO44+MO45+MO46+MO47+MO48+MO49+MO51)/T2),0)</f>
        <v/>
      </c>
      <c r="MY51" s="5">
        <f>IFERROR(ROUND(MO51/MQ51,2),0)</f>
        <v/>
      </c>
      <c r="MZ51" s="5">
        <f>IFERROR(ROUND(MO51/MR51,2),0)</f>
        <v/>
      </c>
      <c r="NA51" s="2" t="inlineStr">
        <is>
          <t>2023-10-25</t>
        </is>
      </c>
      <c r="NB51" s="5">
        <f>ROUND(0.0,2)</f>
        <v/>
      </c>
      <c r="NC51" s="3">
        <f>ROUND(0.0,2)</f>
        <v/>
      </c>
      <c r="ND51" s="3">
        <f>ROUND(0.0,2)</f>
        <v/>
      </c>
      <c r="NE51" s="3">
        <f>ROUND(0.0,2)</f>
        <v/>
      </c>
      <c r="NF51" s="3">
        <f>ROUND(0.0,2)</f>
        <v/>
      </c>
      <c r="NG51" s="3">
        <f>ROUND(0.0,2)</f>
        <v/>
      </c>
      <c r="NH51" s="3">
        <f>ROUND(0.0,2)</f>
        <v/>
      </c>
      <c r="NI51" s="3">
        <f>ROUND(0.0,2)</f>
        <v/>
      </c>
      <c r="NJ51" s="4">
        <f>IFERROR((ND51/NC51),0)</f>
        <v/>
      </c>
      <c r="NK51" s="4">
        <f>IFERROR(((0+NB11+NB12+NB13+NB14+NB15+NB16+NB17+NB19+NB20+NB21+NB22+NB23+NB24+NB25+NB27+NB28+NB29+NB30+NB31+NB32+NB33+NB35+NB36+NB37+NB38+NB39+NB40+NB41+NB43+NB44+NB45+NB46+NB47+NB48+NB49+NB51)/T2),0)</f>
        <v/>
      </c>
      <c r="NL51" s="5">
        <f>IFERROR(ROUND(NB51/ND51,2),0)</f>
        <v/>
      </c>
      <c r="NM51" s="5">
        <f>IFERROR(ROUND(NB51/NE51,2),0)</f>
        <v/>
      </c>
      <c r="NN51" s="2" t="inlineStr">
        <is>
          <t>2023-10-25</t>
        </is>
      </c>
      <c r="NO51" s="5">
        <f>ROUND(0.0,2)</f>
        <v/>
      </c>
      <c r="NP51" s="3">
        <f>ROUND(0.0,2)</f>
        <v/>
      </c>
      <c r="NQ51" s="3">
        <f>ROUND(0.0,2)</f>
        <v/>
      </c>
      <c r="NR51" s="3">
        <f>ROUND(0.0,2)</f>
        <v/>
      </c>
      <c r="NS51" s="3">
        <f>ROUND(0.0,2)</f>
        <v/>
      </c>
      <c r="NT51" s="3">
        <f>ROUND(0.0,2)</f>
        <v/>
      </c>
      <c r="NU51" s="3">
        <f>ROUND(0.0,2)</f>
        <v/>
      </c>
      <c r="NV51" s="3">
        <f>ROUND(0.0,2)</f>
        <v/>
      </c>
      <c r="NW51" s="4">
        <f>IFERROR((NQ51/NP51),0)</f>
        <v/>
      </c>
      <c r="NX51" s="4">
        <f>IFERROR(((0+NO11+NO12+NO13+NO14+NO15+NO16+NO17+NO19+NO20+NO21+NO22+NO23+NO24+NO25+NO27+NO28+NO29+NO30+NO31+NO32+NO33+NO35+NO36+NO37+NO38+NO39+NO40+NO41+NO43+NO44+NO45+NO46+NO47+NO48+NO49+NO51)/T2),0)</f>
        <v/>
      </c>
      <c r="NY51" s="5">
        <f>IFERROR(ROUND(NO51/NQ51,2),0)</f>
        <v/>
      </c>
      <c r="NZ51" s="5">
        <f>IFERROR(ROUND(NO51/NR51,2),0)</f>
        <v/>
      </c>
      <c r="OA51" s="2" t="inlineStr">
        <is>
          <t>2023-10-25</t>
        </is>
      </c>
      <c r="OB51" s="5">
        <f>ROUND(0.0,2)</f>
        <v/>
      </c>
      <c r="OC51" s="3">
        <f>ROUND(0.0,2)</f>
        <v/>
      </c>
      <c r="OD51" s="3">
        <f>ROUND(0.0,2)</f>
        <v/>
      </c>
      <c r="OE51" s="3">
        <f>ROUND(0.0,2)</f>
        <v/>
      </c>
      <c r="OF51" s="3">
        <f>ROUND(0.0,2)</f>
        <v/>
      </c>
      <c r="OG51" s="3">
        <f>ROUND(0.0,2)</f>
        <v/>
      </c>
      <c r="OH51" s="3">
        <f>ROUND(0.0,2)</f>
        <v/>
      </c>
      <c r="OI51" s="3">
        <f>ROUND(0.0,2)</f>
        <v/>
      </c>
      <c r="OJ51" s="4">
        <f>IFERROR((OD51/OC51),0)</f>
        <v/>
      </c>
      <c r="OK51" s="4">
        <f>IFERROR(((0+OB11+OB12+OB13+OB14+OB15+OB16+OB17+OB19+OB20+OB21+OB22+OB23+OB24+OB25+OB27+OB28+OB29+OB30+OB31+OB32+OB33+OB35+OB36+OB37+OB38+OB39+OB40+OB41+OB43+OB44+OB45+OB46+OB47+OB48+OB49+OB51)/T2),0)</f>
        <v/>
      </c>
      <c r="OL51" s="5">
        <f>IFERROR(ROUND(OB51/OD51,2),0)</f>
        <v/>
      </c>
      <c r="OM51" s="5">
        <f>IFERROR(ROUND(OB51/OE51,2),0)</f>
        <v/>
      </c>
      <c r="ON51" s="2" t="inlineStr">
        <is>
          <t>2023-10-25</t>
        </is>
      </c>
      <c r="OO51" s="5">
        <f>ROUND(0.0,2)</f>
        <v/>
      </c>
      <c r="OP51" s="3">
        <f>ROUND(0.0,2)</f>
        <v/>
      </c>
      <c r="OQ51" s="3">
        <f>ROUND(0.0,2)</f>
        <v/>
      </c>
      <c r="OR51" s="3">
        <f>ROUND(0.0,2)</f>
        <v/>
      </c>
      <c r="OS51" s="3">
        <f>ROUND(0.0,2)</f>
        <v/>
      </c>
      <c r="OT51" s="3">
        <f>ROUND(0.0,2)</f>
        <v/>
      </c>
      <c r="OU51" s="3">
        <f>ROUND(0.0,2)</f>
        <v/>
      </c>
      <c r="OV51" s="3">
        <f>ROUND(0.0,2)</f>
        <v/>
      </c>
      <c r="OW51" s="4">
        <f>IFERROR((OQ51/OP51),0)</f>
        <v/>
      </c>
      <c r="OX51" s="4">
        <f>IFERROR(((0+OO11+OO12+OO13+OO14+OO15+OO16+OO17+OO19+OO20+OO21+OO22+OO23+OO24+OO25+OO27+OO28+OO29+OO30+OO31+OO32+OO33+OO35+OO36+OO37+OO38+OO39+OO40+OO41+OO43+OO44+OO45+OO46+OO47+OO48+OO49+OO51)/T2),0)</f>
        <v/>
      </c>
      <c r="OY51" s="5">
        <f>IFERROR(ROUND(OO51/OQ51,2),0)</f>
        <v/>
      </c>
      <c r="OZ51" s="5">
        <f>IFERROR(ROUND(OO51/OR51,2),0)</f>
        <v/>
      </c>
      <c r="PA51" s="2" t="inlineStr">
        <is>
          <t>2023-10-25</t>
        </is>
      </c>
      <c r="PB51" s="5">
        <f>ROUND(0.0,2)</f>
        <v/>
      </c>
      <c r="PC51" s="3">
        <f>ROUND(0.0,2)</f>
        <v/>
      </c>
      <c r="PD51" s="3">
        <f>ROUND(0.0,2)</f>
        <v/>
      </c>
      <c r="PE51" s="3">
        <f>ROUND(0.0,2)</f>
        <v/>
      </c>
      <c r="PF51" s="3">
        <f>ROUND(0.0,2)</f>
        <v/>
      </c>
      <c r="PG51" s="3">
        <f>ROUND(0.0,2)</f>
        <v/>
      </c>
      <c r="PH51" s="3">
        <f>ROUND(0.0,2)</f>
        <v/>
      </c>
      <c r="PI51" s="3">
        <f>ROUND(0.0,2)</f>
        <v/>
      </c>
      <c r="PJ51" s="4">
        <f>IFERROR((PD51/PC51),0)</f>
        <v/>
      </c>
      <c r="PK51" s="4">
        <f>IFERROR(((0+PB11+PB12+PB13+PB14+PB15+PB16+PB17+PB19+PB20+PB21+PB22+PB23+PB24+PB25+PB27+PB28+PB29+PB30+PB31+PB32+PB33+PB35+PB36+PB37+PB38+PB39+PB40+PB41+PB43+PB44+PB45+PB46+PB47+PB48+PB49+PB51)/T2),0)</f>
        <v/>
      </c>
      <c r="PL51" s="5">
        <f>IFERROR(ROUND(PB51/PD51,2),0)</f>
        <v/>
      </c>
      <c r="PM51" s="5">
        <f>IFERROR(ROUND(PB51/PE51,2),0)</f>
        <v/>
      </c>
      <c r="PN51" s="2" t="inlineStr">
        <is>
          <t>2023-10-25</t>
        </is>
      </c>
      <c r="PO51" s="5">
        <f>ROUND(0.0,2)</f>
        <v/>
      </c>
      <c r="PP51" s="3">
        <f>ROUND(0.0,2)</f>
        <v/>
      </c>
      <c r="PQ51" s="3">
        <f>ROUND(0.0,2)</f>
        <v/>
      </c>
      <c r="PR51" s="3">
        <f>ROUND(0.0,2)</f>
        <v/>
      </c>
      <c r="PS51" s="3">
        <f>ROUND(0.0,2)</f>
        <v/>
      </c>
      <c r="PT51" s="3">
        <f>ROUND(0.0,2)</f>
        <v/>
      </c>
      <c r="PU51" s="3">
        <f>ROUND(0.0,2)</f>
        <v/>
      </c>
      <c r="PV51" s="3">
        <f>ROUND(0.0,2)</f>
        <v/>
      </c>
      <c r="PW51" s="4">
        <f>IFERROR((PQ51/PP51),0)</f>
        <v/>
      </c>
      <c r="PX51" s="4">
        <f>IFERROR(((0+PO11+PO12+PO13+PO14+PO15+PO16+PO17+PO19+PO20+PO21+PO22+PO23+PO24+PO25+PO27+PO28+PO29+PO30+PO31+PO32+PO33+PO35+PO36+PO37+PO38+PO39+PO40+PO41+PO43+PO44+PO45+PO46+PO47+PO48+PO49+PO51)/T2),0)</f>
        <v/>
      </c>
      <c r="PY51" s="5">
        <f>IFERROR(ROUND(PO51/PQ51,2),0)</f>
        <v/>
      </c>
      <c r="PZ51" s="5">
        <f>IFERROR(ROUND(PO51/PR51,2),0)</f>
        <v/>
      </c>
      <c r="QA51" s="2" t="inlineStr">
        <is>
          <t>2023-10-25</t>
        </is>
      </c>
      <c r="QB51" s="5">
        <f>ROUND(0.0,2)</f>
        <v/>
      </c>
      <c r="QC51" s="3">
        <f>ROUND(0.0,2)</f>
        <v/>
      </c>
      <c r="QD51" s="3">
        <f>ROUND(0.0,2)</f>
        <v/>
      </c>
      <c r="QE51" s="3">
        <f>ROUND(0.0,2)</f>
        <v/>
      </c>
      <c r="QF51" s="3">
        <f>ROUND(0.0,2)</f>
        <v/>
      </c>
      <c r="QG51" s="3">
        <f>ROUND(0.0,2)</f>
        <v/>
      </c>
      <c r="QH51" s="3">
        <f>ROUND(0.0,2)</f>
        <v/>
      </c>
      <c r="QI51" s="3">
        <f>ROUND(0.0,2)</f>
        <v/>
      </c>
      <c r="QJ51" s="4">
        <f>IFERROR((QD51/QC51),0)</f>
        <v/>
      </c>
      <c r="QK51" s="4">
        <f>IFERROR(((0+QB11+QB12+QB13+QB14+QB15+QB16+QB17+QB19+QB20+QB21+QB22+QB23+QB24+QB25+QB27+QB28+QB29+QB30+QB31+QB32+QB33+QB35+QB36+QB37+QB38+QB39+QB40+QB41+QB43+QB44+QB45+QB46+QB47+QB48+QB49+QB51)/T2),0)</f>
        <v/>
      </c>
      <c r="QL51" s="5">
        <f>IFERROR(ROUND(QB51/QD51,2),0)</f>
        <v/>
      </c>
      <c r="QM51" s="5">
        <f>IFERROR(ROUND(QB51/QE51,2),0)</f>
        <v/>
      </c>
      <c r="QN51" s="2" t="inlineStr">
        <is>
          <t>2023-10-25</t>
        </is>
      </c>
      <c r="QO51" s="5">
        <f>ROUND(0.0,2)</f>
        <v/>
      </c>
      <c r="QP51" s="3">
        <f>ROUND(0.0,2)</f>
        <v/>
      </c>
      <c r="QQ51" s="3">
        <f>ROUND(0.0,2)</f>
        <v/>
      </c>
      <c r="QR51" s="3">
        <f>ROUND(0.0,2)</f>
        <v/>
      </c>
      <c r="QS51" s="3">
        <f>ROUND(0.0,2)</f>
        <v/>
      </c>
      <c r="QT51" s="3">
        <f>ROUND(0.0,2)</f>
        <v/>
      </c>
      <c r="QU51" s="3">
        <f>ROUND(0.0,2)</f>
        <v/>
      </c>
      <c r="QV51" s="3">
        <f>ROUND(0.0,2)</f>
        <v/>
      </c>
      <c r="QW51" s="4">
        <f>IFERROR((QQ51/QP51),0)</f>
        <v/>
      </c>
      <c r="QX51" s="4">
        <f>IFERROR(((0+QO11+QO12+QO13+QO14+QO15+QO16+QO17+QO19+QO20+QO21+QO22+QO23+QO24+QO25+QO27+QO28+QO29+QO30+QO31+QO32+QO33+QO35+QO36+QO37+QO38+QO39+QO40+QO41+QO43+QO44+QO45+QO46+QO47+QO48+QO49+QO51)/T2),0)</f>
        <v/>
      </c>
      <c r="QY51" s="5">
        <f>IFERROR(ROUND(QO51/QQ51,2),0)</f>
        <v/>
      </c>
      <c r="QZ51" s="5">
        <f>IFERROR(ROUND(QO51/QR51,2),0)</f>
        <v/>
      </c>
      <c r="RA51" s="2" t="inlineStr">
        <is>
          <t>2023-10-25</t>
        </is>
      </c>
      <c r="RB51" s="5">
        <f>ROUND(0.0,2)</f>
        <v/>
      </c>
      <c r="RC51" s="3">
        <f>ROUND(0.0,2)</f>
        <v/>
      </c>
      <c r="RD51" s="3">
        <f>ROUND(0.0,2)</f>
        <v/>
      </c>
      <c r="RE51" s="3">
        <f>ROUND(0.0,2)</f>
        <v/>
      </c>
      <c r="RF51" s="3">
        <f>ROUND(0.0,2)</f>
        <v/>
      </c>
      <c r="RG51" s="3">
        <f>ROUND(0.0,2)</f>
        <v/>
      </c>
      <c r="RH51" s="3">
        <f>ROUND(0.0,2)</f>
        <v/>
      </c>
      <c r="RI51" s="3">
        <f>ROUND(0.0,2)</f>
        <v/>
      </c>
      <c r="RJ51" s="4">
        <f>IFERROR((RD51/RC51),0)</f>
        <v/>
      </c>
      <c r="RK51" s="4">
        <f>IFERROR(((0+RB11+RB12+RB13+RB14+RB15+RB16+RB17+RB19+RB20+RB21+RB22+RB23+RB24+RB25+RB27+RB28+RB29+RB30+RB31+RB32+RB33+RB35+RB36+RB37+RB38+RB39+RB40+RB41+RB43+RB44+RB45+RB46+RB47+RB48+RB49+RB51)/T2),0)</f>
        <v/>
      </c>
      <c r="RL51" s="5">
        <f>IFERROR(ROUND(RB51/RD51,2),0)</f>
        <v/>
      </c>
      <c r="RM51" s="5">
        <f>IFERROR(ROUND(RB51/RE51,2),0)</f>
        <v/>
      </c>
      <c r="RN51" s="2" t="inlineStr">
        <is>
          <t>2023-10-25</t>
        </is>
      </c>
      <c r="RO51" s="5">
        <f>ROUND(0.0,2)</f>
        <v/>
      </c>
      <c r="RP51" s="3">
        <f>ROUND(0.0,2)</f>
        <v/>
      </c>
      <c r="RQ51" s="3">
        <f>ROUND(0.0,2)</f>
        <v/>
      </c>
      <c r="RR51" s="3">
        <f>ROUND(0.0,2)</f>
        <v/>
      </c>
      <c r="RS51" s="3">
        <f>ROUND(0.0,2)</f>
        <v/>
      </c>
      <c r="RT51" s="3">
        <f>ROUND(0.0,2)</f>
        <v/>
      </c>
      <c r="RU51" s="3">
        <f>ROUND(0.0,2)</f>
        <v/>
      </c>
      <c r="RV51" s="3">
        <f>ROUND(0.0,2)</f>
        <v/>
      </c>
      <c r="RW51" s="4">
        <f>IFERROR((RQ51/RP51),0)</f>
        <v/>
      </c>
      <c r="RX51" s="4">
        <f>IFERROR(((0+RO11+RO12+RO13+RO14+RO15+RO16+RO17+RO19+RO20+RO21+RO22+RO23+RO24+RO25+RO27+RO28+RO29+RO30+RO31+RO32+RO33+RO35+RO36+RO37+RO38+RO39+RO40+RO41+RO43+RO44+RO45+RO46+RO47+RO48+RO49+RO51)/T2),0)</f>
        <v/>
      </c>
      <c r="RY51" s="5">
        <f>IFERROR(ROUND(RO51/RQ51,2),0)</f>
        <v/>
      </c>
      <c r="RZ51" s="5">
        <f>IFERROR(ROUND(RO51/RR51,2),0)</f>
        <v/>
      </c>
      <c r="SA51" s="2" t="inlineStr">
        <is>
          <t>2023-10-25</t>
        </is>
      </c>
      <c r="SB51" s="5">
        <f>ROUND(0.0,2)</f>
        <v/>
      </c>
      <c r="SC51" s="3">
        <f>ROUND(0.0,2)</f>
        <v/>
      </c>
      <c r="SD51" s="3">
        <f>ROUND(0.0,2)</f>
        <v/>
      </c>
      <c r="SE51" s="3">
        <f>ROUND(0.0,2)</f>
        <v/>
      </c>
      <c r="SF51" s="3">
        <f>ROUND(0.0,2)</f>
        <v/>
      </c>
      <c r="SG51" s="3">
        <f>ROUND(0.0,2)</f>
        <v/>
      </c>
      <c r="SH51" s="3">
        <f>ROUND(0.0,2)</f>
        <v/>
      </c>
      <c r="SI51" s="3">
        <f>ROUND(0.0,2)</f>
        <v/>
      </c>
      <c r="SJ51" s="4">
        <f>IFERROR((SD51/SC51),0)</f>
        <v/>
      </c>
      <c r="SK51" s="4">
        <f>IFERROR(((0+SB11+SB12+SB13+SB14+SB15+SB16+SB17+SB19+SB20+SB21+SB22+SB23+SB24+SB25+SB27+SB28+SB29+SB30+SB31+SB32+SB33+SB35+SB36+SB37+SB38+SB39+SB40+SB41+SB43+SB44+SB45+SB46+SB47+SB48+SB49+SB51)/T2),0)</f>
        <v/>
      </c>
      <c r="SL51" s="5">
        <f>IFERROR(ROUND(SB51/SD51,2),0)</f>
        <v/>
      </c>
      <c r="SM51" s="5">
        <f>IFERROR(ROUND(SB51/SE51,2),0)</f>
        <v/>
      </c>
      <c r="SN51" s="2" t="inlineStr">
        <is>
          <t>2023-10-25</t>
        </is>
      </c>
      <c r="SO51" s="5">
        <f>ROUND(0.0,2)</f>
        <v/>
      </c>
      <c r="SP51" s="3">
        <f>ROUND(0.0,2)</f>
        <v/>
      </c>
      <c r="SQ51" s="3">
        <f>ROUND(0.0,2)</f>
        <v/>
      </c>
      <c r="SR51" s="3">
        <f>ROUND(0.0,2)</f>
        <v/>
      </c>
      <c r="SS51" s="3">
        <f>ROUND(0.0,2)</f>
        <v/>
      </c>
      <c r="ST51" s="3">
        <f>ROUND(0.0,2)</f>
        <v/>
      </c>
      <c r="SU51" s="3">
        <f>ROUND(0.0,2)</f>
        <v/>
      </c>
      <c r="SV51" s="3">
        <f>ROUND(0.0,2)</f>
        <v/>
      </c>
      <c r="SW51" s="4">
        <f>IFERROR((SQ51/SP51),0)</f>
        <v/>
      </c>
      <c r="SX51" s="4">
        <f>IFERROR(((0+SO11+SO12+SO13+SO14+SO15+SO16+SO17+SO19+SO20+SO21+SO22+SO23+SO24+SO25+SO27+SO28+SO29+SO30+SO31+SO32+SO33+SO35+SO36+SO37+SO38+SO39+SO40+SO41+SO43+SO44+SO45+SO46+SO47+SO48+SO49+SO51)/T2),0)</f>
        <v/>
      </c>
      <c r="SY51" s="5">
        <f>IFERROR(ROUND(SO51/SQ51,2),0)</f>
        <v/>
      </c>
      <c r="SZ51" s="5">
        <f>IFERROR(ROUND(SO51/SR51,2),0)</f>
        <v/>
      </c>
    </row>
    <row r="52">
      <c r="A52" s="2" t="inlineStr">
        <is>
          <t>2023-10-26</t>
        </is>
      </c>
      <c r="B52" s="5">
        <f>ROUND(0.0,2)</f>
        <v/>
      </c>
      <c r="C52" s="3">
        <f>ROUND(0.0,2)</f>
        <v/>
      </c>
      <c r="D52" s="3">
        <f>ROUND(0.0,2)</f>
        <v/>
      </c>
      <c r="E52" s="3">
        <f>ROUND(0.0,2)</f>
        <v/>
      </c>
      <c r="F52" s="3">
        <f>ROUND(0.0,2)</f>
        <v/>
      </c>
      <c r="G52" s="3">
        <f>ROUND(0.0,2)</f>
        <v/>
      </c>
      <c r="H52" s="3">
        <f>ROUND(0.0,2)</f>
        <v/>
      </c>
      <c r="I52" s="3">
        <f>ROUND(0.0,2)</f>
        <v/>
      </c>
      <c r="J52" s="4">
        <f>IFERROR((D52/C52),0)</f>
        <v/>
      </c>
      <c r="K52" s="4">
        <f>IFERROR(((0+B11+B12+B13+B14+B15+B16+B17+B19+B20+B21+B22+B23+B24+B25+B27+B28+B29+B30+B31+B32+B33+B35+B36+B37+B38+B39+B40+B41+B43+B44+B45+B46+B47+B48+B49+B51+B52)/T2),0)</f>
        <v/>
      </c>
      <c r="L52" s="5">
        <f>IFERROR(ROUND(B52/D52,2),0)</f>
        <v/>
      </c>
      <c r="M52" s="5">
        <f>IFERROR(ROUND(B52/E52,2),0)</f>
        <v/>
      </c>
      <c r="N52" s="2" t="inlineStr">
        <is>
          <t>2023-10-26</t>
        </is>
      </c>
      <c r="O52" s="5">
        <f>ROUND(0.0,2)</f>
        <v/>
      </c>
      <c r="P52" s="3">
        <f>ROUND(0.0,2)</f>
        <v/>
      </c>
      <c r="Q52" s="3">
        <f>ROUND(0.0,2)</f>
        <v/>
      </c>
      <c r="R52" s="3">
        <f>ROUND(0.0,2)</f>
        <v/>
      </c>
      <c r="S52" s="3">
        <f>ROUND(0.0,2)</f>
        <v/>
      </c>
      <c r="T52" s="3">
        <f>ROUND(0.0,2)</f>
        <v/>
      </c>
      <c r="U52" s="3">
        <f>ROUND(0.0,2)</f>
        <v/>
      </c>
      <c r="V52" s="3">
        <f>ROUND(0.0,2)</f>
        <v/>
      </c>
      <c r="W52" s="4">
        <f>IFERROR((Q52/P52),0)</f>
        <v/>
      </c>
      <c r="X52" s="4">
        <f>IFERROR(((0+O11+O12+O13+O14+O15+O16+O17+O19+O20+O21+O22+O23+O24+O25+O27+O28+O29+O30+O31+O32+O33+O35+O36+O37+O38+O39+O40+O41+O43+O44+O45+O46+O47+O48+O49+O51+O52)/T2),0)</f>
        <v/>
      </c>
      <c r="Y52" s="5">
        <f>IFERROR(ROUND(O52/Q52,2),0)</f>
        <v/>
      </c>
      <c r="Z52" s="5">
        <f>IFERROR(ROUND(O52/R52,2),0)</f>
        <v/>
      </c>
      <c r="AA52" s="2" t="inlineStr">
        <is>
          <t>2023-10-26</t>
        </is>
      </c>
      <c r="AB52" s="5">
        <f>ROUND(0.0,2)</f>
        <v/>
      </c>
      <c r="AC52" s="3">
        <f>ROUND(0.0,2)</f>
        <v/>
      </c>
      <c r="AD52" s="3">
        <f>ROUND(0.0,2)</f>
        <v/>
      </c>
      <c r="AE52" s="3">
        <f>ROUND(0.0,2)</f>
        <v/>
      </c>
      <c r="AF52" s="3">
        <f>ROUND(0.0,2)</f>
        <v/>
      </c>
      <c r="AG52" s="3">
        <f>ROUND(0.0,2)</f>
        <v/>
      </c>
      <c r="AH52" s="3">
        <f>ROUND(0.0,2)</f>
        <v/>
      </c>
      <c r="AI52" s="3">
        <f>ROUND(0.0,2)</f>
        <v/>
      </c>
      <c r="AJ52" s="4">
        <f>IFERROR((AD52/AC52),0)</f>
        <v/>
      </c>
      <c r="AK52" s="4">
        <f>IFERROR(((0+AB11+AB12+AB13+AB14+AB15+AB16+AB17+AB19+AB20+AB21+AB22+AB23+AB24+AB25+AB27+AB28+AB29+AB30+AB31+AB32+AB33+AB35+AB36+AB37+AB38+AB39+AB40+AB41+AB43+AB44+AB45+AB46+AB47+AB48+AB49+AB51+AB52)/T2),0)</f>
        <v/>
      </c>
      <c r="AL52" s="5">
        <f>IFERROR(ROUND(AB52/AD52,2),0)</f>
        <v/>
      </c>
      <c r="AM52" s="5">
        <f>IFERROR(ROUND(AB52/AE52,2),0)</f>
        <v/>
      </c>
      <c r="AN52" s="2" t="inlineStr">
        <is>
          <t>2023-10-26</t>
        </is>
      </c>
      <c r="AO52" s="5">
        <f>ROUND(0.0,2)</f>
        <v/>
      </c>
      <c r="AP52" s="3">
        <f>ROUND(0.0,2)</f>
        <v/>
      </c>
      <c r="AQ52" s="3">
        <f>ROUND(0.0,2)</f>
        <v/>
      </c>
      <c r="AR52" s="3">
        <f>ROUND(0.0,2)</f>
        <v/>
      </c>
      <c r="AS52" s="3">
        <f>ROUND(0.0,2)</f>
        <v/>
      </c>
      <c r="AT52" s="3">
        <f>ROUND(0.0,2)</f>
        <v/>
      </c>
      <c r="AU52" s="3">
        <f>ROUND(0.0,2)</f>
        <v/>
      </c>
      <c r="AV52" s="3">
        <f>ROUND(0.0,2)</f>
        <v/>
      </c>
      <c r="AW52" s="4">
        <f>IFERROR((AQ52/AP52),0)</f>
        <v/>
      </c>
      <c r="AX52" s="4">
        <f>IFERROR(((0+AO11+AO12+AO13+AO14+AO15+AO16+AO17+AO19+AO20+AO21+AO22+AO23+AO24+AO25+AO27+AO28+AO29+AO30+AO31+AO32+AO33+AO35+AO36+AO37+AO38+AO39+AO40+AO41+AO43+AO44+AO45+AO46+AO47+AO48+AO49+AO51+AO52)/T2),0)</f>
        <v/>
      </c>
      <c r="AY52" s="5">
        <f>IFERROR(ROUND(AO52/AQ52,2),0)</f>
        <v/>
      </c>
      <c r="AZ52" s="5">
        <f>IFERROR(ROUND(AO52/AR52,2),0)</f>
        <v/>
      </c>
      <c r="BA52" s="2" t="inlineStr">
        <is>
          <t>2023-10-26</t>
        </is>
      </c>
      <c r="BB52" s="5">
        <f>ROUND(0.0,2)</f>
        <v/>
      </c>
      <c r="BC52" s="3">
        <f>ROUND(0.0,2)</f>
        <v/>
      </c>
      <c r="BD52" s="3">
        <f>ROUND(0.0,2)</f>
        <v/>
      </c>
      <c r="BE52" s="3">
        <f>ROUND(0.0,2)</f>
        <v/>
      </c>
      <c r="BF52" s="3">
        <f>ROUND(0.0,2)</f>
        <v/>
      </c>
      <c r="BG52" s="3">
        <f>ROUND(0.0,2)</f>
        <v/>
      </c>
      <c r="BH52" s="3">
        <f>ROUND(0.0,2)</f>
        <v/>
      </c>
      <c r="BI52" s="3">
        <f>ROUND(0.0,2)</f>
        <v/>
      </c>
      <c r="BJ52" s="4">
        <f>IFERROR((BD52/BC52),0)</f>
        <v/>
      </c>
      <c r="BK52" s="4">
        <f>IFERROR(((0+BB11+BB12+BB13+BB14+BB15+BB16+BB17+BB19+BB20+BB21+BB22+BB23+BB24+BB25+BB27+BB28+BB29+BB30+BB31+BB32+BB33+BB35+BB36+BB37+BB38+BB39+BB40+BB41+BB43+BB44+BB45+BB46+BB47+BB48+BB49+BB51+BB52)/T2),0)</f>
        <v/>
      </c>
      <c r="BL52" s="5">
        <f>IFERROR(ROUND(BB52/BD52,2),0)</f>
        <v/>
      </c>
      <c r="BM52" s="5">
        <f>IFERROR(ROUND(BB52/BE52,2),0)</f>
        <v/>
      </c>
      <c r="BN52" s="2" t="inlineStr">
        <is>
          <t>2023-10-26</t>
        </is>
      </c>
      <c r="BO52" s="5">
        <f>ROUND(0.0,2)</f>
        <v/>
      </c>
      <c r="BP52" s="3">
        <f>ROUND(0.0,2)</f>
        <v/>
      </c>
      <c r="BQ52" s="3">
        <f>ROUND(0.0,2)</f>
        <v/>
      </c>
      <c r="BR52" s="3">
        <f>ROUND(0.0,2)</f>
        <v/>
      </c>
      <c r="BS52" s="3">
        <f>ROUND(0.0,2)</f>
        <v/>
      </c>
      <c r="BT52" s="3">
        <f>ROUND(0.0,2)</f>
        <v/>
      </c>
      <c r="BU52" s="3">
        <f>ROUND(0.0,2)</f>
        <v/>
      </c>
      <c r="BV52" s="3">
        <f>ROUND(0.0,2)</f>
        <v/>
      </c>
      <c r="BW52" s="4">
        <f>IFERROR((BQ52/BP52),0)</f>
        <v/>
      </c>
      <c r="BX52" s="4">
        <f>IFERROR(((0+BO11+BO12+BO13+BO14+BO15+BO16+BO17+BO19+BO20+BO21+BO22+BO23+BO24+BO25+BO27+BO28+BO29+BO30+BO31+BO32+BO33+BO35+BO36+BO37+BO38+BO39+BO40+BO41+BO43+BO44+BO45+BO46+BO47+BO48+BO49+BO51+BO52)/T2),0)</f>
        <v/>
      </c>
      <c r="BY52" s="5">
        <f>IFERROR(ROUND(BO52/BQ52,2),0)</f>
        <v/>
      </c>
      <c r="BZ52" s="5">
        <f>IFERROR(ROUND(BO52/BR52,2),0)</f>
        <v/>
      </c>
      <c r="CA52" s="2" t="inlineStr">
        <is>
          <t>2023-10-26</t>
        </is>
      </c>
      <c r="CB52" s="5">
        <f>ROUND(0.0,2)</f>
        <v/>
      </c>
      <c r="CC52" s="3">
        <f>ROUND(0.0,2)</f>
        <v/>
      </c>
      <c r="CD52" s="3">
        <f>ROUND(0.0,2)</f>
        <v/>
      </c>
      <c r="CE52" s="3">
        <f>ROUND(0.0,2)</f>
        <v/>
      </c>
      <c r="CF52" s="3">
        <f>ROUND(0.0,2)</f>
        <v/>
      </c>
      <c r="CG52" s="3">
        <f>ROUND(0.0,2)</f>
        <v/>
      </c>
      <c r="CH52" s="3">
        <f>ROUND(0.0,2)</f>
        <v/>
      </c>
      <c r="CI52" s="3">
        <f>ROUND(0.0,2)</f>
        <v/>
      </c>
      <c r="CJ52" s="4">
        <f>IFERROR((CD52/CC52),0)</f>
        <v/>
      </c>
      <c r="CK52" s="4">
        <f>IFERROR(((0+CB11+CB12+CB13+CB14+CB15+CB16+CB17+CB19+CB20+CB21+CB22+CB23+CB24+CB25+CB27+CB28+CB29+CB30+CB31+CB32+CB33+CB35+CB36+CB37+CB38+CB39+CB40+CB41+CB43+CB44+CB45+CB46+CB47+CB48+CB49+CB51+CB52)/T2),0)</f>
        <v/>
      </c>
      <c r="CL52" s="5">
        <f>IFERROR(ROUND(CB52/CD52,2),0)</f>
        <v/>
      </c>
      <c r="CM52" s="5">
        <f>IFERROR(ROUND(CB52/CE52,2),0)</f>
        <v/>
      </c>
      <c r="CN52" s="2" t="inlineStr">
        <is>
          <t>2023-10-26</t>
        </is>
      </c>
      <c r="CO52" s="5">
        <f>ROUND(0.0,2)</f>
        <v/>
      </c>
      <c r="CP52" s="3">
        <f>ROUND(0.0,2)</f>
        <v/>
      </c>
      <c r="CQ52" s="3">
        <f>ROUND(0.0,2)</f>
        <v/>
      </c>
      <c r="CR52" s="3">
        <f>ROUND(0.0,2)</f>
        <v/>
      </c>
      <c r="CS52" s="3">
        <f>ROUND(0.0,2)</f>
        <v/>
      </c>
      <c r="CT52" s="3">
        <f>ROUND(0.0,2)</f>
        <v/>
      </c>
      <c r="CU52" s="3">
        <f>ROUND(0.0,2)</f>
        <v/>
      </c>
      <c r="CV52" s="3">
        <f>ROUND(0.0,2)</f>
        <v/>
      </c>
      <c r="CW52" s="4">
        <f>IFERROR((CQ52/CP52),0)</f>
        <v/>
      </c>
      <c r="CX52" s="4">
        <f>IFERROR(((0+CO11+CO12+CO13+CO14+CO15+CO16+CO17+CO19+CO20+CO21+CO22+CO23+CO24+CO25+CO27+CO28+CO29+CO30+CO31+CO32+CO33+CO35+CO36+CO37+CO38+CO39+CO40+CO41+CO43+CO44+CO45+CO46+CO47+CO48+CO49+CO51+CO52)/T2),0)</f>
        <v/>
      </c>
      <c r="CY52" s="5">
        <f>IFERROR(ROUND(CO52/CQ52,2),0)</f>
        <v/>
      </c>
      <c r="CZ52" s="5">
        <f>IFERROR(ROUND(CO52/CR52,2),0)</f>
        <v/>
      </c>
      <c r="DA52" s="2" t="inlineStr">
        <is>
          <t>2023-10-26</t>
        </is>
      </c>
      <c r="DB52" s="5">
        <f>ROUND(0.0,2)</f>
        <v/>
      </c>
      <c r="DC52" s="3">
        <f>ROUND(0.0,2)</f>
        <v/>
      </c>
      <c r="DD52" s="3">
        <f>ROUND(0.0,2)</f>
        <v/>
      </c>
      <c r="DE52" s="3">
        <f>ROUND(0.0,2)</f>
        <v/>
      </c>
      <c r="DF52" s="3">
        <f>ROUND(0.0,2)</f>
        <v/>
      </c>
      <c r="DG52" s="3">
        <f>ROUND(0.0,2)</f>
        <v/>
      </c>
      <c r="DH52" s="3">
        <f>ROUND(0.0,2)</f>
        <v/>
      </c>
      <c r="DI52" s="3">
        <f>ROUND(0.0,2)</f>
        <v/>
      </c>
      <c r="DJ52" s="4">
        <f>IFERROR((DD52/DC52),0)</f>
        <v/>
      </c>
      <c r="DK52" s="4">
        <f>IFERROR(((0+DB11+DB12+DB13+DB14+DB15+DB16+DB17+DB19+DB20+DB21+DB22+DB23+DB24+DB25+DB27+DB28+DB29+DB30+DB31+DB32+DB33+DB35+DB36+DB37+DB38+DB39+DB40+DB41+DB43+DB44+DB45+DB46+DB47+DB48+DB49+DB51+DB52)/T2),0)</f>
        <v/>
      </c>
      <c r="DL52" s="5">
        <f>IFERROR(ROUND(DB52/DD52,2),0)</f>
        <v/>
      </c>
      <c r="DM52" s="5">
        <f>IFERROR(ROUND(DB52/DE52,2),0)</f>
        <v/>
      </c>
      <c r="DN52" s="2" t="inlineStr">
        <is>
          <t>2023-10-26</t>
        </is>
      </c>
      <c r="DO52" s="5">
        <f>ROUND(0.0,2)</f>
        <v/>
      </c>
      <c r="DP52" s="3">
        <f>ROUND(0.0,2)</f>
        <v/>
      </c>
      <c r="DQ52" s="3">
        <f>ROUND(0.0,2)</f>
        <v/>
      </c>
      <c r="DR52" s="3">
        <f>ROUND(0.0,2)</f>
        <v/>
      </c>
      <c r="DS52" s="3">
        <f>ROUND(0.0,2)</f>
        <v/>
      </c>
      <c r="DT52" s="3">
        <f>ROUND(0.0,2)</f>
        <v/>
      </c>
      <c r="DU52" s="3">
        <f>ROUND(0.0,2)</f>
        <v/>
      </c>
      <c r="DV52" s="3">
        <f>ROUND(0.0,2)</f>
        <v/>
      </c>
      <c r="DW52" s="4">
        <f>IFERROR((DQ52/DP52),0)</f>
        <v/>
      </c>
      <c r="DX52" s="4">
        <f>IFERROR(((0+DO11+DO12+DO13+DO14+DO15+DO16+DO17+DO19+DO20+DO21+DO22+DO23+DO24+DO25+DO27+DO28+DO29+DO30+DO31+DO32+DO33+DO35+DO36+DO37+DO38+DO39+DO40+DO41+DO43+DO44+DO45+DO46+DO47+DO48+DO49+DO51+DO52)/T2),0)</f>
        <v/>
      </c>
      <c r="DY52" s="5">
        <f>IFERROR(ROUND(DO52/DQ52,2),0)</f>
        <v/>
      </c>
      <c r="DZ52" s="5">
        <f>IFERROR(ROUND(DO52/DR52,2),0)</f>
        <v/>
      </c>
      <c r="EA52" s="2" t="inlineStr">
        <is>
          <t>2023-10-26</t>
        </is>
      </c>
      <c r="EB52" s="5">
        <f>ROUND(0.0,2)</f>
        <v/>
      </c>
      <c r="EC52" s="3">
        <f>ROUND(0.0,2)</f>
        <v/>
      </c>
      <c r="ED52" s="3">
        <f>ROUND(0.0,2)</f>
        <v/>
      </c>
      <c r="EE52" s="3">
        <f>ROUND(0.0,2)</f>
        <v/>
      </c>
      <c r="EF52" s="3">
        <f>ROUND(0.0,2)</f>
        <v/>
      </c>
      <c r="EG52" s="3">
        <f>ROUND(0.0,2)</f>
        <v/>
      </c>
      <c r="EH52" s="3">
        <f>ROUND(0.0,2)</f>
        <v/>
      </c>
      <c r="EI52" s="3">
        <f>ROUND(0.0,2)</f>
        <v/>
      </c>
      <c r="EJ52" s="4">
        <f>IFERROR((ED52/EC52),0)</f>
        <v/>
      </c>
      <c r="EK52" s="4">
        <f>IFERROR(((0+EB11+EB12+EB13+EB14+EB15+EB16+EB17+EB19+EB20+EB21+EB22+EB23+EB24+EB25+EB27+EB28+EB29+EB30+EB31+EB32+EB33+EB35+EB36+EB37+EB38+EB39+EB40+EB41+EB43+EB44+EB45+EB46+EB47+EB48+EB49+EB51+EB52)/T2),0)</f>
        <v/>
      </c>
      <c r="EL52" s="5">
        <f>IFERROR(ROUND(EB52/ED52,2),0)</f>
        <v/>
      </c>
      <c r="EM52" s="5">
        <f>IFERROR(ROUND(EB52/EE52,2),0)</f>
        <v/>
      </c>
      <c r="EN52" s="2" t="inlineStr">
        <is>
          <t>2023-10-26</t>
        </is>
      </c>
      <c r="EO52" s="5">
        <f>ROUND(0.0,2)</f>
        <v/>
      </c>
      <c r="EP52" s="3">
        <f>ROUND(0.0,2)</f>
        <v/>
      </c>
      <c r="EQ52" s="3">
        <f>ROUND(0.0,2)</f>
        <v/>
      </c>
      <c r="ER52" s="3">
        <f>ROUND(0.0,2)</f>
        <v/>
      </c>
      <c r="ES52" s="3">
        <f>ROUND(0.0,2)</f>
        <v/>
      </c>
      <c r="ET52" s="3">
        <f>ROUND(0.0,2)</f>
        <v/>
      </c>
      <c r="EU52" s="3">
        <f>ROUND(0.0,2)</f>
        <v/>
      </c>
      <c r="EV52" s="3">
        <f>ROUND(0.0,2)</f>
        <v/>
      </c>
      <c r="EW52" s="4">
        <f>IFERROR((EQ52/EP52),0)</f>
        <v/>
      </c>
      <c r="EX52" s="4">
        <f>IFERROR(((0+EO11+EO12+EO13+EO14+EO15+EO16+EO17+EO19+EO20+EO21+EO22+EO23+EO24+EO25+EO27+EO28+EO29+EO30+EO31+EO32+EO33+EO35+EO36+EO37+EO38+EO39+EO40+EO41+EO43+EO44+EO45+EO46+EO47+EO48+EO49+EO51+EO52)/T2),0)</f>
        <v/>
      </c>
      <c r="EY52" s="5">
        <f>IFERROR(ROUND(EO52/EQ52,2),0)</f>
        <v/>
      </c>
      <c r="EZ52" s="5">
        <f>IFERROR(ROUND(EO52/ER52,2),0)</f>
        <v/>
      </c>
      <c r="FA52" s="2" t="inlineStr">
        <is>
          <t>2023-10-26</t>
        </is>
      </c>
      <c r="FB52" s="5">
        <f>ROUND(0.0,2)</f>
        <v/>
      </c>
      <c r="FC52" s="3">
        <f>ROUND(0.0,2)</f>
        <v/>
      </c>
      <c r="FD52" s="3">
        <f>ROUND(0.0,2)</f>
        <v/>
      </c>
      <c r="FE52" s="3">
        <f>ROUND(0.0,2)</f>
        <v/>
      </c>
      <c r="FF52" s="3">
        <f>ROUND(0.0,2)</f>
        <v/>
      </c>
      <c r="FG52" s="3">
        <f>ROUND(0.0,2)</f>
        <v/>
      </c>
      <c r="FH52" s="3">
        <f>ROUND(0.0,2)</f>
        <v/>
      </c>
      <c r="FI52" s="3">
        <f>ROUND(0.0,2)</f>
        <v/>
      </c>
      <c r="FJ52" s="4">
        <f>IFERROR((FD52/FC52),0)</f>
        <v/>
      </c>
      <c r="FK52" s="4">
        <f>IFERROR(((0+FB11+FB12+FB13+FB14+FB15+FB16+FB17+FB19+FB20+FB21+FB22+FB23+FB24+FB25+FB27+FB28+FB29+FB30+FB31+FB32+FB33+FB35+FB36+FB37+FB38+FB39+FB40+FB41+FB43+FB44+FB45+FB46+FB47+FB48+FB49+FB51+FB52)/T2),0)</f>
        <v/>
      </c>
      <c r="FL52" s="5">
        <f>IFERROR(ROUND(FB52/FD52,2),0)</f>
        <v/>
      </c>
      <c r="FM52" s="5">
        <f>IFERROR(ROUND(FB52/FE52,2),0)</f>
        <v/>
      </c>
      <c r="FN52" s="2" t="inlineStr">
        <is>
          <t>2023-10-26</t>
        </is>
      </c>
      <c r="FO52" s="5">
        <f>ROUND(0.0,2)</f>
        <v/>
      </c>
      <c r="FP52" s="3">
        <f>ROUND(0.0,2)</f>
        <v/>
      </c>
      <c r="FQ52" s="3">
        <f>ROUND(0.0,2)</f>
        <v/>
      </c>
      <c r="FR52" s="3">
        <f>ROUND(0.0,2)</f>
        <v/>
      </c>
      <c r="FS52" s="3">
        <f>ROUND(0.0,2)</f>
        <v/>
      </c>
      <c r="FT52" s="3">
        <f>ROUND(0.0,2)</f>
        <v/>
      </c>
      <c r="FU52" s="3">
        <f>ROUND(0.0,2)</f>
        <v/>
      </c>
      <c r="FV52" s="3">
        <f>ROUND(0.0,2)</f>
        <v/>
      </c>
      <c r="FW52" s="4">
        <f>IFERROR((FQ52/FP52),0)</f>
        <v/>
      </c>
      <c r="FX52" s="4">
        <f>IFERROR(((0+FO11+FO12+FO13+FO14+FO15+FO16+FO17+FO19+FO20+FO21+FO22+FO23+FO24+FO25+FO27+FO28+FO29+FO30+FO31+FO32+FO33+FO35+FO36+FO37+FO38+FO39+FO40+FO41+FO43+FO44+FO45+FO46+FO47+FO48+FO49+FO51+FO52)/T2),0)</f>
        <v/>
      </c>
      <c r="FY52" s="5">
        <f>IFERROR(ROUND(FO52/FQ52,2),0)</f>
        <v/>
      </c>
      <c r="FZ52" s="5">
        <f>IFERROR(ROUND(FO52/FR52,2),0)</f>
        <v/>
      </c>
      <c r="GA52" s="2" t="inlineStr">
        <is>
          <t>2023-10-26</t>
        </is>
      </c>
      <c r="GB52" s="5">
        <f>ROUND(0.0,2)</f>
        <v/>
      </c>
      <c r="GC52" s="3">
        <f>ROUND(0.0,2)</f>
        <v/>
      </c>
      <c r="GD52" s="3">
        <f>ROUND(0.0,2)</f>
        <v/>
      </c>
      <c r="GE52" s="3">
        <f>ROUND(0.0,2)</f>
        <v/>
      </c>
      <c r="GF52" s="3">
        <f>ROUND(0.0,2)</f>
        <v/>
      </c>
      <c r="GG52" s="3">
        <f>ROUND(0.0,2)</f>
        <v/>
      </c>
      <c r="GH52" s="3">
        <f>ROUND(0.0,2)</f>
        <v/>
      </c>
      <c r="GI52" s="3">
        <f>ROUND(0.0,2)</f>
        <v/>
      </c>
      <c r="GJ52" s="4">
        <f>IFERROR((GD52/GC52),0)</f>
        <v/>
      </c>
      <c r="GK52" s="4">
        <f>IFERROR(((0+GB11+GB12+GB13+GB14+GB15+GB16+GB17+GB19+GB20+GB21+GB22+GB23+GB24+GB25+GB27+GB28+GB29+GB30+GB31+GB32+GB33+GB35+GB36+GB37+GB38+GB39+GB40+GB41+GB43+GB44+GB45+GB46+GB47+GB48+GB49+GB51+GB52)/T2),0)</f>
        <v/>
      </c>
      <c r="GL52" s="5">
        <f>IFERROR(ROUND(GB52/GD52,2),0)</f>
        <v/>
      </c>
      <c r="GM52" s="5">
        <f>IFERROR(ROUND(GB52/GE52,2),0)</f>
        <v/>
      </c>
      <c r="GN52" s="2" t="inlineStr">
        <is>
          <t>2023-10-26</t>
        </is>
      </c>
      <c r="GO52" s="5">
        <f>ROUND(0.0,2)</f>
        <v/>
      </c>
      <c r="GP52" s="3">
        <f>ROUND(0.0,2)</f>
        <v/>
      </c>
      <c r="GQ52" s="3">
        <f>ROUND(0.0,2)</f>
        <v/>
      </c>
      <c r="GR52" s="3">
        <f>ROUND(0.0,2)</f>
        <v/>
      </c>
      <c r="GS52" s="3">
        <f>ROUND(0.0,2)</f>
        <v/>
      </c>
      <c r="GT52" s="3">
        <f>ROUND(0.0,2)</f>
        <v/>
      </c>
      <c r="GU52" s="3">
        <f>ROUND(0.0,2)</f>
        <v/>
      </c>
      <c r="GV52" s="3">
        <f>ROUND(0.0,2)</f>
        <v/>
      </c>
      <c r="GW52" s="4">
        <f>IFERROR((GQ52/GP52),0)</f>
        <v/>
      </c>
      <c r="GX52" s="4">
        <f>IFERROR(((0+GO11+GO12+GO13+GO14+GO15+GO16+GO17+GO19+GO20+GO21+GO22+GO23+GO24+GO25+GO27+GO28+GO29+GO30+GO31+GO32+GO33+GO35+GO36+GO37+GO38+GO39+GO40+GO41+GO43+GO44+GO45+GO46+GO47+GO48+GO49+GO51+GO52)/T2),0)</f>
        <v/>
      </c>
      <c r="GY52" s="5">
        <f>IFERROR(ROUND(GO52/GQ52,2),0)</f>
        <v/>
      </c>
      <c r="GZ52" s="5">
        <f>IFERROR(ROUND(GO52/GR52,2),0)</f>
        <v/>
      </c>
      <c r="HA52" s="2" t="inlineStr">
        <is>
          <t>2023-10-26</t>
        </is>
      </c>
      <c r="HB52" s="5">
        <f>ROUND(0.0,2)</f>
        <v/>
      </c>
      <c r="HC52" s="3">
        <f>ROUND(0.0,2)</f>
        <v/>
      </c>
      <c r="HD52" s="3">
        <f>ROUND(0.0,2)</f>
        <v/>
      </c>
      <c r="HE52" s="3">
        <f>ROUND(0.0,2)</f>
        <v/>
      </c>
      <c r="HF52" s="3">
        <f>ROUND(0.0,2)</f>
        <v/>
      </c>
      <c r="HG52" s="3">
        <f>ROUND(0.0,2)</f>
        <v/>
      </c>
      <c r="HH52" s="3">
        <f>ROUND(0.0,2)</f>
        <v/>
      </c>
      <c r="HI52" s="3">
        <f>ROUND(0.0,2)</f>
        <v/>
      </c>
      <c r="HJ52" s="4">
        <f>IFERROR((HD52/HC52),0)</f>
        <v/>
      </c>
      <c r="HK52" s="4">
        <f>IFERROR(((0+HB11+HB12+HB13+HB14+HB15+HB16+HB17+HB19+HB20+HB21+HB22+HB23+HB24+HB25+HB27+HB28+HB29+HB30+HB31+HB32+HB33+HB35+HB36+HB37+HB38+HB39+HB40+HB41+HB43+HB44+HB45+HB46+HB47+HB48+HB49+HB51+HB52)/T2),0)</f>
        <v/>
      </c>
      <c r="HL52" s="5">
        <f>IFERROR(ROUND(HB52/HD52,2),0)</f>
        <v/>
      </c>
      <c r="HM52" s="5">
        <f>IFERROR(ROUND(HB52/HE52,2),0)</f>
        <v/>
      </c>
      <c r="HN52" s="2" t="inlineStr">
        <is>
          <t>2023-10-26</t>
        </is>
      </c>
      <c r="HO52" s="5">
        <f>ROUND(0.0,2)</f>
        <v/>
      </c>
      <c r="HP52" s="3">
        <f>ROUND(0.0,2)</f>
        <v/>
      </c>
      <c r="HQ52" s="3">
        <f>ROUND(0.0,2)</f>
        <v/>
      </c>
      <c r="HR52" s="3">
        <f>ROUND(0.0,2)</f>
        <v/>
      </c>
      <c r="HS52" s="3">
        <f>ROUND(0.0,2)</f>
        <v/>
      </c>
      <c r="HT52" s="3">
        <f>ROUND(0.0,2)</f>
        <v/>
      </c>
      <c r="HU52" s="3">
        <f>ROUND(0.0,2)</f>
        <v/>
      </c>
      <c r="HV52" s="3">
        <f>ROUND(0.0,2)</f>
        <v/>
      </c>
      <c r="HW52" s="4">
        <f>IFERROR((HQ52/HP52),0)</f>
        <v/>
      </c>
      <c r="HX52" s="4">
        <f>IFERROR(((0+HO11+HO12+HO13+HO14+HO15+HO16+HO17+HO19+HO20+HO21+HO22+HO23+HO24+HO25+HO27+HO28+HO29+HO30+HO31+HO32+HO33+HO35+HO36+HO37+HO38+HO39+HO40+HO41+HO43+HO44+HO45+HO46+HO47+HO48+HO49+HO51+HO52)/T2),0)</f>
        <v/>
      </c>
      <c r="HY52" s="5">
        <f>IFERROR(ROUND(HO52/HQ52,2),0)</f>
        <v/>
      </c>
      <c r="HZ52" s="5">
        <f>IFERROR(ROUND(HO52/HR52,2),0)</f>
        <v/>
      </c>
      <c r="IA52" s="2" t="inlineStr">
        <is>
          <t>2023-10-26</t>
        </is>
      </c>
      <c r="IB52" s="5">
        <f>ROUND(0.0,2)</f>
        <v/>
      </c>
      <c r="IC52" s="3">
        <f>ROUND(0.0,2)</f>
        <v/>
      </c>
      <c r="ID52" s="3">
        <f>ROUND(0.0,2)</f>
        <v/>
      </c>
      <c r="IE52" s="3">
        <f>ROUND(0.0,2)</f>
        <v/>
      </c>
      <c r="IF52" s="3">
        <f>ROUND(0.0,2)</f>
        <v/>
      </c>
      <c r="IG52" s="3">
        <f>ROUND(0.0,2)</f>
        <v/>
      </c>
      <c r="IH52" s="3">
        <f>ROUND(0.0,2)</f>
        <v/>
      </c>
      <c r="II52" s="3">
        <f>ROUND(0.0,2)</f>
        <v/>
      </c>
      <c r="IJ52" s="4">
        <f>IFERROR((ID52/IC52),0)</f>
        <v/>
      </c>
      <c r="IK52" s="4">
        <f>IFERROR(((0+IB11+IB12+IB13+IB14+IB15+IB16+IB17+IB19+IB20+IB21+IB22+IB23+IB24+IB25+IB27+IB28+IB29+IB30+IB31+IB32+IB33+IB35+IB36+IB37+IB38+IB39+IB40+IB41+IB43+IB44+IB45+IB46+IB47+IB48+IB49+IB51+IB52)/T2),0)</f>
        <v/>
      </c>
      <c r="IL52" s="5">
        <f>IFERROR(ROUND(IB52/ID52,2),0)</f>
        <v/>
      </c>
      <c r="IM52" s="5">
        <f>IFERROR(ROUND(IB52/IE52,2),0)</f>
        <v/>
      </c>
      <c r="IN52" s="2" t="inlineStr">
        <is>
          <t>2023-10-26</t>
        </is>
      </c>
      <c r="IO52" s="5">
        <f>ROUND(0.0,2)</f>
        <v/>
      </c>
      <c r="IP52" s="3">
        <f>ROUND(0.0,2)</f>
        <v/>
      </c>
      <c r="IQ52" s="3">
        <f>ROUND(0.0,2)</f>
        <v/>
      </c>
      <c r="IR52" s="3">
        <f>ROUND(0.0,2)</f>
        <v/>
      </c>
      <c r="IS52" s="3">
        <f>ROUND(0.0,2)</f>
        <v/>
      </c>
      <c r="IT52" s="3">
        <f>ROUND(0.0,2)</f>
        <v/>
      </c>
      <c r="IU52" s="3">
        <f>ROUND(0.0,2)</f>
        <v/>
      </c>
      <c r="IV52" s="3">
        <f>ROUND(0.0,2)</f>
        <v/>
      </c>
      <c r="IW52" s="4">
        <f>IFERROR((IQ52/IP52),0)</f>
        <v/>
      </c>
      <c r="IX52" s="4">
        <f>IFERROR(((0+IO11+IO12+IO13+IO14+IO15+IO16+IO17+IO19+IO20+IO21+IO22+IO23+IO24+IO25+IO27+IO28+IO29+IO30+IO31+IO32+IO33+IO35+IO36+IO37+IO38+IO39+IO40+IO41+IO43+IO44+IO45+IO46+IO47+IO48+IO49+IO51+IO52)/T2),0)</f>
        <v/>
      </c>
      <c r="IY52" s="5">
        <f>IFERROR(ROUND(IO52/IQ52,2),0)</f>
        <v/>
      </c>
      <c r="IZ52" s="5">
        <f>IFERROR(ROUND(IO52/IR52,2),0)</f>
        <v/>
      </c>
      <c r="JA52" s="2" t="inlineStr">
        <is>
          <t>2023-10-26</t>
        </is>
      </c>
      <c r="JB52" s="5">
        <f>ROUND(0.0,2)</f>
        <v/>
      </c>
      <c r="JC52" s="3">
        <f>ROUND(0.0,2)</f>
        <v/>
      </c>
      <c r="JD52" s="3">
        <f>ROUND(0.0,2)</f>
        <v/>
      </c>
      <c r="JE52" s="3">
        <f>ROUND(0.0,2)</f>
        <v/>
      </c>
      <c r="JF52" s="3">
        <f>ROUND(0.0,2)</f>
        <v/>
      </c>
      <c r="JG52" s="3">
        <f>ROUND(0.0,2)</f>
        <v/>
      </c>
      <c r="JH52" s="3">
        <f>ROUND(0.0,2)</f>
        <v/>
      </c>
      <c r="JI52" s="3">
        <f>ROUND(0.0,2)</f>
        <v/>
      </c>
      <c r="JJ52" s="4">
        <f>IFERROR((JD52/JC52),0)</f>
        <v/>
      </c>
      <c r="JK52" s="4">
        <f>IFERROR(((0+JB11+JB12+JB13+JB14+JB15+JB16+JB17+JB19+JB20+JB21+JB22+JB23+JB24+JB25+JB27+JB28+JB29+JB30+JB31+JB32+JB33+JB35+JB36+JB37+JB38+JB39+JB40+JB41+JB43+JB44+JB45+JB46+JB47+JB48+JB49+JB51+JB52)/T2),0)</f>
        <v/>
      </c>
      <c r="JL52" s="5">
        <f>IFERROR(ROUND(JB52/JD52,2),0)</f>
        <v/>
      </c>
      <c r="JM52" s="5">
        <f>IFERROR(ROUND(JB52/JE52,2),0)</f>
        <v/>
      </c>
      <c r="JN52" s="2" t="inlineStr">
        <is>
          <t>2023-10-26</t>
        </is>
      </c>
      <c r="JO52" s="5">
        <f>ROUND(0.0,2)</f>
        <v/>
      </c>
      <c r="JP52" s="3">
        <f>ROUND(0.0,2)</f>
        <v/>
      </c>
      <c r="JQ52" s="3">
        <f>ROUND(0.0,2)</f>
        <v/>
      </c>
      <c r="JR52" s="3">
        <f>ROUND(0.0,2)</f>
        <v/>
      </c>
      <c r="JS52" s="3">
        <f>ROUND(0.0,2)</f>
        <v/>
      </c>
      <c r="JT52" s="3">
        <f>ROUND(0.0,2)</f>
        <v/>
      </c>
      <c r="JU52" s="3">
        <f>ROUND(0.0,2)</f>
        <v/>
      </c>
      <c r="JV52" s="3">
        <f>ROUND(0.0,2)</f>
        <v/>
      </c>
      <c r="JW52" s="4">
        <f>IFERROR((JQ52/JP52),0)</f>
        <v/>
      </c>
      <c r="JX52" s="4">
        <f>IFERROR(((0+JO11+JO12+JO13+JO14+JO15+JO16+JO17+JO19+JO20+JO21+JO22+JO23+JO24+JO25+JO27+JO28+JO29+JO30+JO31+JO32+JO33+JO35+JO36+JO37+JO38+JO39+JO40+JO41+JO43+JO44+JO45+JO46+JO47+JO48+JO49+JO51+JO52)/T2),0)</f>
        <v/>
      </c>
      <c r="JY52" s="5">
        <f>IFERROR(ROUND(JO52/JQ52,2),0)</f>
        <v/>
      </c>
      <c r="JZ52" s="5">
        <f>IFERROR(ROUND(JO52/JR52,2),0)</f>
        <v/>
      </c>
      <c r="KA52" s="2" t="inlineStr">
        <is>
          <t>2023-10-26</t>
        </is>
      </c>
      <c r="KB52" s="5">
        <f>ROUND(0.0,2)</f>
        <v/>
      </c>
      <c r="KC52" s="3">
        <f>ROUND(0.0,2)</f>
        <v/>
      </c>
      <c r="KD52" s="3">
        <f>ROUND(0.0,2)</f>
        <v/>
      </c>
      <c r="KE52" s="3">
        <f>ROUND(0.0,2)</f>
        <v/>
      </c>
      <c r="KF52" s="3">
        <f>ROUND(0.0,2)</f>
        <v/>
      </c>
      <c r="KG52" s="3">
        <f>ROUND(0.0,2)</f>
        <v/>
      </c>
      <c r="KH52" s="3">
        <f>ROUND(0.0,2)</f>
        <v/>
      </c>
      <c r="KI52" s="3">
        <f>ROUND(0.0,2)</f>
        <v/>
      </c>
      <c r="KJ52" s="4">
        <f>IFERROR((KD52/KC52),0)</f>
        <v/>
      </c>
      <c r="KK52" s="4">
        <f>IFERROR(((0+KB11+KB12+KB13+KB14+KB15+KB16+KB17+KB19+KB20+KB21+KB22+KB23+KB24+KB25+KB27+KB28+KB29+KB30+KB31+KB32+KB33+KB35+KB36+KB37+KB38+KB39+KB40+KB41+KB43+KB44+KB45+KB46+KB47+KB48+KB49+KB51+KB52)/T2),0)</f>
        <v/>
      </c>
      <c r="KL52" s="5">
        <f>IFERROR(ROUND(KB52/KD52,2),0)</f>
        <v/>
      </c>
      <c r="KM52" s="5">
        <f>IFERROR(ROUND(KB52/KE52,2),0)</f>
        <v/>
      </c>
      <c r="KN52" s="2" t="inlineStr">
        <is>
          <t>2023-10-26</t>
        </is>
      </c>
      <c r="KO52" s="5">
        <f>ROUND(0.0,2)</f>
        <v/>
      </c>
      <c r="KP52" s="3">
        <f>ROUND(0.0,2)</f>
        <v/>
      </c>
      <c r="KQ52" s="3">
        <f>ROUND(0.0,2)</f>
        <v/>
      </c>
      <c r="KR52" s="3">
        <f>ROUND(0.0,2)</f>
        <v/>
      </c>
      <c r="KS52" s="3">
        <f>ROUND(0.0,2)</f>
        <v/>
      </c>
      <c r="KT52" s="3">
        <f>ROUND(0.0,2)</f>
        <v/>
      </c>
      <c r="KU52" s="3">
        <f>ROUND(0.0,2)</f>
        <v/>
      </c>
      <c r="KV52" s="3">
        <f>ROUND(0.0,2)</f>
        <v/>
      </c>
      <c r="KW52" s="4">
        <f>IFERROR((KQ52/KP52),0)</f>
        <v/>
      </c>
      <c r="KX52" s="4">
        <f>IFERROR(((0+KO11+KO12+KO13+KO14+KO15+KO16+KO17+KO19+KO20+KO21+KO22+KO23+KO24+KO25+KO27+KO28+KO29+KO30+KO31+KO32+KO33+KO35+KO36+KO37+KO38+KO39+KO40+KO41+KO43+KO44+KO45+KO46+KO47+KO48+KO49+KO51+KO52)/T2),0)</f>
        <v/>
      </c>
      <c r="KY52" s="5">
        <f>IFERROR(ROUND(KO52/KQ52,2),0)</f>
        <v/>
      </c>
      <c r="KZ52" s="5">
        <f>IFERROR(ROUND(KO52/KR52,2),0)</f>
        <v/>
      </c>
      <c r="LA52" s="2" t="inlineStr">
        <is>
          <t>2023-10-26</t>
        </is>
      </c>
      <c r="LB52" s="5">
        <f>ROUND(0.0,2)</f>
        <v/>
      </c>
      <c r="LC52" s="3">
        <f>ROUND(0.0,2)</f>
        <v/>
      </c>
      <c r="LD52" s="3">
        <f>ROUND(0.0,2)</f>
        <v/>
      </c>
      <c r="LE52" s="3">
        <f>ROUND(0.0,2)</f>
        <v/>
      </c>
      <c r="LF52" s="3">
        <f>ROUND(0.0,2)</f>
        <v/>
      </c>
      <c r="LG52" s="3">
        <f>ROUND(0.0,2)</f>
        <v/>
      </c>
      <c r="LH52" s="3">
        <f>ROUND(0.0,2)</f>
        <v/>
      </c>
      <c r="LI52" s="3">
        <f>ROUND(0.0,2)</f>
        <v/>
      </c>
      <c r="LJ52" s="4">
        <f>IFERROR((LD52/LC52),0)</f>
        <v/>
      </c>
      <c r="LK52" s="4">
        <f>IFERROR(((0+LB11+LB12+LB13+LB14+LB15+LB16+LB17+LB19+LB20+LB21+LB22+LB23+LB24+LB25+LB27+LB28+LB29+LB30+LB31+LB32+LB33+LB35+LB36+LB37+LB38+LB39+LB40+LB41+LB43+LB44+LB45+LB46+LB47+LB48+LB49+LB51+LB52)/T2),0)</f>
        <v/>
      </c>
      <c r="LL52" s="5">
        <f>IFERROR(ROUND(LB52/LD52,2),0)</f>
        <v/>
      </c>
      <c r="LM52" s="5">
        <f>IFERROR(ROUND(LB52/LE52,2),0)</f>
        <v/>
      </c>
      <c r="LN52" s="2" t="inlineStr">
        <is>
          <t>2023-10-26</t>
        </is>
      </c>
      <c r="LO52" s="5">
        <f>ROUND(0.0,2)</f>
        <v/>
      </c>
      <c r="LP52" s="3">
        <f>ROUND(0.0,2)</f>
        <v/>
      </c>
      <c r="LQ52" s="3">
        <f>ROUND(0.0,2)</f>
        <v/>
      </c>
      <c r="LR52" s="3">
        <f>ROUND(0.0,2)</f>
        <v/>
      </c>
      <c r="LS52" s="3">
        <f>ROUND(0.0,2)</f>
        <v/>
      </c>
      <c r="LT52" s="3">
        <f>ROUND(0.0,2)</f>
        <v/>
      </c>
      <c r="LU52" s="3">
        <f>ROUND(0.0,2)</f>
        <v/>
      </c>
      <c r="LV52" s="3">
        <f>ROUND(0.0,2)</f>
        <v/>
      </c>
      <c r="LW52" s="4">
        <f>IFERROR((LQ52/LP52),0)</f>
        <v/>
      </c>
      <c r="LX52" s="4">
        <f>IFERROR(((0+LO11+LO12+LO13+LO14+LO15+LO16+LO17+LO19+LO20+LO21+LO22+LO23+LO24+LO25+LO27+LO28+LO29+LO30+LO31+LO32+LO33+LO35+LO36+LO37+LO38+LO39+LO40+LO41+LO43+LO44+LO45+LO46+LO47+LO48+LO49+LO51+LO52)/T2),0)</f>
        <v/>
      </c>
      <c r="LY52" s="5">
        <f>IFERROR(ROUND(LO52/LQ52,2),0)</f>
        <v/>
      </c>
      <c r="LZ52" s="5">
        <f>IFERROR(ROUND(LO52/LR52,2),0)</f>
        <v/>
      </c>
      <c r="MA52" s="2" t="inlineStr">
        <is>
          <t>2023-10-26</t>
        </is>
      </c>
      <c r="MB52" s="5">
        <f>ROUND(0.0,2)</f>
        <v/>
      </c>
      <c r="MC52" s="3">
        <f>ROUND(0.0,2)</f>
        <v/>
      </c>
      <c r="MD52" s="3">
        <f>ROUND(0.0,2)</f>
        <v/>
      </c>
      <c r="ME52" s="3">
        <f>ROUND(0.0,2)</f>
        <v/>
      </c>
      <c r="MF52" s="3">
        <f>ROUND(0.0,2)</f>
        <v/>
      </c>
      <c r="MG52" s="3">
        <f>ROUND(0.0,2)</f>
        <v/>
      </c>
      <c r="MH52" s="3">
        <f>ROUND(0.0,2)</f>
        <v/>
      </c>
      <c r="MI52" s="3">
        <f>ROUND(0.0,2)</f>
        <v/>
      </c>
      <c r="MJ52" s="4">
        <f>IFERROR((MD52/MC52),0)</f>
        <v/>
      </c>
      <c r="MK52" s="4">
        <f>IFERROR(((0+MB11+MB12+MB13+MB14+MB15+MB16+MB17+MB19+MB20+MB21+MB22+MB23+MB24+MB25+MB27+MB28+MB29+MB30+MB31+MB32+MB33+MB35+MB36+MB37+MB38+MB39+MB40+MB41+MB43+MB44+MB45+MB46+MB47+MB48+MB49+MB51+MB52)/T2),0)</f>
        <v/>
      </c>
      <c r="ML52" s="5">
        <f>IFERROR(ROUND(MB52/MD52,2),0)</f>
        <v/>
      </c>
      <c r="MM52" s="5">
        <f>IFERROR(ROUND(MB52/ME52,2),0)</f>
        <v/>
      </c>
      <c r="MN52" s="2" t="inlineStr">
        <is>
          <t>2023-10-26</t>
        </is>
      </c>
      <c r="MO52" s="5">
        <f>ROUND(0.0,2)</f>
        <v/>
      </c>
      <c r="MP52" s="3">
        <f>ROUND(0.0,2)</f>
        <v/>
      </c>
      <c r="MQ52" s="3">
        <f>ROUND(0.0,2)</f>
        <v/>
      </c>
      <c r="MR52" s="3">
        <f>ROUND(0.0,2)</f>
        <v/>
      </c>
      <c r="MS52" s="3">
        <f>ROUND(0.0,2)</f>
        <v/>
      </c>
      <c r="MT52" s="3">
        <f>ROUND(0.0,2)</f>
        <v/>
      </c>
      <c r="MU52" s="3">
        <f>ROUND(0.0,2)</f>
        <v/>
      </c>
      <c r="MV52" s="3">
        <f>ROUND(0.0,2)</f>
        <v/>
      </c>
      <c r="MW52" s="4">
        <f>IFERROR((MQ52/MP52),0)</f>
        <v/>
      </c>
      <c r="MX52" s="4">
        <f>IFERROR(((0+MO11+MO12+MO13+MO14+MO15+MO16+MO17+MO19+MO20+MO21+MO22+MO23+MO24+MO25+MO27+MO28+MO29+MO30+MO31+MO32+MO33+MO35+MO36+MO37+MO38+MO39+MO40+MO41+MO43+MO44+MO45+MO46+MO47+MO48+MO49+MO51+MO52)/T2),0)</f>
        <v/>
      </c>
      <c r="MY52" s="5">
        <f>IFERROR(ROUND(MO52/MQ52,2),0)</f>
        <v/>
      </c>
      <c r="MZ52" s="5">
        <f>IFERROR(ROUND(MO52/MR52,2),0)</f>
        <v/>
      </c>
      <c r="NA52" s="2" t="inlineStr">
        <is>
          <t>2023-10-26</t>
        </is>
      </c>
      <c r="NB52" s="5">
        <f>ROUND(0.0,2)</f>
        <v/>
      </c>
      <c r="NC52" s="3">
        <f>ROUND(0.0,2)</f>
        <v/>
      </c>
      <c r="ND52" s="3">
        <f>ROUND(0.0,2)</f>
        <v/>
      </c>
      <c r="NE52" s="3">
        <f>ROUND(0.0,2)</f>
        <v/>
      </c>
      <c r="NF52" s="3">
        <f>ROUND(0.0,2)</f>
        <v/>
      </c>
      <c r="NG52" s="3">
        <f>ROUND(0.0,2)</f>
        <v/>
      </c>
      <c r="NH52" s="3">
        <f>ROUND(0.0,2)</f>
        <v/>
      </c>
      <c r="NI52" s="3">
        <f>ROUND(0.0,2)</f>
        <v/>
      </c>
      <c r="NJ52" s="4">
        <f>IFERROR((ND52/NC52),0)</f>
        <v/>
      </c>
      <c r="NK52" s="4">
        <f>IFERROR(((0+NB11+NB12+NB13+NB14+NB15+NB16+NB17+NB19+NB20+NB21+NB22+NB23+NB24+NB25+NB27+NB28+NB29+NB30+NB31+NB32+NB33+NB35+NB36+NB37+NB38+NB39+NB40+NB41+NB43+NB44+NB45+NB46+NB47+NB48+NB49+NB51+NB52)/T2),0)</f>
        <v/>
      </c>
      <c r="NL52" s="5">
        <f>IFERROR(ROUND(NB52/ND52,2),0)</f>
        <v/>
      </c>
      <c r="NM52" s="5">
        <f>IFERROR(ROUND(NB52/NE52,2),0)</f>
        <v/>
      </c>
      <c r="NN52" s="2" t="inlineStr">
        <is>
          <t>2023-10-26</t>
        </is>
      </c>
      <c r="NO52" s="5">
        <f>ROUND(0.0,2)</f>
        <v/>
      </c>
      <c r="NP52" s="3">
        <f>ROUND(0.0,2)</f>
        <v/>
      </c>
      <c r="NQ52" s="3">
        <f>ROUND(0.0,2)</f>
        <v/>
      </c>
      <c r="NR52" s="3">
        <f>ROUND(0.0,2)</f>
        <v/>
      </c>
      <c r="NS52" s="3">
        <f>ROUND(0.0,2)</f>
        <v/>
      </c>
      <c r="NT52" s="3">
        <f>ROUND(0.0,2)</f>
        <v/>
      </c>
      <c r="NU52" s="3">
        <f>ROUND(0.0,2)</f>
        <v/>
      </c>
      <c r="NV52" s="3">
        <f>ROUND(0.0,2)</f>
        <v/>
      </c>
      <c r="NW52" s="4">
        <f>IFERROR((NQ52/NP52),0)</f>
        <v/>
      </c>
      <c r="NX52" s="4">
        <f>IFERROR(((0+NO11+NO12+NO13+NO14+NO15+NO16+NO17+NO19+NO20+NO21+NO22+NO23+NO24+NO25+NO27+NO28+NO29+NO30+NO31+NO32+NO33+NO35+NO36+NO37+NO38+NO39+NO40+NO41+NO43+NO44+NO45+NO46+NO47+NO48+NO49+NO51+NO52)/T2),0)</f>
        <v/>
      </c>
      <c r="NY52" s="5">
        <f>IFERROR(ROUND(NO52/NQ52,2),0)</f>
        <v/>
      </c>
      <c r="NZ52" s="5">
        <f>IFERROR(ROUND(NO52/NR52,2),0)</f>
        <v/>
      </c>
      <c r="OA52" s="2" t="inlineStr">
        <is>
          <t>2023-10-26</t>
        </is>
      </c>
      <c r="OB52" s="5">
        <f>ROUND(0.0,2)</f>
        <v/>
      </c>
      <c r="OC52" s="3">
        <f>ROUND(0.0,2)</f>
        <v/>
      </c>
      <c r="OD52" s="3">
        <f>ROUND(0.0,2)</f>
        <v/>
      </c>
      <c r="OE52" s="3">
        <f>ROUND(0.0,2)</f>
        <v/>
      </c>
      <c r="OF52" s="3">
        <f>ROUND(0.0,2)</f>
        <v/>
      </c>
      <c r="OG52" s="3">
        <f>ROUND(0.0,2)</f>
        <v/>
      </c>
      <c r="OH52" s="3">
        <f>ROUND(0.0,2)</f>
        <v/>
      </c>
      <c r="OI52" s="3">
        <f>ROUND(0.0,2)</f>
        <v/>
      </c>
      <c r="OJ52" s="4">
        <f>IFERROR((OD52/OC52),0)</f>
        <v/>
      </c>
      <c r="OK52" s="4">
        <f>IFERROR(((0+OB11+OB12+OB13+OB14+OB15+OB16+OB17+OB19+OB20+OB21+OB22+OB23+OB24+OB25+OB27+OB28+OB29+OB30+OB31+OB32+OB33+OB35+OB36+OB37+OB38+OB39+OB40+OB41+OB43+OB44+OB45+OB46+OB47+OB48+OB49+OB51+OB52)/T2),0)</f>
        <v/>
      </c>
      <c r="OL52" s="5">
        <f>IFERROR(ROUND(OB52/OD52,2),0)</f>
        <v/>
      </c>
      <c r="OM52" s="5">
        <f>IFERROR(ROUND(OB52/OE52,2),0)</f>
        <v/>
      </c>
      <c r="ON52" s="2" t="inlineStr">
        <is>
          <t>2023-10-26</t>
        </is>
      </c>
      <c r="OO52" s="5">
        <f>ROUND(0.0,2)</f>
        <v/>
      </c>
      <c r="OP52" s="3">
        <f>ROUND(0.0,2)</f>
        <v/>
      </c>
      <c r="OQ52" s="3">
        <f>ROUND(0.0,2)</f>
        <v/>
      </c>
      <c r="OR52" s="3">
        <f>ROUND(0.0,2)</f>
        <v/>
      </c>
      <c r="OS52" s="3">
        <f>ROUND(0.0,2)</f>
        <v/>
      </c>
      <c r="OT52" s="3">
        <f>ROUND(0.0,2)</f>
        <v/>
      </c>
      <c r="OU52" s="3">
        <f>ROUND(0.0,2)</f>
        <v/>
      </c>
      <c r="OV52" s="3">
        <f>ROUND(0.0,2)</f>
        <v/>
      </c>
      <c r="OW52" s="4">
        <f>IFERROR((OQ52/OP52),0)</f>
        <v/>
      </c>
      <c r="OX52" s="4">
        <f>IFERROR(((0+OO11+OO12+OO13+OO14+OO15+OO16+OO17+OO19+OO20+OO21+OO22+OO23+OO24+OO25+OO27+OO28+OO29+OO30+OO31+OO32+OO33+OO35+OO36+OO37+OO38+OO39+OO40+OO41+OO43+OO44+OO45+OO46+OO47+OO48+OO49+OO51+OO52)/T2),0)</f>
        <v/>
      </c>
      <c r="OY52" s="5">
        <f>IFERROR(ROUND(OO52/OQ52,2),0)</f>
        <v/>
      </c>
      <c r="OZ52" s="5">
        <f>IFERROR(ROUND(OO52/OR52,2),0)</f>
        <v/>
      </c>
      <c r="PA52" s="2" t="inlineStr">
        <is>
          <t>2023-10-26</t>
        </is>
      </c>
      <c r="PB52" s="5">
        <f>ROUND(0.0,2)</f>
        <v/>
      </c>
      <c r="PC52" s="3">
        <f>ROUND(0.0,2)</f>
        <v/>
      </c>
      <c r="PD52" s="3">
        <f>ROUND(0.0,2)</f>
        <v/>
      </c>
      <c r="PE52" s="3">
        <f>ROUND(0.0,2)</f>
        <v/>
      </c>
      <c r="PF52" s="3">
        <f>ROUND(0.0,2)</f>
        <v/>
      </c>
      <c r="PG52" s="3">
        <f>ROUND(0.0,2)</f>
        <v/>
      </c>
      <c r="PH52" s="3">
        <f>ROUND(0.0,2)</f>
        <v/>
      </c>
      <c r="PI52" s="3">
        <f>ROUND(0.0,2)</f>
        <v/>
      </c>
      <c r="PJ52" s="4">
        <f>IFERROR((PD52/PC52),0)</f>
        <v/>
      </c>
      <c r="PK52" s="4">
        <f>IFERROR(((0+PB11+PB12+PB13+PB14+PB15+PB16+PB17+PB19+PB20+PB21+PB22+PB23+PB24+PB25+PB27+PB28+PB29+PB30+PB31+PB32+PB33+PB35+PB36+PB37+PB38+PB39+PB40+PB41+PB43+PB44+PB45+PB46+PB47+PB48+PB49+PB51+PB52)/T2),0)</f>
        <v/>
      </c>
      <c r="PL52" s="5">
        <f>IFERROR(ROUND(PB52/PD52,2),0)</f>
        <v/>
      </c>
      <c r="PM52" s="5">
        <f>IFERROR(ROUND(PB52/PE52,2),0)</f>
        <v/>
      </c>
      <c r="PN52" s="2" t="inlineStr">
        <is>
          <t>2023-10-26</t>
        </is>
      </c>
      <c r="PO52" s="5">
        <f>ROUND(0.0,2)</f>
        <v/>
      </c>
      <c r="PP52" s="3">
        <f>ROUND(0.0,2)</f>
        <v/>
      </c>
      <c r="PQ52" s="3">
        <f>ROUND(0.0,2)</f>
        <v/>
      </c>
      <c r="PR52" s="3">
        <f>ROUND(0.0,2)</f>
        <v/>
      </c>
      <c r="PS52" s="3">
        <f>ROUND(0.0,2)</f>
        <v/>
      </c>
      <c r="PT52" s="3">
        <f>ROUND(0.0,2)</f>
        <v/>
      </c>
      <c r="PU52" s="3">
        <f>ROUND(0.0,2)</f>
        <v/>
      </c>
      <c r="PV52" s="3">
        <f>ROUND(0.0,2)</f>
        <v/>
      </c>
      <c r="PW52" s="4">
        <f>IFERROR((PQ52/PP52),0)</f>
        <v/>
      </c>
      <c r="PX52" s="4">
        <f>IFERROR(((0+PO11+PO12+PO13+PO14+PO15+PO16+PO17+PO19+PO20+PO21+PO22+PO23+PO24+PO25+PO27+PO28+PO29+PO30+PO31+PO32+PO33+PO35+PO36+PO37+PO38+PO39+PO40+PO41+PO43+PO44+PO45+PO46+PO47+PO48+PO49+PO51+PO52)/T2),0)</f>
        <v/>
      </c>
      <c r="PY52" s="5">
        <f>IFERROR(ROUND(PO52/PQ52,2),0)</f>
        <v/>
      </c>
      <c r="PZ52" s="5">
        <f>IFERROR(ROUND(PO52/PR52,2),0)</f>
        <v/>
      </c>
      <c r="QA52" s="2" t="inlineStr">
        <is>
          <t>2023-10-26</t>
        </is>
      </c>
      <c r="QB52" s="5">
        <f>ROUND(0.0,2)</f>
        <v/>
      </c>
      <c r="QC52" s="3">
        <f>ROUND(0.0,2)</f>
        <v/>
      </c>
      <c r="QD52" s="3">
        <f>ROUND(0.0,2)</f>
        <v/>
      </c>
      <c r="QE52" s="3">
        <f>ROUND(0.0,2)</f>
        <v/>
      </c>
      <c r="QF52" s="3">
        <f>ROUND(0.0,2)</f>
        <v/>
      </c>
      <c r="QG52" s="3">
        <f>ROUND(0.0,2)</f>
        <v/>
      </c>
      <c r="QH52" s="3">
        <f>ROUND(0.0,2)</f>
        <v/>
      </c>
      <c r="QI52" s="3">
        <f>ROUND(0.0,2)</f>
        <v/>
      </c>
      <c r="QJ52" s="4">
        <f>IFERROR((QD52/QC52),0)</f>
        <v/>
      </c>
      <c r="QK52" s="4">
        <f>IFERROR(((0+QB11+QB12+QB13+QB14+QB15+QB16+QB17+QB19+QB20+QB21+QB22+QB23+QB24+QB25+QB27+QB28+QB29+QB30+QB31+QB32+QB33+QB35+QB36+QB37+QB38+QB39+QB40+QB41+QB43+QB44+QB45+QB46+QB47+QB48+QB49+QB51+QB52)/T2),0)</f>
        <v/>
      </c>
      <c r="QL52" s="5">
        <f>IFERROR(ROUND(QB52/QD52,2),0)</f>
        <v/>
      </c>
      <c r="QM52" s="5">
        <f>IFERROR(ROUND(QB52/QE52,2),0)</f>
        <v/>
      </c>
      <c r="QN52" s="2" t="inlineStr">
        <is>
          <t>2023-10-26</t>
        </is>
      </c>
      <c r="QO52" s="5">
        <f>ROUND(0.0,2)</f>
        <v/>
      </c>
      <c r="QP52" s="3">
        <f>ROUND(0.0,2)</f>
        <v/>
      </c>
      <c r="QQ52" s="3">
        <f>ROUND(0.0,2)</f>
        <v/>
      </c>
      <c r="QR52" s="3">
        <f>ROUND(0.0,2)</f>
        <v/>
      </c>
      <c r="QS52" s="3">
        <f>ROUND(0.0,2)</f>
        <v/>
      </c>
      <c r="QT52" s="3">
        <f>ROUND(0.0,2)</f>
        <v/>
      </c>
      <c r="QU52" s="3">
        <f>ROUND(0.0,2)</f>
        <v/>
      </c>
      <c r="QV52" s="3">
        <f>ROUND(0.0,2)</f>
        <v/>
      </c>
      <c r="QW52" s="4">
        <f>IFERROR((QQ52/QP52),0)</f>
        <v/>
      </c>
      <c r="QX52" s="4">
        <f>IFERROR(((0+QO11+QO12+QO13+QO14+QO15+QO16+QO17+QO19+QO20+QO21+QO22+QO23+QO24+QO25+QO27+QO28+QO29+QO30+QO31+QO32+QO33+QO35+QO36+QO37+QO38+QO39+QO40+QO41+QO43+QO44+QO45+QO46+QO47+QO48+QO49+QO51+QO52)/T2),0)</f>
        <v/>
      </c>
      <c r="QY52" s="5">
        <f>IFERROR(ROUND(QO52/QQ52,2),0)</f>
        <v/>
      </c>
      <c r="QZ52" s="5">
        <f>IFERROR(ROUND(QO52/QR52,2),0)</f>
        <v/>
      </c>
      <c r="RA52" s="2" t="inlineStr">
        <is>
          <t>2023-10-26</t>
        </is>
      </c>
      <c r="RB52" s="5">
        <f>ROUND(0.0,2)</f>
        <v/>
      </c>
      <c r="RC52" s="3">
        <f>ROUND(0.0,2)</f>
        <v/>
      </c>
      <c r="RD52" s="3">
        <f>ROUND(0.0,2)</f>
        <v/>
      </c>
      <c r="RE52" s="3">
        <f>ROUND(0.0,2)</f>
        <v/>
      </c>
      <c r="RF52" s="3">
        <f>ROUND(0.0,2)</f>
        <v/>
      </c>
      <c r="RG52" s="3">
        <f>ROUND(0.0,2)</f>
        <v/>
      </c>
      <c r="RH52" s="3">
        <f>ROUND(0.0,2)</f>
        <v/>
      </c>
      <c r="RI52" s="3">
        <f>ROUND(0.0,2)</f>
        <v/>
      </c>
      <c r="RJ52" s="4">
        <f>IFERROR((RD52/RC52),0)</f>
        <v/>
      </c>
      <c r="RK52" s="4">
        <f>IFERROR(((0+RB11+RB12+RB13+RB14+RB15+RB16+RB17+RB19+RB20+RB21+RB22+RB23+RB24+RB25+RB27+RB28+RB29+RB30+RB31+RB32+RB33+RB35+RB36+RB37+RB38+RB39+RB40+RB41+RB43+RB44+RB45+RB46+RB47+RB48+RB49+RB51+RB52)/T2),0)</f>
        <v/>
      </c>
      <c r="RL52" s="5">
        <f>IFERROR(ROUND(RB52/RD52,2),0)</f>
        <v/>
      </c>
      <c r="RM52" s="5">
        <f>IFERROR(ROUND(RB52/RE52,2),0)</f>
        <v/>
      </c>
      <c r="RN52" s="2" t="inlineStr">
        <is>
          <t>2023-10-26</t>
        </is>
      </c>
      <c r="RO52" s="5">
        <f>ROUND(0.0,2)</f>
        <v/>
      </c>
      <c r="RP52" s="3">
        <f>ROUND(0.0,2)</f>
        <v/>
      </c>
      <c r="RQ52" s="3">
        <f>ROUND(0.0,2)</f>
        <v/>
      </c>
      <c r="RR52" s="3">
        <f>ROUND(0.0,2)</f>
        <v/>
      </c>
      <c r="RS52" s="3">
        <f>ROUND(0.0,2)</f>
        <v/>
      </c>
      <c r="RT52" s="3">
        <f>ROUND(0.0,2)</f>
        <v/>
      </c>
      <c r="RU52" s="3">
        <f>ROUND(0.0,2)</f>
        <v/>
      </c>
      <c r="RV52" s="3">
        <f>ROUND(0.0,2)</f>
        <v/>
      </c>
      <c r="RW52" s="4">
        <f>IFERROR((RQ52/RP52),0)</f>
        <v/>
      </c>
      <c r="RX52" s="4">
        <f>IFERROR(((0+RO11+RO12+RO13+RO14+RO15+RO16+RO17+RO19+RO20+RO21+RO22+RO23+RO24+RO25+RO27+RO28+RO29+RO30+RO31+RO32+RO33+RO35+RO36+RO37+RO38+RO39+RO40+RO41+RO43+RO44+RO45+RO46+RO47+RO48+RO49+RO51+RO52)/T2),0)</f>
        <v/>
      </c>
      <c r="RY52" s="5">
        <f>IFERROR(ROUND(RO52/RQ52,2),0)</f>
        <v/>
      </c>
      <c r="RZ52" s="5">
        <f>IFERROR(ROUND(RO52/RR52,2),0)</f>
        <v/>
      </c>
      <c r="SA52" s="2" t="inlineStr">
        <is>
          <t>2023-10-26</t>
        </is>
      </c>
      <c r="SB52" s="5">
        <f>ROUND(0.0,2)</f>
        <v/>
      </c>
      <c r="SC52" s="3">
        <f>ROUND(0.0,2)</f>
        <v/>
      </c>
      <c r="SD52" s="3">
        <f>ROUND(0.0,2)</f>
        <v/>
      </c>
      <c r="SE52" s="3">
        <f>ROUND(0.0,2)</f>
        <v/>
      </c>
      <c r="SF52" s="3">
        <f>ROUND(0.0,2)</f>
        <v/>
      </c>
      <c r="SG52" s="3">
        <f>ROUND(0.0,2)</f>
        <v/>
      </c>
      <c r="SH52" s="3">
        <f>ROUND(0.0,2)</f>
        <v/>
      </c>
      <c r="SI52" s="3">
        <f>ROUND(0.0,2)</f>
        <v/>
      </c>
      <c r="SJ52" s="4">
        <f>IFERROR((SD52/SC52),0)</f>
        <v/>
      </c>
      <c r="SK52" s="4">
        <f>IFERROR(((0+SB11+SB12+SB13+SB14+SB15+SB16+SB17+SB19+SB20+SB21+SB22+SB23+SB24+SB25+SB27+SB28+SB29+SB30+SB31+SB32+SB33+SB35+SB36+SB37+SB38+SB39+SB40+SB41+SB43+SB44+SB45+SB46+SB47+SB48+SB49+SB51+SB52)/T2),0)</f>
        <v/>
      </c>
      <c r="SL52" s="5">
        <f>IFERROR(ROUND(SB52/SD52,2),0)</f>
        <v/>
      </c>
      <c r="SM52" s="5">
        <f>IFERROR(ROUND(SB52/SE52,2),0)</f>
        <v/>
      </c>
      <c r="SN52" s="2" t="inlineStr">
        <is>
          <t>2023-10-26</t>
        </is>
      </c>
      <c r="SO52" s="5">
        <f>ROUND(0.0,2)</f>
        <v/>
      </c>
      <c r="SP52" s="3">
        <f>ROUND(0.0,2)</f>
        <v/>
      </c>
      <c r="SQ52" s="3">
        <f>ROUND(0.0,2)</f>
        <v/>
      </c>
      <c r="SR52" s="3">
        <f>ROUND(0.0,2)</f>
        <v/>
      </c>
      <c r="SS52" s="3">
        <f>ROUND(0.0,2)</f>
        <v/>
      </c>
      <c r="ST52" s="3">
        <f>ROUND(0.0,2)</f>
        <v/>
      </c>
      <c r="SU52" s="3">
        <f>ROUND(0.0,2)</f>
        <v/>
      </c>
      <c r="SV52" s="3">
        <f>ROUND(0.0,2)</f>
        <v/>
      </c>
      <c r="SW52" s="4">
        <f>IFERROR((SQ52/SP52),0)</f>
        <v/>
      </c>
      <c r="SX52" s="4">
        <f>IFERROR(((0+SO11+SO12+SO13+SO14+SO15+SO16+SO17+SO19+SO20+SO21+SO22+SO23+SO24+SO25+SO27+SO28+SO29+SO30+SO31+SO32+SO33+SO35+SO36+SO37+SO38+SO39+SO40+SO41+SO43+SO44+SO45+SO46+SO47+SO48+SO49+SO51+SO52)/T2),0)</f>
        <v/>
      </c>
      <c r="SY52" s="5">
        <f>IFERROR(ROUND(SO52/SQ52,2),0)</f>
        <v/>
      </c>
      <c r="SZ52" s="5">
        <f>IFERROR(ROUND(SO52/SR52,2),0)</f>
        <v/>
      </c>
    </row>
    <row r="53">
      <c r="A53" s="2" t="inlineStr">
        <is>
          <t>2023-10-27</t>
        </is>
      </c>
      <c r="B53" s="5">
        <f>ROUND(0.0,2)</f>
        <v/>
      </c>
      <c r="C53" s="3">
        <f>ROUND(0.0,2)</f>
        <v/>
      </c>
      <c r="D53" s="3">
        <f>ROUND(0.0,2)</f>
        <v/>
      </c>
      <c r="E53" s="3">
        <f>ROUND(0.0,2)</f>
        <v/>
      </c>
      <c r="F53" s="3">
        <f>ROUND(0.0,2)</f>
        <v/>
      </c>
      <c r="G53" s="3">
        <f>ROUND(0.0,2)</f>
        <v/>
      </c>
      <c r="H53" s="3">
        <f>ROUND(0.0,2)</f>
        <v/>
      </c>
      <c r="I53" s="3">
        <f>ROUND(0.0,2)</f>
        <v/>
      </c>
      <c r="J53" s="4">
        <f>IFERROR((D53/C53),0)</f>
        <v/>
      </c>
      <c r="K53" s="4">
        <f>IFERROR(((0+B11+B12+B13+B14+B15+B16+B17+B19+B20+B21+B22+B23+B24+B25+B27+B28+B29+B30+B31+B32+B33+B35+B36+B37+B38+B39+B40+B41+B43+B44+B45+B46+B47+B48+B49+B51+B52+B53)/T2),0)</f>
        <v/>
      </c>
      <c r="L53" s="5">
        <f>IFERROR(ROUND(B53/D53,2),0)</f>
        <v/>
      </c>
      <c r="M53" s="5">
        <f>IFERROR(ROUND(B53/E53,2),0)</f>
        <v/>
      </c>
      <c r="N53" s="2" t="inlineStr">
        <is>
          <t>2023-10-27</t>
        </is>
      </c>
      <c r="O53" s="5">
        <f>ROUND(0.0,2)</f>
        <v/>
      </c>
      <c r="P53" s="3">
        <f>ROUND(0.0,2)</f>
        <v/>
      </c>
      <c r="Q53" s="3">
        <f>ROUND(0.0,2)</f>
        <v/>
      </c>
      <c r="R53" s="3">
        <f>ROUND(0.0,2)</f>
        <v/>
      </c>
      <c r="S53" s="3">
        <f>ROUND(0.0,2)</f>
        <v/>
      </c>
      <c r="T53" s="3">
        <f>ROUND(0.0,2)</f>
        <v/>
      </c>
      <c r="U53" s="3">
        <f>ROUND(0.0,2)</f>
        <v/>
      </c>
      <c r="V53" s="3">
        <f>ROUND(0.0,2)</f>
        <v/>
      </c>
      <c r="W53" s="4">
        <f>IFERROR((Q53/P53),0)</f>
        <v/>
      </c>
      <c r="X53" s="4">
        <f>IFERROR(((0+O11+O12+O13+O14+O15+O16+O17+O19+O20+O21+O22+O23+O24+O25+O27+O28+O29+O30+O31+O32+O33+O35+O36+O37+O38+O39+O40+O41+O43+O44+O45+O46+O47+O48+O49+O51+O52+O53)/T2),0)</f>
        <v/>
      </c>
      <c r="Y53" s="5">
        <f>IFERROR(ROUND(O53/Q53,2),0)</f>
        <v/>
      </c>
      <c r="Z53" s="5">
        <f>IFERROR(ROUND(O53/R53,2),0)</f>
        <v/>
      </c>
      <c r="AA53" s="2" t="inlineStr">
        <is>
          <t>2023-10-27</t>
        </is>
      </c>
      <c r="AB53" s="5">
        <f>ROUND(0.0,2)</f>
        <v/>
      </c>
      <c r="AC53" s="3">
        <f>ROUND(0.0,2)</f>
        <v/>
      </c>
      <c r="AD53" s="3">
        <f>ROUND(0.0,2)</f>
        <v/>
      </c>
      <c r="AE53" s="3">
        <f>ROUND(0.0,2)</f>
        <v/>
      </c>
      <c r="AF53" s="3">
        <f>ROUND(0.0,2)</f>
        <v/>
      </c>
      <c r="AG53" s="3">
        <f>ROUND(0.0,2)</f>
        <v/>
      </c>
      <c r="AH53" s="3">
        <f>ROUND(0.0,2)</f>
        <v/>
      </c>
      <c r="AI53" s="3">
        <f>ROUND(0.0,2)</f>
        <v/>
      </c>
      <c r="AJ53" s="4">
        <f>IFERROR((AD53/AC53),0)</f>
        <v/>
      </c>
      <c r="AK53" s="4">
        <f>IFERROR(((0+AB11+AB12+AB13+AB14+AB15+AB16+AB17+AB19+AB20+AB21+AB22+AB23+AB24+AB25+AB27+AB28+AB29+AB30+AB31+AB32+AB33+AB35+AB36+AB37+AB38+AB39+AB40+AB41+AB43+AB44+AB45+AB46+AB47+AB48+AB49+AB51+AB52+AB53)/T2),0)</f>
        <v/>
      </c>
      <c r="AL53" s="5">
        <f>IFERROR(ROUND(AB53/AD53,2),0)</f>
        <v/>
      </c>
      <c r="AM53" s="5">
        <f>IFERROR(ROUND(AB53/AE53,2),0)</f>
        <v/>
      </c>
      <c r="AN53" s="2" t="inlineStr">
        <is>
          <t>2023-10-27</t>
        </is>
      </c>
      <c r="AO53" s="5">
        <f>ROUND(0.0,2)</f>
        <v/>
      </c>
      <c r="AP53" s="3">
        <f>ROUND(0.0,2)</f>
        <v/>
      </c>
      <c r="AQ53" s="3">
        <f>ROUND(0.0,2)</f>
        <v/>
      </c>
      <c r="AR53" s="3">
        <f>ROUND(0.0,2)</f>
        <v/>
      </c>
      <c r="AS53" s="3">
        <f>ROUND(0.0,2)</f>
        <v/>
      </c>
      <c r="AT53" s="3">
        <f>ROUND(0.0,2)</f>
        <v/>
      </c>
      <c r="AU53" s="3">
        <f>ROUND(0.0,2)</f>
        <v/>
      </c>
      <c r="AV53" s="3">
        <f>ROUND(0.0,2)</f>
        <v/>
      </c>
      <c r="AW53" s="4">
        <f>IFERROR((AQ53/AP53),0)</f>
        <v/>
      </c>
      <c r="AX53" s="4">
        <f>IFERROR(((0+AO11+AO12+AO13+AO14+AO15+AO16+AO17+AO19+AO20+AO21+AO22+AO23+AO24+AO25+AO27+AO28+AO29+AO30+AO31+AO32+AO33+AO35+AO36+AO37+AO38+AO39+AO40+AO41+AO43+AO44+AO45+AO46+AO47+AO48+AO49+AO51+AO52+AO53)/T2),0)</f>
        <v/>
      </c>
      <c r="AY53" s="5">
        <f>IFERROR(ROUND(AO53/AQ53,2),0)</f>
        <v/>
      </c>
      <c r="AZ53" s="5">
        <f>IFERROR(ROUND(AO53/AR53,2),0)</f>
        <v/>
      </c>
      <c r="BA53" s="2" t="inlineStr">
        <is>
          <t>2023-10-27</t>
        </is>
      </c>
      <c r="BB53" s="5">
        <f>ROUND(0.0,2)</f>
        <v/>
      </c>
      <c r="BC53" s="3">
        <f>ROUND(0.0,2)</f>
        <v/>
      </c>
      <c r="BD53" s="3">
        <f>ROUND(0.0,2)</f>
        <v/>
      </c>
      <c r="BE53" s="3">
        <f>ROUND(0.0,2)</f>
        <v/>
      </c>
      <c r="BF53" s="3">
        <f>ROUND(0.0,2)</f>
        <v/>
      </c>
      <c r="BG53" s="3">
        <f>ROUND(0.0,2)</f>
        <v/>
      </c>
      <c r="BH53" s="3">
        <f>ROUND(0.0,2)</f>
        <v/>
      </c>
      <c r="BI53" s="3">
        <f>ROUND(0.0,2)</f>
        <v/>
      </c>
      <c r="BJ53" s="4">
        <f>IFERROR((BD53/BC53),0)</f>
        <v/>
      </c>
      <c r="BK53" s="4">
        <f>IFERROR(((0+BB11+BB12+BB13+BB14+BB15+BB16+BB17+BB19+BB20+BB21+BB22+BB23+BB24+BB25+BB27+BB28+BB29+BB30+BB31+BB32+BB33+BB35+BB36+BB37+BB38+BB39+BB40+BB41+BB43+BB44+BB45+BB46+BB47+BB48+BB49+BB51+BB52+BB53)/T2),0)</f>
        <v/>
      </c>
      <c r="BL53" s="5">
        <f>IFERROR(ROUND(BB53/BD53,2),0)</f>
        <v/>
      </c>
      <c r="BM53" s="5">
        <f>IFERROR(ROUND(BB53/BE53,2),0)</f>
        <v/>
      </c>
      <c r="BN53" s="2" t="inlineStr">
        <is>
          <t>2023-10-27</t>
        </is>
      </c>
      <c r="BO53" s="5">
        <f>ROUND(0.0,2)</f>
        <v/>
      </c>
      <c r="BP53" s="3">
        <f>ROUND(0.0,2)</f>
        <v/>
      </c>
      <c r="BQ53" s="3">
        <f>ROUND(0.0,2)</f>
        <v/>
      </c>
      <c r="BR53" s="3">
        <f>ROUND(0.0,2)</f>
        <v/>
      </c>
      <c r="BS53" s="3">
        <f>ROUND(0.0,2)</f>
        <v/>
      </c>
      <c r="BT53" s="3">
        <f>ROUND(0.0,2)</f>
        <v/>
      </c>
      <c r="BU53" s="3">
        <f>ROUND(0.0,2)</f>
        <v/>
      </c>
      <c r="BV53" s="3">
        <f>ROUND(0.0,2)</f>
        <v/>
      </c>
      <c r="BW53" s="4">
        <f>IFERROR((BQ53/BP53),0)</f>
        <v/>
      </c>
      <c r="BX53" s="4">
        <f>IFERROR(((0+BO11+BO12+BO13+BO14+BO15+BO16+BO17+BO19+BO20+BO21+BO22+BO23+BO24+BO25+BO27+BO28+BO29+BO30+BO31+BO32+BO33+BO35+BO36+BO37+BO38+BO39+BO40+BO41+BO43+BO44+BO45+BO46+BO47+BO48+BO49+BO51+BO52+BO53)/T2),0)</f>
        <v/>
      </c>
      <c r="BY53" s="5">
        <f>IFERROR(ROUND(BO53/BQ53,2),0)</f>
        <v/>
      </c>
      <c r="BZ53" s="5">
        <f>IFERROR(ROUND(BO53/BR53,2),0)</f>
        <v/>
      </c>
      <c r="CA53" s="2" t="inlineStr">
        <is>
          <t>2023-10-27</t>
        </is>
      </c>
      <c r="CB53" s="5">
        <f>ROUND(0.0,2)</f>
        <v/>
      </c>
      <c r="CC53" s="3">
        <f>ROUND(0.0,2)</f>
        <v/>
      </c>
      <c r="CD53" s="3">
        <f>ROUND(0.0,2)</f>
        <v/>
      </c>
      <c r="CE53" s="3">
        <f>ROUND(0.0,2)</f>
        <v/>
      </c>
      <c r="CF53" s="3">
        <f>ROUND(0.0,2)</f>
        <v/>
      </c>
      <c r="CG53" s="3">
        <f>ROUND(0.0,2)</f>
        <v/>
      </c>
      <c r="CH53" s="3">
        <f>ROUND(0.0,2)</f>
        <v/>
      </c>
      <c r="CI53" s="3">
        <f>ROUND(0.0,2)</f>
        <v/>
      </c>
      <c r="CJ53" s="4">
        <f>IFERROR((CD53/CC53),0)</f>
        <v/>
      </c>
      <c r="CK53" s="4">
        <f>IFERROR(((0+CB11+CB12+CB13+CB14+CB15+CB16+CB17+CB19+CB20+CB21+CB22+CB23+CB24+CB25+CB27+CB28+CB29+CB30+CB31+CB32+CB33+CB35+CB36+CB37+CB38+CB39+CB40+CB41+CB43+CB44+CB45+CB46+CB47+CB48+CB49+CB51+CB52+CB53)/T2),0)</f>
        <v/>
      </c>
      <c r="CL53" s="5">
        <f>IFERROR(ROUND(CB53/CD53,2),0)</f>
        <v/>
      </c>
      <c r="CM53" s="5">
        <f>IFERROR(ROUND(CB53/CE53,2),0)</f>
        <v/>
      </c>
      <c r="CN53" s="2" t="inlineStr">
        <is>
          <t>2023-10-27</t>
        </is>
      </c>
      <c r="CO53" s="5">
        <f>ROUND(0.0,2)</f>
        <v/>
      </c>
      <c r="CP53" s="3">
        <f>ROUND(0.0,2)</f>
        <v/>
      </c>
      <c r="CQ53" s="3">
        <f>ROUND(0.0,2)</f>
        <v/>
      </c>
      <c r="CR53" s="3">
        <f>ROUND(0.0,2)</f>
        <v/>
      </c>
      <c r="CS53" s="3">
        <f>ROUND(0.0,2)</f>
        <v/>
      </c>
      <c r="CT53" s="3">
        <f>ROUND(0.0,2)</f>
        <v/>
      </c>
      <c r="CU53" s="3">
        <f>ROUND(0.0,2)</f>
        <v/>
      </c>
      <c r="CV53" s="3">
        <f>ROUND(0.0,2)</f>
        <v/>
      </c>
      <c r="CW53" s="4">
        <f>IFERROR((CQ53/CP53),0)</f>
        <v/>
      </c>
      <c r="CX53" s="4">
        <f>IFERROR(((0+CO11+CO12+CO13+CO14+CO15+CO16+CO17+CO19+CO20+CO21+CO22+CO23+CO24+CO25+CO27+CO28+CO29+CO30+CO31+CO32+CO33+CO35+CO36+CO37+CO38+CO39+CO40+CO41+CO43+CO44+CO45+CO46+CO47+CO48+CO49+CO51+CO52+CO53)/T2),0)</f>
        <v/>
      </c>
      <c r="CY53" s="5">
        <f>IFERROR(ROUND(CO53/CQ53,2),0)</f>
        <v/>
      </c>
      <c r="CZ53" s="5">
        <f>IFERROR(ROUND(CO53/CR53,2),0)</f>
        <v/>
      </c>
      <c r="DA53" s="2" t="inlineStr">
        <is>
          <t>2023-10-27</t>
        </is>
      </c>
      <c r="DB53" s="5">
        <f>ROUND(0.0,2)</f>
        <v/>
      </c>
      <c r="DC53" s="3">
        <f>ROUND(0.0,2)</f>
        <v/>
      </c>
      <c r="DD53" s="3">
        <f>ROUND(0.0,2)</f>
        <v/>
      </c>
      <c r="DE53" s="3">
        <f>ROUND(0.0,2)</f>
        <v/>
      </c>
      <c r="DF53" s="3">
        <f>ROUND(0.0,2)</f>
        <v/>
      </c>
      <c r="DG53" s="3">
        <f>ROUND(0.0,2)</f>
        <v/>
      </c>
      <c r="DH53" s="3">
        <f>ROUND(0.0,2)</f>
        <v/>
      </c>
      <c r="DI53" s="3">
        <f>ROUND(0.0,2)</f>
        <v/>
      </c>
      <c r="DJ53" s="4">
        <f>IFERROR((DD53/DC53),0)</f>
        <v/>
      </c>
      <c r="DK53" s="4">
        <f>IFERROR(((0+DB11+DB12+DB13+DB14+DB15+DB16+DB17+DB19+DB20+DB21+DB22+DB23+DB24+DB25+DB27+DB28+DB29+DB30+DB31+DB32+DB33+DB35+DB36+DB37+DB38+DB39+DB40+DB41+DB43+DB44+DB45+DB46+DB47+DB48+DB49+DB51+DB52+DB53)/T2),0)</f>
        <v/>
      </c>
      <c r="DL53" s="5">
        <f>IFERROR(ROUND(DB53/DD53,2),0)</f>
        <v/>
      </c>
      <c r="DM53" s="5">
        <f>IFERROR(ROUND(DB53/DE53,2),0)</f>
        <v/>
      </c>
      <c r="DN53" s="2" t="inlineStr">
        <is>
          <t>2023-10-27</t>
        </is>
      </c>
      <c r="DO53" s="5">
        <f>ROUND(0.0,2)</f>
        <v/>
      </c>
      <c r="DP53" s="3">
        <f>ROUND(0.0,2)</f>
        <v/>
      </c>
      <c r="DQ53" s="3">
        <f>ROUND(0.0,2)</f>
        <v/>
      </c>
      <c r="DR53" s="3">
        <f>ROUND(0.0,2)</f>
        <v/>
      </c>
      <c r="DS53" s="3">
        <f>ROUND(0.0,2)</f>
        <v/>
      </c>
      <c r="DT53" s="3">
        <f>ROUND(0.0,2)</f>
        <v/>
      </c>
      <c r="DU53" s="3">
        <f>ROUND(0.0,2)</f>
        <v/>
      </c>
      <c r="DV53" s="3">
        <f>ROUND(0.0,2)</f>
        <v/>
      </c>
      <c r="DW53" s="4">
        <f>IFERROR((DQ53/DP53),0)</f>
        <v/>
      </c>
      <c r="DX53" s="4">
        <f>IFERROR(((0+DO11+DO12+DO13+DO14+DO15+DO16+DO17+DO19+DO20+DO21+DO22+DO23+DO24+DO25+DO27+DO28+DO29+DO30+DO31+DO32+DO33+DO35+DO36+DO37+DO38+DO39+DO40+DO41+DO43+DO44+DO45+DO46+DO47+DO48+DO49+DO51+DO52+DO53)/T2),0)</f>
        <v/>
      </c>
      <c r="DY53" s="5">
        <f>IFERROR(ROUND(DO53/DQ53,2),0)</f>
        <v/>
      </c>
      <c r="DZ53" s="5">
        <f>IFERROR(ROUND(DO53/DR53,2),0)</f>
        <v/>
      </c>
      <c r="EA53" s="2" t="inlineStr">
        <is>
          <t>2023-10-27</t>
        </is>
      </c>
      <c r="EB53" s="5">
        <f>ROUND(0.0,2)</f>
        <v/>
      </c>
      <c r="EC53" s="3">
        <f>ROUND(0.0,2)</f>
        <v/>
      </c>
      <c r="ED53" s="3">
        <f>ROUND(0.0,2)</f>
        <v/>
      </c>
      <c r="EE53" s="3">
        <f>ROUND(0.0,2)</f>
        <v/>
      </c>
      <c r="EF53" s="3">
        <f>ROUND(0.0,2)</f>
        <v/>
      </c>
      <c r="EG53" s="3">
        <f>ROUND(0.0,2)</f>
        <v/>
      </c>
      <c r="EH53" s="3">
        <f>ROUND(0.0,2)</f>
        <v/>
      </c>
      <c r="EI53" s="3">
        <f>ROUND(0.0,2)</f>
        <v/>
      </c>
      <c r="EJ53" s="4">
        <f>IFERROR((ED53/EC53),0)</f>
        <v/>
      </c>
      <c r="EK53" s="4">
        <f>IFERROR(((0+EB11+EB12+EB13+EB14+EB15+EB16+EB17+EB19+EB20+EB21+EB22+EB23+EB24+EB25+EB27+EB28+EB29+EB30+EB31+EB32+EB33+EB35+EB36+EB37+EB38+EB39+EB40+EB41+EB43+EB44+EB45+EB46+EB47+EB48+EB49+EB51+EB52+EB53)/T2),0)</f>
        <v/>
      </c>
      <c r="EL53" s="5">
        <f>IFERROR(ROUND(EB53/ED53,2),0)</f>
        <v/>
      </c>
      <c r="EM53" s="5">
        <f>IFERROR(ROUND(EB53/EE53,2),0)</f>
        <v/>
      </c>
      <c r="EN53" s="2" t="inlineStr">
        <is>
          <t>2023-10-27</t>
        </is>
      </c>
      <c r="EO53" s="5">
        <f>ROUND(0.0,2)</f>
        <v/>
      </c>
      <c r="EP53" s="3">
        <f>ROUND(0.0,2)</f>
        <v/>
      </c>
      <c r="EQ53" s="3">
        <f>ROUND(0.0,2)</f>
        <v/>
      </c>
      <c r="ER53" s="3">
        <f>ROUND(0.0,2)</f>
        <v/>
      </c>
      <c r="ES53" s="3">
        <f>ROUND(0.0,2)</f>
        <v/>
      </c>
      <c r="ET53" s="3">
        <f>ROUND(0.0,2)</f>
        <v/>
      </c>
      <c r="EU53" s="3">
        <f>ROUND(0.0,2)</f>
        <v/>
      </c>
      <c r="EV53" s="3">
        <f>ROUND(0.0,2)</f>
        <v/>
      </c>
      <c r="EW53" s="4">
        <f>IFERROR((EQ53/EP53),0)</f>
        <v/>
      </c>
      <c r="EX53" s="4">
        <f>IFERROR(((0+EO11+EO12+EO13+EO14+EO15+EO16+EO17+EO19+EO20+EO21+EO22+EO23+EO24+EO25+EO27+EO28+EO29+EO30+EO31+EO32+EO33+EO35+EO36+EO37+EO38+EO39+EO40+EO41+EO43+EO44+EO45+EO46+EO47+EO48+EO49+EO51+EO52+EO53)/T2),0)</f>
        <v/>
      </c>
      <c r="EY53" s="5">
        <f>IFERROR(ROUND(EO53/EQ53,2),0)</f>
        <v/>
      </c>
      <c r="EZ53" s="5">
        <f>IFERROR(ROUND(EO53/ER53,2),0)</f>
        <v/>
      </c>
      <c r="FA53" s="2" t="inlineStr">
        <is>
          <t>2023-10-27</t>
        </is>
      </c>
      <c r="FB53" s="5">
        <f>ROUND(0.0,2)</f>
        <v/>
      </c>
      <c r="FC53" s="3">
        <f>ROUND(0.0,2)</f>
        <v/>
      </c>
      <c r="FD53" s="3">
        <f>ROUND(0.0,2)</f>
        <v/>
      </c>
      <c r="FE53" s="3">
        <f>ROUND(0.0,2)</f>
        <v/>
      </c>
      <c r="FF53" s="3">
        <f>ROUND(0.0,2)</f>
        <v/>
      </c>
      <c r="FG53" s="3">
        <f>ROUND(0.0,2)</f>
        <v/>
      </c>
      <c r="FH53" s="3">
        <f>ROUND(0.0,2)</f>
        <v/>
      </c>
      <c r="FI53" s="3">
        <f>ROUND(0.0,2)</f>
        <v/>
      </c>
      <c r="FJ53" s="4">
        <f>IFERROR((FD53/FC53),0)</f>
        <v/>
      </c>
      <c r="FK53" s="4">
        <f>IFERROR(((0+FB11+FB12+FB13+FB14+FB15+FB16+FB17+FB19+FB20+FB21+FB22+FB23+FB24+FB25+FB27+FB28+FB29+FB30+FB31+FB32+FB33+FB35+FB36+FB37+FB38+FB39+FB40+FB41+FB43+FB44+FB45+FB46+FB47+FB48+FB49+FB51+FB52+FB53)/T2),0)</f>
        <v/>
      </c>
      <c r="FL53" s="5">
        <f>IFERROR(ROUND(FB53/FD53,2),0)</f>
        <v/>
      </c>
      <c r="FM53" s="5">
        <f>IFERROR(ROUND(FB53/FE53,2),0)</f>
        <v/>
      </c>
      <c r="FN53" s="2" t="inlineStr">
        <is>
          <t>2023-10-27</t>
        </is>
      </c>
      <c r="FO53" s="5">
        <f>ROUND(0.0,2)</f>
        <v/>
      </c>
      <c r="FP53" s="3">
        <f>ROUND(0.0,2)</f>
        <v/>
      </c>
      <c r="FQ53" s="3">
        <f>ROUND(0.0,2)</f>
        <v/>
      </c>
      <c r="FR53" s="3">
        <f>ROUND(0.0,2)</f>
        <v/>
      </c>
      <c r="FS53" s="3">
        <f>ROUND(0.0,2)</f>
        <v/>
      </c>
      <c r="FT53" s="3">
        <f>ROUND(0.0,2)</f>
        <v/>
      </c>
      <c r="FU53" s="3">
        <f>ROUND(0.0,2)</f>
        <v/>
      </c>
      <c r="FV53" s="3">
        <f>ROUND(0.0,2)</f>
        <v/>
      </c>
      <c r="FW53" s="4">
        <f>IFERROR((FQ53/FP53),0)</f>
        <v/>
      </c>
      <c r="FX53" s="4">
        <f>IFERROR(((0+FO11+FO12+FO13+FO14+FO15+FO16+FO17+FO19+FO20+FO21+FO22+FO23+FO24+FO25+FO27+FO28+FO29+FO30+FO31+FO32+FO33+FO35+FO36+FO37+FO38+FO39+FO40+FO41+FO43+FO44+FO45+FO46+FO47+FO48+FO49+FO51+FO52+FO53)/T2),0)</f>
        <v/>
      </c>
      <c r="FY53" s="5">
        <f>IFERROR(ROUND(FO53/FQ53,2),0)</f>
        <v/>
      </c>
      <c r="FZ53" s="5">
        <f>IFERROR(ROUND(FO53/FR53,2),0)</f>
        <v/>
      </c>
      <c r="GA53" s="2" t="inlineStr">
        <is>
          <t>2023-10-27</t>
        </is>
      </c>
      <c r="GB53" s="5">
        <f>ROUND(0.0,2)</f>
        <v/>
      </c>
      <c r="GC53" s="3">
        <f>ROUND(0.0,2)</f>
        <v/>
      </c>
      <c r="GD53" s="3">
        <f>ROUND(0.0,2)</f>
        <v/>
      </c>
      <c r="GE53" s="3">
        <f>ROUND(0.0,2)</f>
        <v/>
      </c>
      <c r="GF53" s="3">
        <f>ROUND(0.0,2)</f>
        <v/>
      </c>
      <c r="GG53" s="3">
        <f>ROUND(0.0,2)</f>
        <v/>
      </c>
      <c r="GH53" s="3">
        <f>ROUND(0.0,2)</f>
        <v/>
      </c>
      <c r="GI53" s="3">
        <f>ROUND(0.0,2)</f>
        <v/>
      </c>
      <c r="GJ53" s="4">
        <f>IFERROR((GD53/GC53),0)</f>
        <v/>
      </c>
      <c r="GK53" s="4">
        <f>IFERROR(((0+GB11+GB12+GB13+GB14+GB15+GB16+GB17+GB19+GB20+GB21+GB22+GB23+GB24+GB25+GB27+GB28+GB29+GB30+GB31+GB32+GB33+GB35+GB36+GB37+GB38+GB39+GB40+GB41+GB43+GB44+GB45+GB46+GB47+GB48+GB49+GB51+GB52+GB53)/T2),0)</f>
        <v/>
      </c>
      <c r="GL53" s="5">
        <f>IFERROR(ROUND(GB53/GD53,2),0)</f>
        <v/>
      </c>
      <c r="GM53" s="5">
        <f>IFERROR(ROUND(GB53/GE53,2),0)</f>
        <v/>
      </c>
      <c r="GN53" s="2" t="inlineStr">
        <is>
          <t>2023-10-27</t>
        </is>
      </c>
      <c r="GO53" s="5">
        <f>ROUND(0.0,2)</f>
        <v/>
      </c>
      <c r="GP53" s="3">
        <f>ROUND(0.0,2)</f>
        <v/>
      </c>
      <c r="GQ53" s="3">
        <f>ROUND(0.0,2)</f>
        <v/>
      </c>
      <c r="GR53" s="3">
        <f>ROUND(0.0,2)</f>
        <v/>
      </c>
      <c r="GS53" s="3">
        <f>ROUND(0.0,2)</f>
        <v/>
      </c>
      <c r="GT53" s="3">
        <f>ROUND(0.0,2)</f>
        <v/>
      </c>
      <c r="GU53" s="3">
        <f>ROUND(0.0,2)</f>
        <v/>
      </c>
      <c r="GV53" s="3">
        <f>ROUND(0.0,2)</f>
        <v/>
      </c>
      <c r="GW53" s="4">
        <f>IFERROR((GQ53/GP53),0)</f>
        <v/>
      </c>
      <c r="GX53" s="4">
        <f>IFERROR(((0+GO11+GO12+GO13+GO14+GO15+GO16+GO17+GO19+GO20+GO21+GO22+GO23+GO24+GO25+GO27+GO28+GO29+GO30+GO31+GO32+GO33+GO35+GO36+GO37+GO38+GO39+GO40+GO41+GO43+GO44+GO45+GO46+GO47+GO48+GO49+GO51+GO52+GO53)/T2),0)</f>
        <v/>
      </c>
      <c r="GY53" s="5">
        <f>IFERROR(ROUND(GO53/GQ53,2),0)</f>
        <v/>
      </c>
      <c r="GZ53" s="5">
        <f>IFERROR(ROUND(GO53/GR53,2),0)</f>
        <v/>
      </c>
      <c r="HA53" s="2" t="inlineStr">
        <is>
          <t>2023-10-27</t>
        </is>
      </c>
      <c r="HB53" s="5">
        <f>ROUND(0.0,2)</f>
        <v/>
      </c>
      <c r="HC53" s="3">
        <f>ROUND(0.0,2)</f>
        <v/>
      </c>
      <c r="HD53" s="3">
        <f>ROUND(0.0,2)</f>
        <v/>
      </c>
      <c r="HE53" s="3">
        <f>ROUND(0.0,2)</f>
        <v/>
      </c>
      <c r="HF53" s="3">
        <f>ROUND(0.0,2)</f>
        <v/>
      </c>
      <c r="HG53" s="3">
        <f>ROUND(0.0,2)</f>
        <v/>
      </c>
      <c r="HH53" s="3">
        <f>ROUND(0.0,2)</f>
        <v/>
      </c>
      <c r="HI53" s="3">
        <f>ROUND(0.0,2)</f>
        <v/>
      </c>
      <c r="HJ53" s="4">
        <f>IFERROR((HD53/HC53),0)</f>
        <v/>
      </c>
      <c r="HK53" s="4">
        <f>IFERROR(((0+HB11+HB12+HB13+HB14+HB15+HB16+HB17+HB19+HB20+HB21+HB22+HB23+HB24+HB25+HB27+HB28+HB29+HB30+HB31+HB32+HB33+HB35+HB36+HB37+HB38+HB39+HB40+HB41+HB43+HB44+HB45+HB46+HB47+HB48+HB49+HB51+HB52+HB53)/T2),0)</f>
        <v/>
      </c>
      <c r="HL53" s="5">
        <f>IFERROR(ROUND(HB53/HD53,2),0)</f>
        <v/>
      </c>
      <c r="HM53" s="5">
        <f>IFERROR(ROUND(HB53/HE53,2),0)</f>
        <v/>
      </c>
      <c r="HN53" s="2" t="inlineStr">
        <is>
          <t>2023-10-27</t>
        </is>
      </c>
      <c r="HO53" s="5">
        <f>ROUND(0.0,2)</f>
        <v/>
      </c>
      <c r="HP53" s="3">
        <f>ROUND(0.0,2)</f>
        <v/>
      </c>
      <c r="HQ53" s="3">
        <f>ROUND(0.0,2)</f>
        <v/>
      </c>
      <c r="HR53" s="3">
        <f>ROUND(0.0,2)</f>
        <v/>
      </c>
      <c r="HS53" s="3">
        <f>ROUND(0.0,2)</f>
        <v/>
      </c>
      <c r="HT53" s="3">
        <f>ROUND(0.0,2)</f>
        <v/>
      </c>
      <c r="HU53" s="3">
        <f>ROUND(0.0,2)</f>
        <v/>
      </c>
      <c r="HV53" s="3">
        <f>ROUND(0.0,2)</f>
        <v/>
      </c>
      <c r="HW53" s="4">
        <f>IFERROR((HQ53/HP53),0)</f>
        <v/>
      </c>
      <c r="HX53" s="4">
        <f>IFERROR(((0+HO11+HO12+HO13+HO14+HO15+HO16+HO17+HO19+HO20+HO21+HO22+HO23+HO24+HO25+HO27+HO28+HO29+HO30+HO31+HO32+HO33+HO35+HO36+HO37+HO38+HO39+HO40+HO41+HO43+HO44+HO45+HO46+HO47+HO48+HO49+HO51+HO52+HO53)/T2),0)</f>
        <v/>
      </c>
      <c r="HY53" s="5">
        <f>IFERROR(ROUND(HO53/HQ53,2),0)</f>
        <v/>
      </c>
      <c r="HZ53" s="5">
        <f>IFERROR(ROUND(HO53/HR53,2),0)</f>
        <v/>
      </c>
      <c r="IA53" s="2" t="inlineStr">
        <is>
          <t>2023-10-27</t>
        </is>
      </c>
      <c r="IB53" s="5">
        <f>ROUND(0.0,2)</f>
        <v/>
      </c>
      <c r="IC53" s="3">
        <f>ROUND(0.0,2)</f>
        <v/>
      </c>
      <c r="ID53" s="3">
        <f>ROUND(0.0,2)</f>
        <v/>
      </c>
      <c r="IE53" s="3">
        <f>ROUND(0.0,2)</f>
        <v/>
      </c>
      <c r="IF53" s="3">
        <f>ROUND(0.0,2)</f>
        <v/>
      </c>
      <c r="IG53" s="3">
        <f>ROUND(0.0,2)</f>
        <v/>
      </c>
      <c r="IH53" s="3">
        <f>ROUND(0.0,2)</f>
        <v/>
      </c>
      <c r="II53" s="3">
        <f>ROUND(0.0,2)</f>
        <v/>
      </c>
      <c r="IJ53" s="4">
        <f>IFERROR((ID53/IC53),0)</f>
        <v/>
      </c>
      <c r="IK53" s="4">
        <f>IFERROR(((0+IB11+IB12+IB13+IB14+IB15+IB16+IB17+IB19+IB20+IB21+IB22+IB23+IB24+IB25+IB27+IB28+IB29+IB30+IB31+IB32+IB33+IB35+IB36+IB37+IB38+IB39+IB40+IB41+IB43+IB44+IB45+IB46+IB47+IB48+IB49+IB51+IB52+IB53)/T2),0)</f>
        <v/>
      </c>
      <c r="IL53" s="5">
        <f>IFERROR(ROUND(IB53/ID53,2),0)</f>
        <v/>
      </c>
      <c r="IM53" s="5">
        <f>IFERROR(ROUND(IB53/IE53,2),0)</f>
        <v/>
      </c>
      <c r="IN53" s="2" t="inlineStr">
        <is>
          <t>2023-10-27</t>
        </is>
      </c>
      <c r="IO53" s="5">
        <f>ROUND(0.0,2)</f>
        <v/>
      </c>
      <c r="IP53" s="3">
        <f>ROUND(0.0,2)</f>
        <v/>
      </c>
      <c r="IQ53" s="3">
        <f>ROUND(0.0,2)</f>
        <v/>
      </c>
      <c r="IR53" s="3">
        <f>ROUND(0.0,2)</f>
        <v/>
      </c>
      <c r="IS53" s="3">
        <f>ROUND(0.0,2)</f>
        <v/>
      </c>
      <c r="IT53" s="3">
        <f>ROUND(0.0,2)</f>
        <v/>
      </c>
      <c r="IU53" s="3">
        <f>ROUND(0.0,2)</f>
        <v/>
      </c>
      <c r="IV53" s="3">
        <f>ROUND(0.0,2)</f>
        <v/>
      </c>
      <c r="IW53" s="4">
        <f>IFERROR((IQ53/IP53),0)</f>
        <v/>
      </c>
      <c r="IX53" s="4">
        <f>IFERROR(((0+IO11+IO12+IO13+IO14+IO15+IO16+IO17+IO19+IO20+IO21+IO22+IO23+IO24+IO25+IO27+IO28+IO29+IO30+IO31+IO32+IO33+IO35+IO36+IO37+IO38+IO39+IO40+IO41+IO43+IO44+IO45+IO46+IO47+IO48+IO49+IO51+IO52+IO53)/T2),0)</f>
        <v/>
      </c>
      <c r="IY53" s="5">
        <f>IFERROR(ROUND(IO53/IQ53,2),0)</f>
        <v/>
      </c>
      <c r="IZ53" s="5">
        <f>IFERROR(ROUND(IO53/IR53,2),0)</f>
        <v/>
      </c>
      <c r="JA53" s="2" t="inlineStr">
        <is>
          <t>2023-10-27</t>
        </is>
      </c>
      <c r="JB53" s="5">
        <f>ROUND(0.0,2)</f>
        <v/>
      </c>
      <c r="JC53" s="3">
        <f>ROUND(0.0,2)</f>
        <v/>
      </c>
      <c r="JD53" s="3">
        <f>ROUND(0.0,2)</f>
        <v/>
      </c>
      <c r="JE53" s="3">
        <f>ROUND(0.0,2)</f>
        <v/>
      </c>
      <c r="JF53" s="3">
        <f>ROUND(0.0,2)</f>
        <v/>
      </c>
      <c r="JG53" s="3">
        <f>ROUND(0.0,2)</f>
        <v/>
      </c>
      <c r="JH53" s="3">
        <f>ROUND(0.0,2)</f>
        <v/>
      </c>
      <c r="JI53" s="3">
        <f>ROUND(0.0,2)</f>
        <v/>
      </c>
      <c r="JJ53" s="4">
        <f>IFERROR((JD53/JC53),0)</f>
        <v/>
      </c>
      <c r="JK53" s="4">
        <f>IFERROR(((0+JB11+JB12+JB13+JB14+JB15+JB16+JB17+JB19+JB20+JB21+JB22+JB23+JB24+JB25+JB27+JB28+JB29+JB30+JB31+JB32+JB33+JB35+JB36+JB37+JB38+JB39+JB40+JB41+JB43+JB44+JB45+JB46+JB47+JB48+JB49+JB51+JB52+JB53)/T2),0)</f>
        <v/>
      </c>
      <c r="JL53" s="5">
        <f>IFERROR(ROUND(JB53/JD53,2),0)</f>
        <v/>
      </c>
      <c r="JM53" s="5">
        <f>IFERROR(ROUND(JB53/JE53,2),0)</f>
        <v/>
      </c>
      <c r="JN53" s="2" t="inlineStr">
        <is>
          <t>2023-10-27</t>
        </is>
      </c>
      <c r="JO53" s="5">
        <f>ROUND(0.0,2)</f>
        <v/>
      </c>
      <c r="JP53" s="3">
        <f>ROUND(0.0,2)</f>
        <v/>
      </c>
      <c r="JQ53" s="3">
        <f>ROUND(0.0,2)</f>
        <v/>
      </c>
      <c r="JR53" s="3">
        <f>ROUND(0.0,2)</f>
        <v/>
      </c>
      <c r="JS53" s="3">
        <f>ROUND(0.0,2)</f>
        <v/>
      </c>
      <c r="JT53" s="3">
        <f>ROUND(0.0,2)</f>
        <v/>
      </c>
      <c r="JU53" s="3">
        <f>ROUND(0.0,2)</f>
        <v/>
      </c>
      <c r="JV53" s="3">
        <f>ROUND(0.0,2)</f>
        <v/>
      </c>
      <c r="JW53" s="4">
        <f>IFERROR((JQ53/JP53),0)</f>
        <v/>
      </c>
      <c r="JX53" s="4">
        <f>IFERROR(((0+JO11+JO12+JO13+JO14+JO15+JO16+JO17+JO19+JO20+JO21+JO22+JO23+JO24+JO25+JO27+JO28+JO29+JO30+JO31+JO32+JO33+JO35+JO36+JO37+JO38+JO39+JO40+JO41+JO43+JO44+JO45+JO46+JO47+JO48+JO49+JO51+JO52+JO53)/T2),0)</f>
        <v/>
      </c>
      <c r="JY53" s="5">
        <f>IFERROR(ROUND(JO53/JQ53,2),0)</f>
        <v/>
      </c>
      <c r="JZ53" s="5">
        <f>IFERROR(ROUND(JO53/JR53,2),0)</f>
        <v/>
      </c>
      <c r="KA53" s="2" t="inlineStr">
        <is>
          <t>2023-10-27</t>
        </is>
      </c>
      <c r="KB53" s="5">
        <f>ROUND(0.0,2)</f>
        <v/>
      </c>
      <c r="KC53" s="3">
        <f>ROUND(0.0,2)</f>
        <v/>
      </c>
      <c r="KD53" s="3">
        <f>ROUND(0.0,2)</f>
        <v/>
      </c>
      <c r="KE53" s="3">
        <f>ROUND(0.0,2)</f>
        <v/>
      </c>
      <c r="KF53" s="3">
        <f>ROUND(0.0,2)</f>
        <v/>
      </c>
      <c r="KG53" s="3">
        <f>ROUND(0.0,2)</f>
        <v/>
      </c>
      <c r="KH53" s="3">
        <f>ROUND(0.0,2)</f>
        <v/>
      </c>
      <c r="KI53" s="3">
        <f>ROUND(0.0,2)</f>
        <v/>
      </c>
      <c r="KJ53" s="4">
        <f>IFERROR((KD53/KC53),0)</f>
        <v/>
      </c>
      <c r="KK53" s="4">
        <f>IFERROR(((0+KB11+KB12+KB13+KB14+KB15+KB16+KB17+KB19+KB20+KB21+KB22+KB23+KB24+KB25+KB27+KB28+KB29+KB30+KB31+KB32+KB33+KB35+KB36+KB37+KB38+KB39+KB40+KB41+KB43+KB44+KB45+KB46+KB47+KB48+KB49+KB51+KB52+KB53)/T2),0)</f>
        <v/>
      </c>
      <c r="KL53" s="5">
        <f>IFERROR(ROUND(KB53/KD53,2),0)</f>
        <v/>
      </c>
      <c r="KM53" s="5">
        <f>IFERROR(ROUND(KB53/KE53,2),0)</f>
        <v/>
      </c>
      <c r="KN53" s="2" t="inlineStr">
        <is>
          <t>2023-10-27</t>
        </is>
      </c>
      <c r="KO53" s="5">
        <f>ROUND(0.0,2)</f>
        <v/>
      </c>
      <c r="KP53" s="3">
        <f>ROUND(0.0,2)</f>
        <v/>
      </c>
      <c r="KQ53" s="3">
        <f>ROUND(0.0,2)</f>
        <v/>
      </c>
      <c r="KR53" s="3">
        <f>ROUND(0.0,2)</f>
        <v/>
      </c>
      <c r="KS53" s="3">
        <f>ROUND(0.0,2)</f>
        <v/>
      </c>
      <c r="KT53" s="3">
        <f>ROUND(0.0,2)</f>
        <v/>
      </c>
      <c r="KU53" s="3">
        <f>ROUND(0.0,2)</f>
        <v/>
      </c>
      <c r="KV53" s="3">
        <f>ROUND(0.0,2)</f>
        <v/>
      </c>
      <c r="KW53" s="4">
        <f>IFERROR((KQ53/KP53),0)</f>
        <v/>
      </c>
      <c r="KX53" s="4">
        <f>IFERROR(((0+KO11+KO12+KO13+KO14+KO15+KO16+KO17+KO19+KO20+KO21+KO22+KO23+KO24+KO25+KO27+KO28+KO29+KO30+KO31+KO32+KO33+KO35+KO36+KO37+KO38+KO39+KO40+KO41+KO43+KO44+KO45+KO46+KO47+KO48+KO49+KO51+KO52+KO53)/T2),0)</f>
        <v/>
      </c>
      <c r="KY53" s="5">
        <f>IFERROR(ROUND(KO53/KQ53,2),0)</f>
        <v/>
      </c>
      <c r="KZ53" s="5">
        <f>IFERROR(ROUND(KO53/KR53,2),0)</f>
        <v/>
      </c>
      <c r="LA53" s="2" t="inlineStr">
        <is>
          <t>2023-10-27</t>
        </is>
      </c>
      <c r="LB53" s="5">
        <f>ROUND(0.0,2)</f>
        <v/>
      </c>
      <c r="LC53" s="3">
        <f>ROUND(0.0,2)</f>
        <v/>
      </c>
      <c r="LD53" s="3">
        <f>ROUND(0.0,2)</f>
        <v/>
      </c>
      <c r="LE53" s="3">
        <f>ROUND(0.0,2)</f>
        <v/>
      </c>
      <c r="LF53" s="3">
        <f>ROUND(0.0,2)</f>
        <v/>
      </c>
      <c r="LG53" s="3">
        <f>ROUND(0.0,2)</f>
        <v/>
      </c>
      <c r="LH53" s="3">
        <f>ROUND(0.0,2)</f>
        <v/>
      </c>
      <c r="LI53" s="3">
        <f>ROUND(0.0,2)</f>
        <v/>
      </c>
      <c r="LJ53" s="4">
        <f>IFERROR((LD53/LC53),0)</f>
        <v/>
      </c>
      <c r="LK53" s="4">
        <f>IFERROR(((0+LB11+LB12+LB13+LB14+LB15+LB16+LB17+LB19+LB20+LB21+LB22+LB23+LB24+LB25+LB27+LB28+LB29+LB30+LB31+LB32+LB33+LB35+LB36+LB37+LB38+LB39+LB40+LB41+LB43+LB44+LB45+LB46+LB47+LB48+LB49+LB51+LB52+LB53)/T2),0)</f>
        <v/>
      </c>
      <c r="LL53" s="5">
        <f>IFERROR(ROUND(LB53/LD53,2),0)</f>
        <v/>
      </c>
      <c r="LM53" s="5">
        <f>IFERROR(ROUND(LB53/LE53,2),0)</f>
        <v/>
      </c>
      <c r="LN53" s="2" t="inlineStr">
        <is>
          <t>2023-10-27</t>
        </is>
      </c>
      <c r="LO53" s="5">
        <f>ROUND(0.0,2)</f>
        <v/>
      </c>
      <c r="LP53" s="3">
        <f>ROUND(0.0,2)</f>
        <v/>
      </c>
      <c r="LQ53" s="3">
        <f>ROUND(0.0,2)</f>
        <v/>
      </c>
      <c r="LR53" s="3">
        <f>ROUND(0.0,2)</f>
        <v/>
      </c>
      <c r="LS53" s="3">
        <f>ROUND(0.0,2)</f>
        <v/>
      </c>
      <c r="LT53" s="3">
        <f>ROUND(0.0,2)</f>
        <v/>
      </c>
      <c r="LU53" s="3">
        <f>ROUND(0.0,2)</f>
        <v/>
      </c>
      <c r="LV53" s="3">
        <f>ROUND(0.0,2)</f>
        <v/>
      </c>
      <c r="LW53" s="4">
        <f>IFERROR((LQ53/LP53),0)</f>
        <v/>
      </c>
      <c r="LX53" s="4">
        <f>IFERROR(((0+LO11+LO12+LO13+LO14+LO15+LO16+LO17+LO19+LO20+LO21+LO22+LO23+LO24+LO25+LO27+LO28+LO29+LO30+LO31+LO32+LO33+LO35+LO36+LO37+LO38+LO39+LO40+LO41+LO43+LO44+LO45+LO46+LO47+LO48+LO49+LO51+LO52+LO53)/T2),0)</f>
        <v/>
      </c>
      <c r="LY53" s="5">
        <f>IFERROR(ROUND(LO53/LQ53,2),0)</f>
        <v/>
      </c>
      <c r="LZ53" s="5">
        <f>IFERROR(ROUND(LO53/LR53,2),0)</f>
        <v/>
      </c>
      <c r="MA53" s="2" t="inlineStr">
        <is>
          <t>2023-10-27</t>
        </is>
      </c>
      <c r="MB53" s="5">
        <f>ROUND(0.0,2)</f>
        <v/>
      </c>
      <c r="MC53" s="3">
        <f>ROUND(0.0,2)</f>
        <v/>
      </c>
      <c r="MD53" s="3">
        <f>ROUND(0.0,2)</f>
        <v/>
      </c>
      <c r="ME53" s="3">
        <f>ROUND(0.0,2)</f>
        <v/>
      </c>
      <c r="MF53" s="3">
        <f>ROUND(0.0,2)</f>
        <v/>
      </c>
      <c r="MG53" s="3">
        <f>ROUND(0.0,2)</f>
        <v/>
      </c>
      <c r="MH53" s="3">
        <f>ROUND(0.0,2)</f>
        <v/>
      </c>
      <c r="MI53" s="3">
        <f>ROUND(0.0,2)</f>
        <v/>
      </c>
      <c r="MJ53" s="4">
        <f>IFERROR((MD53/MC53),0)</f>
        <v/>
      </c>
      <c r="MK53" s="4">
        <f>IFERROR(((0+MB11+MB12+MB13+MB14+MB15+MB16+MB17+MB19+MB20+MB21+MB22+MB23+MB24+MB25+MB27+MB28+MB29+MB30+MB31+MB32+MB33+MB35+MB36+MB37+MB38+MB39+MB40+MB41+MB43+MB44+MB45+MB46+MB47+MB48+MB49+MB51+MB52+MB53)/T2),0)</f>
        <v/>
      </c>
      <c r="ML53" s="5">
        <f>IFERROR(ROUND(MB53/MD53,2),0)</f>
        <v/>
      </c>
      <c r="MM53" s="5">
        <f>IFERROR(ROUND(MB53/ME53,2),0)</f>
        <v/>
      </c>
      <c r="MN53" s="2" t="inlineStr">
        <is>
          <t>2023-10-27</t>
        </is>
      </c>
      <c r="MO53" s="5">
        <f>ROUND(0.0,2)</f>
        <v/>
      </c>
      <c r="MP53" s="3">
        <f>ROUND(0.0,2)</f>
        <v/>
      </c>
      <c r="MQ53" s="3">
        <f>ROUND(0.0,2)</f>
        <v/>
      </c>
      <c r="MR53" s="3">
        <f>ROUND(0.0,2)</f>
        <v/>
      </c>
      <c r="MS53" s="3">
        <f>ROUND(0.0,2)</f>
        <v/>
      </c>
      <c r="MT53" s="3">
        <f>ROUND(0.0,2)</f>
        <v/>
      </c>
      <c r="MU53" s="3">
        <f>ROUND(0.0,2)</f>
        <v/>
      </c>
      <c r="MV53" s="3">
        <f>ROUND(0.0,2)</f>
        <v/>
      </c>
      <c r="MW53" s="4">
        <f>IFERROR((MQ53/MP53),0)</f>
        <v/>
      </c>
      <c r="MX53" s="4">
        <f>IFERROR(((0+MO11+MO12+MO13+MO14+MO15+MO16+MO17+MO19+MO20+MO21+MO22+MO23+MO24+MO25+MO27+MO28+MO29+MO30+MO31+MO32+MO33+MO35+MO36+MO37+MO38+MO39+MO40+MO41+MO43+MO44+MO45+MO46+MO47+MO48+MO49+MO51+MO52+MO53)/T2),0)</f>
        <v/>
      </c>
      <c r="MY53" s="5">
        <f>IFERROR(ROUND(MO53/MQ53,2),0)</f>
        <v/>
      </c>
      <c r="MZ53" s="5">
        <f>IFERROR(ROUND(MO53/MR53,2),0)</f>
        <v/>
      </c>
      <c r="NA53" s="2" t="inlineStr">
        <is>
          <t>2023-10-27</t>
        </is>
      </c>
      <c r="NB53" s="5">
        <f>ROUND(0.0,2)</f>
        <v/>
      </c>
      <c r="NC53" s="3">
        <f>ROUND(0.0,2)</f>
        <v/>
      </c>
      <c r="ND53" s="3">
        <f>ROUND(0.0,2)</f>
        <v/>
      </c>
      <c r="NE53" s="3">
        <f>ROUND(0.0,2)</f>
        <v/>
      </c>
      <c r="NF53" s="3">
        <f>ROUND(0.0,2)</f>
        <v/>
      </c>
      <c r="NG53" s="3">
        <f>ROUND(0.0,2)</f>
        <v/>
      </c>
      <c r="NH53" s="3">
        <f>ROUND(0.0,2)</f>
        <v/>
      </c>
      <c r="NI53" s="3">
        <f>ROUND(0.0,2)</f>
        <v/>
      </c>
      <c r="NJ53" s="4">
        <f>IFERROR((ND53/NC53),0)</f>
        <v/>
      </c>
      <c r="NK53" s="4">
        <f>IFERROR(((0+NB11+NB12+NB13+NB14+NB15+NB16+NB17+NB19+NB20+NB21+NB22+NB23+NB24+NB25+NB27+NB28+NB29+NB30+NB31+NB32+NB33+NB35+NB36+NB37+NB38+NB39+NB40+NB41+NB43+NB44+NB45+NB46+NB47+NB48+NB49+NB51+NB52+NB53)/T2),0)</f>
        <v/>
      </c>
      <c r="NL53" s="5">
        <f>IFERROR(ROUND(NB53/ND53,2),0)</f>
        <v/>
      </c>
      <c r="NM53" s="5">
        <f>IFERROR(ROUND(NB53/NE53,2),0)</f>
        <v/>
      </c>
      <c r="NN53" s="2" t="inlineStr">
        <is>
          <t>2023-10-27</t>
        </is>
      </c>
      <c r="NO53" s="5">
        <f>ROUND(0.0,2)</f>
        <v/>
      </c>
      <c r="NP53" s="3">
        <f>ROUND(0.0,2)</f>
        <v/>
      </c>
      <c r="NQ53" s="3">
        <f>ROUND(0.0,2)</f>
        <v/>
      </c>
      <c r="NR53" s="3">
        <f>ROUND(0.0,2)</f>
        <v/>
      </c>
      <c r="NS53" s="3">
        <f>ROUND(0.0,2)</f>
        <v/>
      </c>
      <c r="NT53" s="3">
        <f>ROUND(0.0,2)</f>
        <v/>
      </c>
      <c r="NU53" s="3">
        <f>ROUND(0.0,2)</f>
        <v/>
      </c>
      <c r="NV53" s="3">
        <f>ROUND(0.0,2)</f>
        <v/>
      </c>
      <c r="NW53" s="4">
        <f>IFERROR((NQ53/NP53),0)</f>
        <v/>
      </c>
      <c r="NX53" s="4">
        <f>IFERROR(((0+NO11+NO12+NO13+NO14+NO15+NO16+NO17+NO19+NO20+NO21+NO22+NO23+NO24+NO25+NO27+NO28+NO29+NO30+NO31+NO32+NO33+NO35+NO36+NO37+NO38+NO39+NO40+NO41+NO43+NO44+NO45+NO46+NO47+NO48+NO49+NO51+NO52+NO53)/T2),0)</f>
        <v/>
      </c>
      <c r="NY53" s="5">
        <f>IFERROR(ROUND(NO53/NQ53,2),0)</f>
        <v/>
      </c>
      <c r="NZ53" s="5">
        <f>IFERROR(ROUND(NO53/NR53,2),0)</f>
        <v/>
      </c>
      <c r="OA53" s="2" t="inlineStr">
        <is>
          <t>2023-10-27</t>
        </is>
      </c>
      <c r="OB53" s="5">
        <f>ROUND(0.0,2)</f>
        <v/>
      </c>
      <c r="OC53" s="3">
        <f>ROUND(0.0,2)</f>
        <v/>
      </c>
      <c r="OD53" s="3">
        <f>ROUND(0.0,2)</f>
        <v/>
      </c>
      <c r="OE53" s="3">
        <f>ROUND(0.0,2)</f>
        <v/>
      </c>
      <c r="OF53" s="3">
        <f>ROUND(0.0,2)</f>
        <v/>
      </c>
      <c r="OG53" s="3">
        <f>ROUND(0.0,2)</f>
        <v/>
      </c>
      <c r="OH53" s="3">
        <f>ROUND(0.0,2)</f>
        <v/>
      </c>
      <c r="OI53" s="3">
        <f>ROUND(0.0,2)</f>
        <v/>
      </c>
      <c r="OJ53" s="4">
        <f>IFERROR((OD53/OC53),0)</f>
        <v/>
      </c>
      <c r="OK53" s="4">
        <f>IFERROR(((0+OB11+OB12+OB13+OB14+OB15+OB16+OB17+OB19+OB20+OB21+OB22+OB23+OB24+OB25+OB27+OB28+OB29+OB30+OB31+OB32+OB33+OB35+OB36+OB37+OB38+OB39+OB40+OB41+OB43+OB44+OB45+OB46+OB47+OB48+OB49+OB51+OB52+OB53)/T2),0)</f>
        <v/>
      </c>
      <c r="OL53" s="5">
        <f>IFERROR(ROUND(OB53/OD53,2),0)</f>
        <v/>
      </c>
      <c r="OM53" s="5">
        <f>IFERROR(ROUND(OB53/OE53,2),0)</f>
        <v/>
      </c>
      <c r="ON53" s="2" t="inlineStr">
        <is>
          <t>2023-10-27</t>
        </is>
      </c>
      <c r="OO53" s="5">
        <f>ROUND(0.0,2)</f>
        <v/>
      </c>
      <c r="OP53" s="3">
        <f>ROUND(0.0,2)</f>
        <v/>
      </c>
      <c r="OQ53" s="3">
        <f>ROUND(0.0,2)</f>
        <v/>
      </c>
      <c r="OR53" s="3">
        <f>ROUND(0.0,2)</f>
        <v/>
      </c>
      <c r="OS53" s="3">
        <f>ROUND(0.0,2)</f>
        <v/>
      </c>
      <c r="OT53" s="3">
        <f>ROUND(0.0,2)</f>
        <v/>
      </c>
      <c r="OU53" s="3">
        <f>ROUND(0.0,2)</f>
        <v/>
      </c>
      <c r="OV53" s="3">
        <f>ROUND(0.0,2)</f>
        <v/>
      </c>
      <c r="OW53" s="4">
        <f>IFERROR((OQ53/OP53),0)</f>
        <v/>
      </c>
      <c r="OX53" s="4">
        <f>IFERROR(((0+OO11+OO12+OO13+OO14+OO15+OO16+OO17+OO19+OO20+OO21+OO22+OO23+OO24+OO25+OO27+OO28+OO29+OO30+OO31+OO32+OO33+OO35+OO36+OO37+OO38+OO39+OO40+OO41+OO43+OO44+OO45+OO46+OO47+OO48+OO49+OO51+OO52+OO53)/T2),0)</f>
        <v/>
      </c>
      <c r="OY53" s="5">
        <f>IFERROR(ROUND(OO53/OQ53,2),0)</f>
        <v/>
      </c>
      <c r="OZ53" s="5">
        <f>IFERROR(ROUND(OO53/OR53,2),0)</f>
        <v/>
      </c>
      <c r="PA53" s="2" t="inlineStr">
        <is>
          <t>2023-10-27</t>
        </is>
      </c>
      <c r="PB53" s="5">
        <f>ROUND(0.0,2)</f>
        <v/>
      </c>
      <c r="PC53" s="3">
        <f>ROUND(0.0,2)</f>
        <v/>
      </c>
      <c r="PD53" s="3">
        <f>ROUND(0.0,2)</f>
        <v/>
      </c>
      <c r="PE53" s="3">
        <f>ROUND(0.0,2)</f>
        <v/>
      </c>
      <c r="PF53" s="3">
        <f>ROUND(0.0,2)</f>
        <v/>
      </c>
      <c r="PG53" s="3">
        <f>ROUND(0.0,2)</f>
        <v/>
      </c>
      <c r="PH53" s="3">
        <f>ROUND(0.0,2)</f>
        <v/>
      </c>
      <c r="PI53" s="3">
        <f>ROUND(0.0,2)</f>
        <v/>
      </c>
      <c r="PJ53" s="4">
        <f>IFERROR((PD53/PC53),0)</f>
        <v/>
      </c>
      <c r="PK53" s="4">
        <f>IFERROR(((0+PB11+PB12+PB13+PB14+PB15+PB16+PB17+PB19+PB20+PB21+PB22+PB23+PB24+PB25+PB27+PB28+PB29+PB30+PB31+PB32+PB33+PB35+PB36+PB37+PB38+PB39+PB40+PB41+PB43+PB44+PB45+PB46+PB47+PB48+PB49+PB51+PB52+PB53)/T2),0)</f>
        <v/>
      </c>
      <c r="PL53" s="5">
        <f>IFERROR(ROUND(PB53/PD53,2),0)</f>
        <v/>
      </c>
      <c r="PM53" s="5">
        <f>IFERROR(ROUND(PB53/PE53,2),0)</f>
        <v/>
      </c>
      <c r="PN53" s="2" t="inlineStr">
        <is>
          <t>2023-10-27</t>
        </is>
      </c>
      <c r="PO53" s="5">
        <f>ROUND(0.0,2)</f>
        <v/>
      </c>
      <c r="PP53" s="3">
        <f>ROUND(0.0,2)</f>
        <v/>
      </c>
      <c r="PQ53" s="3">
        <f>ROUND(0.0,2)</f>
        <v/>
      </c>
      <c r="PR53" s="3">
        <f>ROUND(0.0,2)</f>
        <v/>
      </c>
      <c r="PS53" s="3">
        <f>ROUND(0.0,2)</f>
        <v/>
      </c>
      <c r="PT53" s="3">
        <f>ROUND(0.0,2)</f>
        <v/>
      </c>
      <c r="PU53" s="3">
        <f>ROUND(0.0,2)</f>
        <v/>
      </c>
      <c r="PV53" s="3">
        <f>ROUND(0.0,2)</f>
        <v/>
      </c>
      <c r="PW53" s="4">
        <f>IFERROR((PQ53/PP53),0)</f>
        <v/>
      </c>
      <c r="PX53" s="4">
        <f>IFERROR(((0+PO11+PO12+PO13+PO14+PO15+PO16+PO17+PO19+PO20+PO21+PO22+PO23+PO24+PO25+PO27+PO28+PO29+PO30+PO31+PO32+PO33+PO35+PO36+PO37+PO38+PO39+PO40+PO41+PO43+PO44+PO45+PO46+PO47+PO48+PO49+PO51+PO52+PO53)/T2),0)</f>
        <v/>
      </c>
      <c r="PY53" s="5">
        <f>IFERROR(ROUND(PO53/PQ53,2),0)</f>
        <v/>
      </c>
      <c r="PZ53" s="5">
        <f>IFERROR(ROUND(PO53/PR53,2),0)</f>
        <v/>
      </c>
      <c r="QA53" s="2" t="inlineStr">
        <is>
          <t>2023-10-27</t>
        </is>
      </c>
      <c r="QB53" s="5">
        <f>ROUND(0.0,2)</f>
        <v/>
      </c>
      <c r="QC53" s="3">
        <f>ROUND(0.0,2)</f>
        <v/>
      </c>
      <c r="QD53" s="3">
        <f>ROUND(0.0,2)</f>
        <v/>
      </c>
      <c r="QE53" s="3">
        <f>ROUND(0.0,2)</f>
        <v/>
      </c>
      <c r="QF53" s="3">
        <f>ROUND(0.0,2)</f>
        <v/>
      </c>
      <c r="QG53" s="3">
        <f>ROUND(0.0,2)</f>
        <v/>
      </c>
      <c r="QH53" s="3">
        <f>ROUND(0.0,2)</f>
        <v/>
      </c>
      <c r="QI53" s="3">
        <f>ROUND(0.0,2)</f>
        <v/>
      </c>
      <c r="QJ53" s="4">
        <f>IFERROR((QD53/QC53),0)</f>
        <v/>
      </c>
      <c r="QK53" s="4">
        <f>IFERROR(((0+QB11+QB12+QB13+QB14+QB15+QB16+QB17+QB19+QB20+QB21+QB22+QB23+QB24+QB25+QB27+QB28+QB29+QB30+QB31+QB32+QB33+QB35+QB36+QB37+QB38+QB39+QB40+QB41+QB43+QB44+QB45+QB46+QB47+QB48+QB49+QB51+QB52+QB53)/T2),0)</f>
        <v/>
      </c>
      <c r="QL53" s="5">
        <f>IFERROR(ROUND(QB53/QD53,2),0)</f>
        <v/>
      </c>
      <c r="QM53" s="5">
        <f>IFERROR(ROUND(QB53/QE53,2),0)</f>
        <v/>
      </c>
      <c r="QN53" s="2" t="inlineStr">
        <is>
          <t>2023-10-27</t>
        </is>
      </c>
      <c r="QO53" s="5">
        <f>ROUND(0.0,2)</f>
        <v/>
      </c>
      <c r="QP53" s="3">
        <f>ROUND(0.0,2)</f>
        <v/>
      </c>
      <c r="QQ53" s="3">
        <f>ROUND(0.0,2)</f>
        <v/>
      </c>
      <c r="QR53" s="3">
        <f>ROUND(0.0,2)</f>
        <v/>
      </c>
      <c r="QS53" s="3">
        <f>ROUND(0.0,2)</f>
        <v/>
      </c>
      <c r="QT53" s="3">
        <f>ROUND(0.0,2)</f>
        <v/>
      </c>
      <c r="QU53" s="3">
        <f>ROUND(0.0,2)</f>
        <v/>
      </c>
      <c r="QV53" s="3">
        <f>ROUND(0.0,2)</f>
        <v/>
      </c>
      <c r="QW53" s="4">
        <f>IFERROR((QQ53/QP53),0)</f>
        <v/>
      </c>
      <c r="QX53" s="4">
        <f>IFERROR(((0+QO11+QO12+QO13+QO14+QO15+QO16+QO17+QO19+QO20+QO21+QO22+QO23+QO24+QO25+QO27+QO28+QO29+QO30+QO31+QO32+QO33+QO35+QO36+QO37+QO38+QO39+QO40+QO41+QO43+QO44+QO45+QO46+QO47+QO48+QO49+QO51+QO52+QO53)/T2),0)</f>
        <v/>
      </c>
      <c r="QY53" s="5">
        <f>IFERROR(ROUND(QO53/QQ53,2),0)</f>
        <v/>
      </c>
      <c r="QZ53" s="5">
        <f>IFERROR(ROUND(QO53/QR53,2),0)</f>
        <v/>
      </c>
      <c r="RA53" s="2" t="inlineStr">
        <is>
          <t>2023-10-27</t>
        </is>
      </c>
      <c r="RB53" s="5">
        <f>ROUND(0.0,2)</f>
        <v/>
      </c>
      <c r="RC53" s="3">
        <f>ROUND(0.0,2)</f>
        <v/>
      </c>
      <c r="RD53" s="3">
        <f>ROUND(0.0,2)</f>
        <v/>
      </c>
      <c r="RE53" s="3">
        <f>ROUND(0.0,2)</f>
        <v/>
      </c>
      <c r="RF53" s="3">
        <f>ROUND(0.0,2)</f>
        <v/>
      </c>
      <c r="RG53" s="3">
        <f>ROUND(0.0,2)</f>
        <v/>
      </c>
      <c r="RH53" s="3">
        <f>ROUND(0.0,2)</f>
        <v/>
      </c>
      <c r="RI53" s="3">
        <f>ROUND(0.0,2)</f>
        <v/>
      </c>
      <c r="RJ53" s="4">
        <f>IFERROR((RD53/RC53),0)</f>
        <v/>
      </c>
      <c r="RK53" s="4">
        <f>IFERROR(((0+RB11+RB12+RB13+RB14+RB15+RB16+RB17+RB19+RB20+RB21+RB22+RB23+RB24+RB25+RB27+RB28+RB29+RB30+RB31+RB32+RB33+RB35+RB36+RB37+RB38+RB39+RB40+RB41+RB43+RB44+RB45+RB46+RB47+RB48+RB49+RB51+RB52+RB53)/T2),0)</f>
        <v/>
      </c>
      <c r="RL53" s="5">
        <f>IFERROR(ROUND(RB53/RD53,2),0)</f>
        <v/>
      </c>
      <c r="RM53" s="5">
        <f>IFERROR(ROUND(RB53/RE53,2),0)</f>
        <v/>
      </c>
      <c r="RN53" s="2" t="inlineStr">
        <is>
          <t>2023-10-27</t>
        </is>
      </c>
      <c r="RO53" s="5">
        <f>ROUND(0.0,2)</f>
        <v/>
      </c>
      <c r="RP53" s="3">
        <f>ROUND(0.0,2)</f>
        <v/>
      </c>
      <c r="RQ53" s="3">
        <f>ROUND(0.0,2)</f>
        <v/>
      </c>
      <c r="RR53" s="3">
        <f>ROUND(0.0,2)</f>
        <v/>
      </c>
      <c r="RS53" s="3">
        <f>ROUND(0.0,2)</f>
        <v/>
      </c>
      <c r="RT53" s="3">
        <f>ROUND(0.0,2)</f>
        <v/>
      </c>
      <c r="RU53" s="3">
        <f>ROUND(0.0,2)</f>
        <v/>
      </c>
      <c r="RV53" s="3">
        <f>ROUND(0.0,2)</f>
        <v/>
      </c>
      <c r="RW53" s="4">
        <f>IFERROR((RQ53/RP53),0)</f>
        <v/>
      </c>
      <c r="RX53" s="4">
        <f>IFERROR(((0+RO11+RO12+RO13+RO14+RO15+RO16+RO17+RO19+RO20+RO21+RO22+RO23+RO24+RO25+RO27+RO28+RO29+RO30+RO31+RO32+RO33+RO35+RO36+RO37+RO38+RO39+RO40+RO41+RO43+RO44+RO45+RO46+RO47+RO48+RO49+RO51+RO52+RO53)/T2),0)</f>
        <v/>
      </c>
      <c r="RY53" s="5">
        <f>IFERROR(ROUND(RO53/RQ53,2),0)</f>
        <v/>
      </c>
      <c r="RZ53" s="5">
        <f>IFERROR(ROUND(RO53/RR53,2),0)</f>
        <v/>
      </c>
      <c r="SA53" s="2" t="inlineStr">
        <is>
          <t>2023-10-27</t>
        </is>
      </c>
      <c r="SB53" s="5">
        <f>ROUND(0.0,2)</f>
        <v/>
      </c>
      <c r="SC53" s="3">
        <f>ROUND(0.0,2)</f>
        <v/>
      </c>
      <c r="SD53" s="3">
        <f>ROUND(0.0,2)</f>
        <v/>
      </c>
      <c r="SE53" s="3">
        <f>ROUND(0.0,2)</f>
        <v/>
      </c>
      <c r="SF53" s="3">
        <f>ROUND(0.0,2)</f>
        <v/>
      </c>
      <c r="SG53" s="3">
        <f>ROUND(0.0,2)</f>
        <v/>
      </c>
      <c r="SH53" s="3">
        <f>ROUND(0.0,2)</f>
        <v/>
      </c>
      <c r="SI53" s="3">
        <f>ROUND(0.0,2)</f>
        <v/>
      </c>
      <c r="SJ53" s="4">
        <f>IFERROR((SD53/SC53),0)</f>
        <v/>
      </c>
      <c r="SK53" s="4">
        <f>IFERROR(((0+SB11+SB12+SB13+SB14+SB15+SB16+SB17+SB19+SB20+SB21+SB22+SB23+SB24+SB25+SB27+SB28+SB29+SB30+SB31+SB32+SB33+SB35+SB36+SB37+SB38+SB39+SB40+SB41+SB43+SB44+SB45+SB46+SB47+SB48+SB49+SB51+SB52+SB53)/T2),0)</f>
        <v/>
      </c>
      <c r="SL53" s="5">
        <f>IFERROR(ROUND(SB53/SD53,2),0)</f>
        <v/>
      </c>
      <c r="SM53" s="5">
        <f>IFERROR(ROUND(SB53/SE53,2),0)</f>
        <v/>
      </c>
      <c r="SN53" s="2" t="inlineStr">
        <is>
          <t>2023-10-27</t>
        </is>
      </c>
      <c r="SO53" s="5">
        <f>ROUND(0.0,2)</f>
        <v/>
      </c>
      <c r="SP53" s="3">
        <f>ROUND(0.0,2)</f>
        <v/>
      </c>
      <c r="SQ53" s="3">
        <f>ROUND(0.0,2)</f>
        <v/>
      </c>
      <c r="SR53" s="3">
        <f>ROUND(0.0,2)</f>
        <v/>
      </c>
      <c r="SS53" s="3">
        <f>ROUND(0.0,2)</f>
        <v/>
      </c>
      <c r="ST53" s="3">
        <f>ROUND(0.0,2)</f>
        <v/>
      </c>
      <c r="SU53" s="3">
        <f>ROUND(0.0,2)</f>
        <v/>
      </c>
      <c r="SV53" s="3">
        <f>ROUND(0.0,2)</f>
        <v/>
      </c>
      <c r="SW53" s="4">
        <f>IFERROR((SQ53/SP53),0)</f>
        <v/>
      </c>
      <c r="SX53" s="4">
        <f>IFERROR(((0+SO11+SO12+SO13+SO14+SO15+SO16+SO17+SO19+SO20+SO21+SO22+SO23+SO24+SO25+SO27+SO28+SO29+SO30+SO31+SO32+SO33+SO35+SO36+SO37+SO38+SO39+SO40+SO41+SO43+SO44+SO45+SO46+SO47+SO48+SO49+SO51+SO52+SO53)/T2),0)</f>
        <v/>
      </c>
      <c r="SY53" s="5">
        <f>IFERROR(ROUND(SO53/SQ53,2),0)</f>
        <v/>
      </c>
      <c r="SZ53" s="5">
        <f>IFERROR(ROUND(SO53/SR53,2),0)</f>
        <v/>
      </c>
    </row>
    <row r="54">
      <c r="A54" s="2" t="inlineStr">
        <is>
          <t>2023-10-28</t>
        </is>
      </c>
      <c r="B54" s="5">
        <f>ROUND(0.0,2)</f>
        <v/>
      </c>
      <c r="C54" s="3">
        <f>ROUND(0.0,2)</f>
        <v/>
      </c>
      <c r="D54" s="3">
        <f>ROUND(0.0,2)</f>
        <v/>
      </c>
      <c r="E54" s="3">
        <f>ROUND(0.0,2)</f>
        <v/>
      </c>
      <c r="F54" s="3">
        <f>ROUND(0.0,2)</f>
        <v/>
      </c>
      <c r="G54" s="3">
        <f>ROUND(0.0,2)</f>
        <v/>
      </c>
      <c r="H54" s="3">
        <f>ROUND(0.0,2)</f>
        <v/>
      </c>
      <c r="I54" s="3">
        <f>ROUND(0.0,2)</f>
        <v/>
      </c>
      <c r="J54" s="4">
        <f>IFERROR((D54/C54),0)</f>
        <v/>
      </c>
      <c r="K54" s="4">
        <f>IFERROR(((0+B11+B12+B13+B14+B15+B16+B17+B19+B20+B21+B22+B23+B24+B25+B27+B28+B29+B30+B31+B32+B33+B35+B36+B37+B38+B39+B40+B41+B43+B44+B45+B46+B47+B48+B49+B51+B52+B53+B54)/T2),0)</f>
        <v/>
      </c>
      <c r="L54" s="5">
        <f>IFERROR(ROUND(B54/D54,2),0)</f>
        <v/>
      </c>
      <c r="M54" s="5">
        <f>IFERROR(ROUND(B54/E54,2),0)</f>
        <v/>
      </c>
      <c r="N54" s="2" t="inlineStr">
        <is>
          <t>2023-10-28</t>
        </is>
      </c>
      <c r="O54" s="5">
        <f>ROUND(0.0,2)</f>
        <v/>
      </c>
      <c r="P54" s="3">
        <f>ROUND(0.0,2)</f>
        <v/>
      </c>
      <c r="Q54" s="3">
        <f>ROUND(0.0,2)</f>
        <v/>
      </c>
      <c r="R54" s="3">
        <f>ROUND(0.0,2)</f>
        <v/>
      </c>
      <c r="S54" s="3">
        <f>ROUND(0.0,2)</f>
        <v/>
      </c>
      <c r="T54" s="3">
        <f>ROUND(0.0,2)</f>
        <v/>
      </c>
      <c r="U54" s="3">
        <f>ROUND(0.0,2)</f>
        <v/>
      </c>
      <c r="V54" s="3">
        <f>ROUND(0.0,2)</f>
        <v/>
      </c>
      <c r="W54" s="4">
        <f>IFERROR((Q54/P54),0)</f>
        <v/>
      </c>
      <c r="X54" s="4">
        <f>IFERROR(((0+O11+O12+O13+O14+O15+O16+O17+O19+O20+O21+O22+O23+O24+O25+O27+O28+O29+O30+O31+O32+O33+O35+O36+O37+O38+O39+O40+O41+O43+O44+O45+O46+O47+O48+O49+O51+O52+O53+O54)/T2),0)</f>
        <v/>
      </c>
      <c r="Y54" s="5">
        <f>IFERROR(ROUND(O54/Q54,2),0)</f>
        <v/>
      </c>
      <c r="Z54" s="5">
        <f>IFERROR(ROUND(O54/R54,2),0)</f>
        <v/>
      </c>
      <c r="AA54" s="2" t="inlineStr">
        <is>
          <t>2023-10-28</t>
        </is>
      </c>
      <c r="AB54" s="5">
        <f>ROUND(0.0,2)</f>
        <v/>
      </c>
      <c r="AC54" s="3">
        <f>ROUND(0.0,2)</f>
        <v/>
      </c>
      <c r="AD54" s="3">
        <f>ROUND(0.0,2)</f>
        <v/>
      </c>
      <c r="AE54" s="3">
        <f>ROUND(0.0,2)</f>
        <v/>
      </c>
      <c r="AF54" s="3">
        <f>ROUND(0.0,2)</f>
        <v/>
      </c>
      <c r="AG54" s="3">
        <f>ROUND(0.0,2)</f>
        <v/>
      </c>
      <c r="AH54" s="3">
        <f>ROUND(0.0,2)</f>
        <v/>
      </c>
      <c r="AI54" s="3">
        <f>ROUND(0.0,2)</f>
        <v/>
      </c>
      <c r="AJ54" s="4">
        <f>IFERROR((AD54/AC54),0)</f>
        <v/>
      </c>
      <c r="AK54" s="4">
        <f>IFERROR(((0+AB11+AB12+AB13+AB14+AB15+AB16+AB17+AB19+AB20+AB21+AB22+AB23+AB24+AB25+AB27+AB28+AB29+AB30+AB31+AB32+AB33+AB35+AB36+AB37+AB38+AB39+AB40+AB41+AB43+AB44+AB45+AB46+AB47+AB48+AB49+AB51+AB52+AB53+AB54)/T2),0)</f>
        <v/>
      </c>
      <c r="AL54" s="5">
        <f>IFERROR(ROUND(AB54/AD54,2),0)</f>
        <v/>
      </c>
      <c r="AM54" s="5">
        <f>IFERROR(ROUND(AB54/AE54,2),0)</f>
        <v/>
      </c>
      <c r="AN54" s="2" t="inlineStr">
        <is>
          <t>2023-10-28</t>
        </is>
      </c>
      <c r="AO54" s="5">
        <f>ROUND(0.0,2)</f>
        <v/>
      </c>
      <c r="AP54" s="3">
        <f>ROUND(0.0,2)</f>
        <v/>
      </c>
      <c r="AQ54" s="3">
        <f>ROUND(0.0,2)</f>
        <v/>
      </c>
      <c r="AR54" s="3">
        <f>ROUND(0.0,2)</f>
        <v/>
      </c>
      <c r="AS54" s="3">
        <f>ROUND(0.0,2)</f>
        <v/>
      </c>
      <c r="AT54" s="3">
        <f>ROUND(0.0,2)</f>
        <v/>
      </c>
      <c r="AU54" s="3">
        <f>ROUND(0.0,2)</f>
        <v/>
      </c>
      <c r="AV54" s="3">
        <f>ROUND(0.0,2)</f>
        <v/>
      </c>
      <c r="AW54" s="4">
        <f>IFERROR((AQ54/AP54),0)</f>
        <v/>
      </c>
      <c r="AX54" s="4">
        <f>IFERROR(((0+AO11+AO12+AO13+AO14+AO15+AO16+AO17+AO19+AO20+AO21+AO22+AO23+AO24+AO25+AO27+AO28+AO29+AO30+AO31+AO32+AO33+AO35+AO36+AO37+AO38+AO39+AO40+AO41+AO43+AO44+AO45+AO46+AO47+AO48+AO49+AO51+AO52+AO53+AO54)/T2),0)</f>
        <v/>
      </c>
      <c r="AY54" s="5">
        <f>IFERROR(ROUND(AO54/AQ54,2),0)</f>
        <v/>
      </c>
      <c r="AZ54" s="5">
        <f>IFERROR(ROUND(AO54/AR54,2),0)</f>
        <v/>
      </c>
      <c r="BA54" s="2" t="inlineStr">
        <is>
          <t>2023-10-28</t>
        </is>
      </c>
      <c r="BB54" s="5">
        <f>ROUND(0.0,2)</f>
        <v/>
      </c>
      <c r="BC54" s="3">
        <f>ROUND(0.0,2)</f>
        <v/>
      </c>
      <c r="BD54" s="3">
        <f>ROUND(0.0,2)</f>
        <v/>
      </c>
      <c r="BE54" s="3">
        <f>ROUND(0.0,2)</f>
        <v/>
      </c>
      <c r="BF54" s="3">
        <f>ROUND(0.0,2)</f>
        <v/>
      </c>
      <c r="BG54" s="3">
        <f>ROUND(0.0,2)</f>
        <v/>
      </c>
      <c r="BH54" s="3">
        <f>ROUND(0.0,2)</f>
        <v/>
      </c>
      <c r="BI54" s="3">
        <f>ROUND(0.0,2)</f>
        <v/>
      </c>
      <c r="BJ54" s="4">
        <f>IFERROR((BD54/BC54),0)</f>
        <v/>
      </c>
      <c r="BK54" s="4">
        <f>IFERROR(((0+BB11+BB12+BB13+BB14+BB15+BB16+BB17+BB19+BB20+BB21+BB22+BB23+BB24+BB25+BB27+BB28+BB29+BB30+BB31+BB32+BB33+BB35+BB36+BB37+BB38+BB39+BB40+BB41+BB43+BB44+BB45+BB46+BB47+BB48+BB49+BB51+BB52+BB53+BB54)/T2),0)</f>
        <v/>
      </c>
      <c r="BL54" s="5">
        <f>IFERROR(ROUND(BB54/BD54,2),0)</f>
        <v/>
      </c>
      <c r="BM54" s="5">
        <f>IFERROR(ROUND(BB54/BE54,2),0)</f>
        <v/>
      </c>
      <c r="BN54" s="2" t="inlineStr">
        <is>
          <t>2023-10-28</t>
        </is>
      </c>
      <c r="BO54" s="5">
        <f>ROUND(0.0,2)</f>
        <v/>
      </c>
      <c r="BP54" s="3">
        <f>ROUND(0.0,2)</f>
        <v/>
      </c>
      <c r="BQ54" s="3">
        <f>ROUND(0.0,2)</f>
        <v/>
      </c>
      <c r="BR54" s="3">
        <f>ROUND(0.0,2)</f>
        <v/>
      </c>
      <c r="BS54" s="3">
        <f>ROUND(0.0,2)</f>
        <v/>
      </c>
      <c r="BT54" s="3">
        <f>ROUND(0.0,2)</f>
        <v/>
      </c>
      <c r="BU54" s="3">
        <f>ROUND(0.0,2)</f>
        <v/>
      </c>
      <c r="BV54" s="3">
        <f>ROUND(0.0,2)</f>
        <v/>
      </c>
      <c r="BW54" s="4">
        <f>IFERROR((BQ54/BP54),0)</f>
        <v/>
      </c>
      <c r="BX54" s="4">
        <f>IFERROR(((0+BO11+BO12+BO13+BO14+BO15+BO16+BO17+BO19+BO20+BO21+BO22+BO23+BO24+BO25+BO27+BO28+BO29+BO30+BO31+BO32+BO33+BO35+BO36+BO37+BO38+BO39+BO40+BO41+BO43+BO44+BO45+BO46+BO47+BO48+BO49+BO51+BO52+BO53+BO54)/T2),0)</f>
        <v/>
      </c>
      <c r="BY54" s="5">
        <f>IFERROR(ROUND(BO54/BQ54,2),0)</f>
        <v/>
      </c>
      <c r="BZ54" s="5">
        <f>IFERROR(ROUND(BO54/BR54,2),0)</f>
        <v/>
      </c>
      <c r="CA54" s="2" t="inlineStr">
        <is>
          <t>2023-10-28</t>
        </is>
      </c>
      <c r="CB54" s="5">
        <f>ROUND(0.0,2)</f>
        <v/>
      </c>
      <c r="CC54" s="3">
        <f>ROUND(0.0,2)</f>
        <v/>
      </c>
      <c r="CD54" s="3">
        <f>ROUND(0.0,2)</f>
        <v/>
      </c>
      <c r="CE54" s="3">
        <f>ROUND(0.0,2)</f>
        <v/>
      </c>
      <c r="CF54" s="3">
        <f>ROUND(0.0,2)</f>
        <v/>
      </c>
      <c r="CG54" s="3">
        <f>ROUND(0.0,2)</f>
        <v/>
      </c>
      <c r="CH54" s="3">
        <f>ROUND(0.0,2)</f>
        <v/>
      </c>
      <c r="CI54" s="3">
        <f>ROUND(0.0,2)</f>
        <v/>
      </c>
      <c r="CJ54" s="4">
        <f>IFERROR((CD54/CC54),0)</f>
        <v/>
      </c>
      <c r="CK54" s="4">
        <f>IFERROR(((0+CB11+CB12+CB13+CB14+CB15+CB16+CB17+CB19+CB20+CB21+CB22+CB23+CB24+CB25+CB27+CB28+CB29+CB30+CB31+CB32+CB33+CB35+CB36+CB37+CB38+CB39+CB40+CB41+CB43+CB44+CB45+CB46+CB47+CB48+CB49+CB51+CB52+CB53+CB54)/T2),0)</f>
        <v/>
      </c>
      <c r="CL54" s="5">
        <f>IFERROR(ROUND(CB54/CD54,2),0)</f>
        <v/>
      </c>
      <c r="CM54" s="5">
        <f>IFERROR(ROUND(CB54/CE54,2),0)</f>
        <v/>
      </c>
      <c r="CN54" s="2" t="inlineStr">
        <is>
          <t>2023-10-28</t>
        </is>
      </c>
      <c r="CO54" s="5">
        <f>ROUND(0.0,2)</f>
        <v/>
      </c>
      <c r="CP54" s="3">
        <f>ROUND(0.0,2)</f>
        <v/>
      </c>
      <c r="CQ54" s="3">
        <f>ROUND(0.0,2)</f>
        <v/>
      </c>
      <c r="CR54" s="3">
        <f>ROUND(0.0,2)</f>
        <v/>
      </c>
      <c r="CS54" s="3">
        <f>ROUND(0.0,2)</f>
        <v/>
      </c>
      <c r="CT54" s="3">
        <f>ROUND(0.0,2)</f>
        <v/>
      </c>
      <c r="CU54" s="3">
        <f>ROUND(0.0,2)</f>
        <v/>
      </c>
      <c r="CV54" s="3">
        <f>ROUND(0.0,2)</f>
        <v/>
      </c>
      <c r="CW54" s="4">
        <f>IFERROR((CQ54/CP54),0)</f>
        <v/>
      </c>
      <c r="CX54" s="4">
        <f>IFERROR(((0+CO11+CO12+CO13+CO14+CO15+CO16+CO17+CO19+CO20+CO21+CO22+CO23+CO24+CO25+CO27+CO28+CO29+CO30+CO31+CO32+CO33+CO35+CO36+CO37+CO38+CO39+CO40+CO41+CO43+CO44+CO45+CO46+CO47+CO48+CO49+CO51+CO52+CO53+CO54)/T2),0)</f>
        <v/>
      </c>
      <c r="CY54" s="5">
        <f>IFERROR(ROUND(CO54/CQ54,2),0)</f>
        <v/>
      </c>
      <c r="CZ54" s="5">
        <f>IFERROR(ROUND(CO54/CR54,2),0)</f>
        <v/>
      </c>
      <c r="DA54" s="2" t="inlineStr">
        <is>
          <t>2023-10-28</t>
        </is>
      </c>
      <c r="DB54" s="5">
        <f>ROUND(0.0,2)</f>
        <v/>
      </c>
      <c r="DC54" s="3">
        <f>ROUND(0.0,2)</f>
        <v/>
      </c>
      <c r="DD54" s="3">
        <f>ROUND(0.0,2)</f>
        <v/>
      </c>
      <c r="DE54" s="3">
        <f>ROUND(0.0,2)</f>
        <v/>
      </c>
      <c r="DF54" s="3">
        <f>ROUND(0.0,2)</f>
        <v/>
      </c>
      <c r="DG54" s="3">
        <f>ROUND(0.0,2)</f>
        <v/>
      </c>
      <c r="DH54" s="3">
        <f>ROUND(0.0,2)</f>
        <v/>
      </c>
      <c r="DI54" s="3">
        <f>ROUND(0.0,2)</f>
        <v/>
      </c>
      <c r="DJ54" s="4">
        <f>IFERROR((DD54/DC54),0)</f>
        <v/>
      </c>
      <c r="DK54" s="4">
        <f>IFERROR(((0+DB11+DB12+DB13+DB14+DB15+DB16+DB17+DB19+DB20+DB21+DB22+DB23+DB24+DB25+DB27+DB28+DB29+DB30+DB31+DB32+DB33+DB35+DB36+DB37+DB38+DB39+DB40+DB41+DB43+DB44+DB45+DB46+DB47+DB48+DB49+DB51+DB52+DB53+DB54)/T2),0)</f>
        <v/>
      </c>
      <c r="DL54" s="5">
        <f>IFERROR(ROUND(DB54/DD54,2),0)</f>
        <v/>
      </c>
      <c r="DM54" s="5">
        <f>IFERROR(ROUND(DB54/DE54,2),0)</f>
        <v/>
      </c>
      <c r="DN54" s="2" t="inlineStr">
        <is>
          <t>2023-10-28</t>
        </is>
      </c>
      <c r="DO54" s="5">
        <f>ROUND(0.0,2)</f>
        <v/>
      </c>
      <c r="DP54" s="3">
        <f>ROUND(0.0,2)</f>
        <v/>
      </c>
      <c r="DQ54" s="3">
        <f>ROUND(0.0,2)</f>
        <v/>
      </c>
      <c r="DR54" s="3">
        <f>ROUND(0.0,2)</f>
        <v/>
      </c>
      <c r="DS54" s="3">
        <f>ROUND(0.0,2)</f>
        <v/>
      </c>
      <c r="DT54" s="3">
        <f>ROUND(0.0,2)</f>
        <v/>
      </c>
      <c r="DU54" s="3">
        <f>ROUND(0.0,2)</f>
        <v/>
      </c>
      <c r="DV54" s="3">
        <f>ROUND(0.0,2)</f>
        <v/>
      </c>
      <c r="DW54" s="4">
        <f>IFERROR((DQ54/DP54),0)</f>
        <v/>
      </c>
      <c r="DX54" s="4">
        <f>IFERROR(((0+DO11+DO12+DO13+DO14+DO15+DO16+DO17+DO19+DO20+DO21+DO22+DO23+DO24+DO25+DO27+DO28+DO29+DO30+DO31+DO32+DO33+DO35+DO36+DO37+DO38+DO39+DO40+DO41+DO43+DO44+DO45+DO46+DO47+DO48+DO49+DO51+DO52+DO53+DO54)/T2),0)</f>
        <v/>
      </c>
      <c r="DY54" s="5">
        <f>IFERROR(ROUND(DO54/DQ54,2),0)</f>
        <v/>
      </c>
      <c r="DZ54" s="5">
        <f>IFERROR(ROUND(DO54/DR54,2),0)</f>
        <v/>
      </c>
      <c r="EA54" s="2" t="inlineStr">
        <is>
          <t>2023-10-28</t>
        </is>
      </c>
      <c r="EB54" s="5">
        <f>ROUND(0.0,2)</f>
        <v/>
      </c>
      <c r="EC54" s="3">
        <f>ROUND(0.0,2)</f>
        <v/>
      </c>
      <c r="ED54" s="3">
        <f>ROUND(0.0,2)</f>
        <v/>
      </c>
      <c r="EE54" s="3">
        <f>ROUND(0.0,2)</f>
        <v/>
      </c>
      <c r="EF54" s="3">
        <f>ROUND(0.0,2)</f>
        <v/>
      </c>
      <c r="EG54" s="3">
        <f>ROUND(0.0,2)</f>
        <v/>
      </c>
      <c r="EH54" s="3">
        <f>ROUND(0.0,2)</f>
        <v/>
      </c>
      <c r="EI54" s="3">
        <f>ROUND(0.0,2)</f>
        <v/>
      </c>
      <c r="EJ54" s="4">
        <f>IFERROR((ED54/EC54),0)</f>
        <v/>
      </c>
      <c r="EK54" s="4">
        <f>IFERROR(((0+EB11+EB12+EB13+EB14+EB15+EB16+EB17+EB19+EB20+EB21+EB22+EB23+EB24+EB25+EB27+EB28+EB29+EB30+EB31+EB32+EB33+EB35+EB36+EB37+EB38+EB39+EB40+EB41+EB43+EB44+EB45+EB46+EB47+EB48+EB49+EB51+EB52+EB53+EB54)/T2),0)</f>
        <v/>
      </c>
      <c r="EL54" s="5">
        <f>IFERROR(ROUND(EB54/ED54,2),0)</f>
        <v/>
      </c>
      <c r="EM54" s="5">
        <f>IFERROR(ROUND(EB54/EE54,2),0)</f>
        <v/>
      </c>
      <c r="EN54" s="2" t="inlineStr">
        <is>
          <t>2023-10-28</t>
        </is>
      </c>
      <c r="EO54" s="5">
        <f>ROUND(0.0,2)</f>
        <v/>
      </c>
      <c r="EP54" s="3">
        <f>ROUND(0.0,2)</f>
        <v/>
      </c>
      <c r="EQ54" s="3">
        <f>ROUND(0.0,2)</f>
        <v/>
      </c>
      <c r="ER54" s="3">
        <f>ROUND(0.0,2)</f>
        <v/>
      </c>
      <c r="ES54" s="3">
        <f>ROUND(0.0,2)</f>
        <v/>
      </c>
      <c r="ET54" s="3">
        <f>ROUND(0.0,2)</f>
        <v/>
      </c>
      <c r="EU54" s="3">
        <f>ROUND(0.0,2)</f>
        <v/>
      </c>
      <c r="EV54" s="3">
        <f>ROUND(0.0,2)</f>
        <v/>
      </c>
      <c r="EW54" s="4">
        <f>IFERROR((EQ54/EP54),0)</f>
        <v/>
      </c>
      <c r="EX54" s="4">
        <f>IFERROR(((0+EO11+EO12+EO13+EO14+EO15+EO16+EO17+EO19+EO20+EO21+EO22+EO23+EO24+EO25+EO27+EO28+EO29+EO30+EO31+EO32+EO33+EO35+EO36+EO37+EO38+EO39+EO40+EO41+EO43+EO44+EO45+EO46+EO47+EO48+EO49+EO51+EO52+EO53+EO54)/T2),0)</f>
        <v/>
      </c>
      <c r="EY54" s="5">
        <f>IFERROR(ROUND(EO54/EQ54,2),0)</f>
        <v/>
      </c>
      <c r="EZ54" s="5">
        <f>IFERROR(ROUND(EO54/ER54,2),0)</f>
        <v/>
      </c>
      <c r="FA54" s="2" t="inlineStr">
        <is>
          <t>2023-10-28</t>
        </is>
      </c>
      <c r="FB54" s="5">
        <f>ROUND(0.0,2)</f>
        <v/>
      </c>
      <c r="FC54" s="3">
        <f>ROUND(0.0,2)</f>
        <v/>
      </c>
      <c r="FD54" s="3">
        <f>ROUND(0.0,2)</f>
        <v/>
      </c>
      <c r="FE54" s="3">
        <f>ROUND(0.0,2)</f>
        <v/>
      </c>
      <c r="FF54" s="3">
        <f>ROUND(0.0,2)</f>
        <v/>
      </c>
      <c r="FG54" s="3">
        <f>ROUND(0.0,2)</f>
        <v/>
      </c>
      <c r="FH54" s="3">
        <f>ROUND(0.0,2)</f>
        <v/>
      </c>
      <c r="FI54" s="3">
        <f>ROUND(0.0,2)</f>
        <v/>
      </c>
      <c r="FJ54" s="4">
        <f>IFERROR((FD54/FC54),0)</f>
        <v/>
      </c>
      <c r="FK54" s="4">
        <f>IFERROR(((0+FB11+FB12+FB13+FB14+FB15+FB16+FB17+FB19+FB20+FB21+FB22+FB23+FB24+FB25+FB27+FB28+FB29+FB30+FB31+FB32+FB33+FB35+FB36+FB37+FB38+FB39+FB40+FB41+FB43+FB44+FB45+FB46+FB47+FB48+FB49+FB51+FB52+FB53+FB54)/T2),0)</f>
        <v/>
      </c>
      <c r="FL54" s="5">
        <f>IFERROR(ROUND(FB54/FD54,2),0)</f>
        <v/>
      </c>
      <c r="FM54" s="5">
        <f>IFERROR(ROUND(FB54/FE54,2),0)</f>
        <v/>
      </c>
      <c r="FN54" s="2" t="inlineStr">
        <is>
          <t>2023-10-28</t>
        </is>
      </c>
      <c r="FO54" s="5">
        <f>ROUND(0.0,2)</f>
        <v/>
      </c>
      <c r="FP54" s="3">
        <f>ROUND(0.0,2)</f>
        <v/>
      </c>
      <c r="FQ54" s="3">
        <f>ROUND(0.0,2)</f>
        <v/>
      </c>
      <c r="FR54" s="3">
        <f>ROUND(0.0,2)</f>
        <v/>
      </c>
      <c r="FS54" s="3">
        <f>ROUND(0.0,2)</f>
        <v/>
      </c>
      <c r="FT54" s="3">
        <f>ROUND(0.0,2)</f>
        <v/>
      </c>
      <c r="FU54" s="3">
        <f>ROUND(0.0,2)</f>
        <v/>
      </c>
      <c r="FV54" s="3">
        <f>ROUND(0.0,2)</f>
        <v/>
      </c>
      <c r="FW54" s="4">
        <f>IFERROR((FQ54/FP54),0)</f>
        <v/>
      </c>
      <c r="FX54" s="4">
        <f>IFERROR(((0+FO11+FO12+FO13+FO14+FO15+FO16+FO17+FO19+FO20+FO21+FO22+FO23+FO24+FO25+FO27+FO28+FO29+FO30+FO31+FO32+FO33+FO35+FO36+FO37+FO38+FO39+FO40+FO41+FO43+FO44+FO45+FO46+FO47+FO48+FO49+FO51+FO52+FO53+FO54)/T2),0)</f>
        <v/>
      </c>
      <c r="FY54" s="5">
        <f>IFERROR(ROUND(FO54/FQ54,2),0)</f>
        <v/>
      </c>
      <c r="FZ54" s="5">
        <f>IFERROR(ROUND(FO54/FR54,2),0)</f>
        <v/>
      </c>
      <c r="GA54" s="2" t="inlineStr">
        <is>
          <t>2023-10-28</t>
        </is>
      </c>
      <c r="GB54" s="5">
        <f>ROUND(0.0,2)</f>
        <v/>
      </c>
      <c r="GC54" s="3">
        <f>ROUND(0.0,2)</f>
        <v/>
      </c>
      <c r="GD54" s="3">
        <f>ROUND(0.0,2)</f>
        <v/>
      </c>
      <c r="GE54" s="3">
        <f>ROUND(0.0,2)</f>
        <v/>
      </c>
      <c r="GF54" s="3">
        <f>ROUND(0.0,2)</f>
        <v/>
      </c>
      <c r="GG54" s="3">
        <f>ROUND(0.0,2)</f>
        <v/>
      </c>
      <c r="GH54" s="3">
        <f>ROUND(0.0,2)</f>
        <v/>
      </c>
      <c r="GI54" s="3">
        <f>ROUND(0.0,2)</f>
        <v/>
      </c>
      <c r="GJ54" s="4">
        <f>IFERROR((GD54/GC54),0)</f>
        <v/>
      </c>
      <c r="GK54" s="4">
        <f>IFERROR(((0+GB11+GB12+GB13+GB14+GB15+GB16+GB17+GB19+GB20+GB21+GB22+GB23+GB24+GB25+GB27+GB28+GB29+GB30+GB31+GB32+GB33+GB35+GB36+GB37+GB38+GB39+GB40+GB41+GB43+GB44+GB45+GB46+GB47+GB48+GB49+GB51+GB52+GB53+GB54)/T2),0)</f>
        <v/>
      </c>
      <c r="GL54" s="5">
        <f>IFERROR(ROUND(GB54/GD54,2),0)</f>
        <v/>
      </c>
      <c r="GM54" s="5">
        <f>IFERROR(ROUND(GB54/GE54,2),0)</f>
        <v/>
      </c>
      <c r="GN54" s="2" t="inlineStr">
        <is>
          <t>2023-10-28</t>
        </is>
      </c>
      <c r="GO54" s="5">
        <f>ROUND(0.0,2)</f>
        <v/>
      </c>
      <c r="GP54" s="3">
        <f>ROUND(0.0,2)</f>
        <v/>
      </c>
      <c r="GQ54" s="3">
        <f>ROUND(0.0,2)</f>
        <v/>
      </c>
      <c r="GR54" s="3">
        <f>ROUND(0.0,2)</f>
        <v/>
      </c>
      <c r="GS54" s="3">
        <f>ROUND(0.0,2)</f>
        <v/>
      </c>
      <c r="GT54" s="3">
        <f>ROUND(0.0,2)</f>
        <v/>
      </c>
      <c r="GU54" s="3">
        <f>ROUND(0.0,2)</f>
        <v/>
      </c>
      <c r="GV54" s="3">
        <f>ROUND(0.0,2)</f>
        <v/>
      </c>
      <c r="GW54" s="4">
        <f>IFERROR((GQ54/GP54),0)</f>
        <v/>
      </c>
      <c r="GX54" s="4">
        <f>IFERROR(((0+GO11+GO12+GO13+GO14+GO15+GO16+GO17+GO19+GO20+GO21+GO22+GO23+GO24+GO25+GO27+GO28+GO29+GO30+GO31+GO32+GO33+GO35+GO36+GO37+GO38+GO39+GO40+GO41+GO43+GO44+GO45+GO46+GO47+GO48+GO49+GO51+GO52+GO53+GO54)/T2),0)</f>
        <v/>
      </c>
      <c r="GY54" s="5">
        <f>IFERROR(ROUND(GO54/GQ54,2),0)</f>
        <v/>
      </c>
      <c r="GZ54" s="5">
        <f>IFERROR(ROUND(GO54/GR54,2),0)</f>
        <v/>
      </c>
      <c r="HA54" s="2" t="inlineStr">
        <is>
          <t>2023-10-28</t>
        </is>
      </c>
      <c r="HB54" s="5">
        <f>ROUND(0.0,2)</f>
        <v/>
      </c>
      <c r="HC54" s="3">
        <f>ROUND(0.0,2)</f>
        <v/>
      </c>
      <c r="HD54" s="3">
        <f>ROUND(0.0,2)</f>
        <v/>
      </c>
      <c r="HE54" s="3">
        <f>ROUND(0.0,2)</f>
        <v/>
      </c>
      <c r="HF54" s="3">
        <f>ROUND(0.0,2)</f>
        <v/>
      </c>
      <c r="HG54" s="3">
        <f>ROUND(0.0,2)</f>
        <v/>
      </c>
      <c r="HH54" s="3">
        <f>ROUND(0.0,2)</f>
        <v/>
      </c>
      <c r="HI54" s="3">
        <f>ROUND(0.0,2)</f>
        <v/>
      </c>
      <c r="HJ54" s="4">
        <f>IFERROR((HD54/HC54),0)</f>
        <v/>
      </c>
      <c r="HK54" s="4">
        <f>IFERROR(((0+HB11+HB12+HB13+HB14+HB15+HB16+HB17+HB19+HB20+HB21+HB22+HB23+HB24+HB25+HB27+HB28+HB29+HB30+HB31+HB32+HB33+HB35+HB36+HB37+HB38+HB39+HB40+HB41+HB43+HB44+HB45+HB46+HB47+HB48+HB49+HB51+HB52+HB53+HB54)/T2),0)</f>
        <v/>
      </c>
      <c r="HL54" s="5">
        <f>IFERROR(ROUND(HB54/HD54,2),0)</f>
        <v/>
      </c>
      <c r="HM54" s="5">
        <f>IFERROR(ROUND(HB54/HE54,2),0)</f>
        <v/>
      </c>
      <c r="HN54" s="2" t="inlineStr">
        <is>
          <t>2023-10-28</t>
        </is>
      </c>
      <c r="HO54" s="5">
        <f>ROUND(0.0,2)</f>
        <v/>
      </c>
      <c r="HP54" s="3">
        <f>ROUND(0.0,2)</f>
        <v/>
      </c>
      <c r="HQ54" s="3">
        <f>ROUND(0.0,2)</f>
        <v/>
      </c>
      <c r="HR54" s="3">
        <f>ROUND(0.0,2)</f>
        <v/>
      </c>
      <c r="HS54" s="3">
        <f>ROUND(0.0,2)</f>
        <v/>
      </c>
      <c r="HT54" s="3">
        <f>ROUND(0.0,2)</f>
        <v/>
      </c>
      <c r="HU54" s="3">
        <f>ROUND(0.0,2)</f>
        <v/>
      </c>
      <c r="HV54" s="3">
        <f>ROUND(0.0,2)</f>
        <v/>
      </c>
      <c r="HW54" s="4">
        <f>IFERROR((HQ54/HP54),0)</f>
        <v/>
      </c>
      <c r="HX54" s="4">
        <f>IFERROR(((0+HO11+HO12+HO13+HO14+HO15+HO16+HO17+HO19+HO20+HO21+HO22+HO23+HO24+HO25+HO27+HO28+HO29+HO30+HO31+HO32+HO33+HO35+HO36+HO37+HO38+HO39+HO40+HO41+HO43+HO44+HO45+HO46+HO47+HO48+HO49+HO51+HO52+HO53+HO54)/T2),0)</f>
        <v/>
      </c>
      <c r="HY54" s="5">
        <f>IFERROR(ROUND(HO54/HQ54,2),0)</f>
        <v/>
      </c>
      <c r="HZ54" s="5">
        <f>IFERROR(ROUND(HO54/HR54,2),0)</f>
        <v/>
      </c>
      <c r="IA54" s="2" t="inlineStr">
        <is>
          <t>2023-10-28</t>
        </is>
      </c>
      <c r="IB54" s="5">
        <f>ROUND(0.0,2)</f>
        <v/>
      </c>
      <c r="IC54" s="3">
        <f>ROUND(0.0,2)</f>
        <v/>
      </c>
      <c r="ID54" s="3">
        <f>ROUND(0.0,2)</f>
        <v/>
      </c>
      <c r="IE54" s="3">
        <f>ROUND(0.0,2)</f>
        <v/>
      </c>
      <c r="IF54" s="3">
        <f>ROUND(0.0,2)</f>
        <v/>
      </c>
      <c r="IG54" s="3">
        <f>ROUND(0.0,2)</f>
        <v/>
      </c>
      <c r="IH54" s="3">
        <f>ROUND(0.0,2)</f>
        <v/>
      </c>
      <c r="II54" s="3">
        <f>ROUND(0.0,2)</f>
        <v/>
      </c>
      <c r="IJ54" s="4">
        <f>IFERROR((ID54/IC54),0)</f>
        <v/>
      </c>
      <c r="IK54" s="4">
        <f>IFERROR(((0+IB11+IB12+IB13+IB14+IB15+IB16+IB17+IB19+IB20+IB21+IB22+IB23+IB24+IB25+IB27+IB28+IB29+IB30+IB31+IB32+IB33+IB35+IB36+IB37+IB38+IB39+IB40+IB41+IB43+IB44+IB45+IB46+IB47+IB48+IB49+IB51+IB52+IB53+IB54)/T2),0)</f>
        <v/>
      </c>
      <c r="IL54" s="5">
        <f>IFERROR(ROUND(IB54/ID54,2),0)</f>
        <v/>
      </c>
      <c r="IM54" s="5">
        <f>IFERROR(ROUND(IB54/IE54,2),0)</f>
        <v/>
      </c>
      <c r="IN54" s="2" t="inlineStr">
        <is>
          <t>2023-10-28</t>
        </is>
      </c>
      <c r="IO54" s="5">
        <f>ROUND(0.0,2)</f>
        <v/>
      </c>
      <c r="IP54" s="3">
        <f>ROUND(0.0,2)</f>
        <v/>
      </c>
      <c r="IQ54" s="3">
        <f>ROUND(0.0,2)</f>
        <v/>
      </c>
      <c r="IR54" s="3">
        <f>ROUND(0.0,2)</f>
        <v/>
      </c>
      <c r="IS54" s="3">
        <f>ROUND(0.0,2)</f>
        <v/>
      </c>
      <c r="IT54" s="3">
        <f>ROUND(0.0,2)</f>
        <v/>
      </c>
      <c r="IU54" s="3">
        <f>ROUND(0.0,2)</f>
        <v/>
      </c>
      <c r="IV54" s="3">
        <f>ROUND(0.0,2)</f>
        <v/>
      </c>
      <c r="IW54" s="4">
        <f>IFERROR((IQ54/IP54),0)</f>
        <v/>
      </c>
      <c r="IX54" s="4">
        <f>IFERROR(((0+IO11+IO12+IO13+IO14+IO15+IO16+IO17+IO19+IO20+IO21+IO22+IO23+IO24+IO25+IO27+IO28+IO29+IO30+IO31+IO32+IO33+IO35+IO36+IO37+IO38+IO39+IO40+IO41+IO43+IO44+IO45+IO46+IO47+IO48+IO49+IO51+IO52+IO53+IO54)/T2),0)</f>
        <v/>
      </c>
      <c r="IY54" s="5">
        <f>IFERROR(ROUND(IO54/IQ54,2),0)</f>
        <v/>
      </c>
      <c r="IZ54" s="5">
        <f>IFERROR(ROUND(IO54/IR54,2),0)</f>
        <v/>
      </c>
      <c r="JA54" s="2" t="inlineStr">
        <is>
          <t>2023-10-28</t>
        </is>
      </c>
      <c r="JB54" s="5">
        <f>ROUND(0.0,2)</f>
        <v/>
      </c>
      <c r="JC54" s="3">
        <f>ROUND(0.0,2)</f>
        <v/>
      </c>
      <c r="JD54" s="3">
        <f>ROUND(0.0,2)</f>
        <v/>
      </c>
      <c r="JE54" s="3">
        <f>ROUND(0.0,2)</f>
        <v/>
      </c>
      <c r="JF54" s="3">
        <f>ROUND(0.0,2)</f>
        <v/>
      </c>
      <c r="JG54" s="3">
        <f>ROUND(0.0,2)</f>
        <v/>
      </c>
      <c r="JH54" s="3">
        <f>ROUND(0.0,2)</f>
        <v/>
      </c>
      <c r="JI54" s="3">
        <f>ROUND(0.0,2)</f>
        <v/>
      </c>
      <c r="JJ54" s="4">
        <f>IFERROR((JD54/JC54),0)</f>
        <v/>
      </c>
      <c r="JK54" s="4">
        <f>IFERROR(((0+JB11+JB12+JB13+JB14+JB15+JB16+JB17+JB19+JB20+JB21+JB22+JB23+JB24+JB25+JB27+JB28+JB29+JB30+JB31+JB32+JB33+JB35+JB36+JB37+JB38+JB39+JB40+JB41+JB43+JB44+JB45+JB46+JB47+JB48+JB49+JB51+JB52+JB53+JB54)/T2),0)</f>
        <v/>
      </c>
      <c r="JL54" s="5">
        <f>IFERROR(ROUND(JB54/JD54,2),0)</f>
        <v/>
      </c>
      <c r="JM54" s="5">
        <f>IFERROR(ROUND(JB54/JE54,2),0)</f>
        <v/>
      </c>
      <c r="JN54" s="2" t="inlineStr">
        <is>
          <t>2023-10-28</t>
        </is>
      </c>
      <c r="JO54" s="5">
        <f>ROUND(0.0,2)</f>
        <v/>
      </c>
      <c r="JP54" s="3">
        <f>ROUND(0.0,2)</f>
        <v/>
      </c>
      <c r="JQ54" s="3">
        <f>ROUND(0.0,2)</f>
        <v/>
      </c>
      <c r="JR54" s="3">
        <f>ROUND(0.0,2)</f>
        <v/>
      </c>
      <c r="JS54" s="3">
        <f>ROUND(0.0,2)</f>
        <v/>
      </c>
      <c r="JT54" s="3">
        <f>ROUND(0.0,2)</f>
        <v/>
      </c>
      <c r="JU54" s="3">
        <f>ROUND(0.0,2)</f>
        <v/>
      </c>
      <c r="JV54" s="3">
        <f>ROUND(0.0,2)</f>
        <v/>
      </c>
      <c r="JW54" s="4">
        <f>IFERROR((JQ54/JP54),0)</f>
        <v/>
      </c>
      <c r="JX54" s="4">
        <f>IFERROR(((0+JO11+JO12+JO13+JO14+JO15+JO16+JO17+JO19+JO20+JO21+JO22+JO23+JO24+JO25+JO27+JO28+JO29+JO30+JO31+JO32+JO33+JO35+JO36+JO37+JO38+JO39+JO40+JO41+JO43+JO44+JO45+JO46+JO47+JO48+JO49+JO51+JO52+JO53+JO54)/T2),0)</f>
        <v/>
      </c>
      <c r="JY54" s="5">
        <f>IFERROR(ROUND(JO54/JQ54,2),0)</f>
        <v/>
      </c>
      <c r="JZ54" s="5">
        <f>IFERROR(ROUND(JO54/JR54,2),0)</f>
        <v/>
      </c>
      <c r="KA54" s="2" t="inlineStr">
        <is>
          <t>2023-10-28</t>
        </is>
      </c>
      <c r="KB54" s="5">
        <f>ROUND(0.0,2)</f>
        <v/>
      </c>
      <c r="KC54" s="3">
        <f>ROUND(0.0,2)</f>
        <v/>
      </c>
      <c r="KD54" s="3">
        <f>ROUND(0.0,2)</f>
        <v/>
      </c>
      <c r="KE54" s="3">
        <f>ROUND(0.0,2)</f>
        <v/>
      </c>
      <c r="KF54" s="3">
        <f>ROUND(0.0,2)</f>
        <v/>
      </c>
      <c r="KG54" s="3">
        <f>ROUND(0.0,2)</f>
        <v/>
      </c>
      <c r="KH54" s="3">
        <f>ROUND(0.0,2)</f>
        <v/>
      </c>
      <c r="KI54" s="3">
        <f>ROUND(0.0,2)</f>
        <v/>
      </c>
      <c r="KJ54" s="4">
        <f>IFERROR((KD54/KC54),0)</f>
        <v/>
      </c>
      <c r="KK54" s="4">
        <f>IFERROR(((0+KB11+KB12+KB13+KB14+KB15+KB16+KB17+KB19+KB20+KB21+KB22+KB23+KB24+KB25+KB27+KB28+KB29+KB30+KB31+KB32+KB33+KB35+KB36+KB37+KB38+KB39+KB40+KB41+KB43+KB44+KB45+KB46+KB47+KB48+KB49+KB51+KB52+KB53+KB54)/T2),0)</f>
        <v/>
      </c>
      <c r="KL54" s="5">
        <f>IFERROR(ROUND(KB54/KD54,2),0)</f>
        <v/>
      </c>
      <c r="KM54" s="5">
        <f>IFERROR(ROUND(KB54/KE54,2),0)</f>
        <v/>
      </c>
      <c r="KN54" s="2" t="inlineStr">
        <is>
          <t>2023-10-28</t>
        </is>
      </c>
      <c r="KO54" s="5">
        <f>ROUND(0.0,2)</f>
        <v/>
      </c>
      <c r="KP54" s="3">
        <f>ROUND(0.0,2)</f>
        <v/>
      </c>
      <c r="KQ54" s="3">
        <f>ROUND(0.0,2)</f>
        <v/>
      </c>
      <c r="KR54" s="3">
        <f>ROUND(0.0,2)</f>
        <v/>
      </c>
      <c r="KS54" s="3">
        <f>ROUND(0.0,2)</f>
        <v/>
      </c>
      <c r="KT54" s="3">
        <f>ROUND(0.0,2)</f>
        <v/>
      </c>
      <c r="KU54" s="3">
        <f>ROUND(0.0,2)</f>
        <v/>
      </c>
      <c r="KV54" s="3">
        <f>ROUND(0.0,2)</f>
        <v/>
      </c>
      <c r="KW54" s="4">
        <f>IFERROR((KQ54/KP54),0)</f>
        <v/>
      </c>
      <c r="KX54" s="4">
        <f>IFERROR(((0+KO11+KO12+KO13+KO14+KO15+KO16+KO17+KO19+KO20+KO21+KO22+KO23+KO24+KO25+KO27+KO28+KO29+KO30+KO31+KO32+KO33+KO35+KO36+KO37+KO38+KO39+KO40+KO41+KO43+KO44+KO45+KO46+KO47+KO48+KO49+KO51+KO52+KO53+KO54)/T2),0)</f>
        <v/>
      </c>
      <c r="KY54" s="5">
        <f>IFERROR(ROUND(KO54/KQ54,2),0)</f>
        <v/>
      </c>
      <c r="KZ54" s="5">
        <f>IFERROR(ROUND(KO54/KR54,2),0)</f>
        <v/>
      </c>
      <c r="LA54" s="2" t="inlineStr">
        <is>
          <t>2023-10-28</t>
        </is>
      </c>
      <c r="LB54" s="5">
        <f>ROUND(0.0,2)</f>
        <v/>
      </c>
      <c r="LC54" s="3">
        <f>ROUND(0.0,2)</f>
        <v/>
      </c>
      <c r="LD54" s="3">
        <f>ROUND(0.0,2)</f>
        <v/>
      </c>
      <c r="LE54" s="3">
        <f>ROUND(0.0,2)</f>
        <v/>
      </c>
      <c r="LF54" s="3">
        <f>ROUND(0.0,2)</f>
        <v/>
      </c>
      <c r="LG54" s="3">
        <f>ROUND(0.0,2)</f>
        <v/>
      </c>
      <c r="LH54" s="3">
        <f>ROUND(0.0,2)</f>
        <v/>
      </c>
      <c r="LI54" s="3">
        <f>ROUND(0.0,2)</f>
        <v/>
      </c>
      <c r="LJ54" s="4">
        <f>IFERROR((LD54/LC54),0)</f>
        <v/>
      </c>
      <c r="LK54" s="4">
        <f>IFERROR(((0+LB11+LB12+LB13+LB14+LB15+LB16+LB17+LB19+LB20+LB21+LB22+LB23+LB24+LB25+LB27+LB28+LB29+LB30+LB31+LB32+LB33+LB35+LB36+LB37+LB38+LB39+LB40+LB41+LB43+LB44+LB45+LB46+LB47+LB48+LB49+LB51+LB52+LB53+LB54)/T2),0)</f>
        <v/>
      </c>
      <c r="LL54" s="5">
        <f>IFERROR(ROUND(LB54/LD54,2),0)</f>
        <v/>
      </c>
      <c r="LM54" s="5">
        <f>IFERROR(ROUND(LB54/LE54,2),0)</f>
        <v/>
      </c>
      <c r="LN54" s="2" t="inlineStr">
        <is>
          <t>2023-10-28</t>
        </is>
      </c>
      <c r="LO54" s="5">
        <f>ROUND(0.0,2)</f>
        <v/>
      </c>
      <c r="LP54" s="3">
        <f>ROUND(0.0,2)</f>
        <v/>
      </c>
      <c r="LQ54" s="3">
        <f>ROUND(0.0,2)</f>
        <v/>
      </c>
      <c r="LR54" s="3">
        <f>ROUND(0.0,2)</f>
        <v/>
      </c>
      <c r="LS54" s="3">
        <f>ROUND(0.0,2)</f>
        <v/>
      </c>
      <c r="LT54" s="3">
        <f>ROUND(0.0,2)</f>
        <v/>
      </c>
      <c r="LU54" s="3">
        <f>ROUND(0.0,2)</f>
        <v/>
      </c>
      <c r="LV54" s="3">
        <f>ROUND(0.0,2)</f>
        <v/>
      </c>
      <c r="LW54" s="4">
        <f>IFERROR((LQ54/LP54),0)</f>
        <v/>
      </c>
      <c r="LX54" s="4">
        <f>IFERROR(((0+LO11+LO12+LO13+LO14+LO15+LO16+LO17+LO19+LO20+LO21+LO22+LO23+LO24+LO25+LO27+LO28+LO29+LO30+LO31+LO32+LO33+LO35+LO36+LO37+LO38+LO39+LO40+LO41+LO43+LO44+LO45+LO46+LO47+LO48+LO49+LO51+LO52+LO53+LO54)/T2),0)</f>
        <v/>
      </c>
      <c r="LY54" s="5">
        <f>IFERROR(ROUND(LO54/LQ54,2),0)</f>
        <v/>
      </c>
      <c r="LZ54" s="5">
        <f>IFERROR(ROUND(LO54/LR54,2),0)</f>
        <v/>
      </c>
      <c r="MA54" s="2" t="inlineStr">
        <is>
          <t>2023-10-28</t>
        </is>
      </c>
      <c r="MB54" s="5">
        <f>ROUND(0.0,2)</f>
        <v/>
      </c>
      <c r="MC54" s="3">
        <f>ROUND(0.0,2)</f>
        <v/>
      </c>
      <c r="MD54" s="3">
        <f>ROUND(0.0,2)</f>
        <v/>
      </c>
      <c r="ME54" s="3">
        <f>ROUND(0.0,2)</f>
        <v/>
      </c>
      <c r="MF54" s="3">
        <f>ROUND(0.0,2)</f>
        <v/>
      </c>
      <c r="MG54" s="3">
        <f>ROUND(0.0,2)</f>
        <v/>
      </c>
      <c r="MH54" s="3">
        <f>ROUND(0.0,2)</f>
        <v/>
      </c>
      <c r="MI54" s="3">
        <f>ROUND(0.0,2)</f>
        <v/>
      </c>
      <c r="MJ54" s="4">
        <f>IFERROR((MD54/MC54),0)</f>
        <v/>
      </c>
      <c r="MK54" s="4">
        <f>IFERROR(((0+MB11+MB12+MB13+MB14+MB15+MB16+MB17+MB19+MB20+MB21+MB22+MB23+MB24+MB25+MB27+MB28+MB29+MB30+MB31+MB32+MB33+MB35+MB36+MB37+MB38+MB39+MB40+MB41+MB43+MB44+MB45+MB46+MB47+MB48+MB49+MB51+MB52+MB53+MB54)/T2),0)</f>
        <v/>
      </c>
      <c r="ML54" s="5">
        <f>IFERROR(ROUND(MB54/MD54,2),0)</f>
        <v/>
      </c>
      <c r="MM54" s="5">
        <f>IFERROR(ROUND(MB54/ME54,2),0)</f>
        <v/>
      </c>
      <c r="MN54" s="2" t="inlineStr">
        <is>
          <t>2023-10-28</t>
        </is>
      </c>
      <c r="MO54" s="5">
        <f>ROUND(0.0,2)</f>
        <v/>
      </c>
      <c r="MP54" s="3">
        <f>ROUND(0.0,2)</f>
        <v/>
      </c>
      <c r="MQ54" s="3">
        <f>ROUND(0.0,2)</f>
        <v/>
      </c>
      <c r="MR54" s="3">
        <f>ROUND(0.0,2)</f>
        <v/>
      </c>
      <c r="MS54" s="3">
        <f>ROUND(0.0,2)</f>
        <v/>
      </c>
      <c r="MT54" s="3">
        <f>ROUND(0.0,2)</f>
        <v/>
      </c>
      <c r="MU54" s="3">
        <f>ROUND(0.0,2)</f>
        <v/>
      </c>
      <c r="MV54" s="3">
        <f>ROUND(0.0,2)</f>
        <v/>
      </c>
      <c r="MW54" s="4">
        <f>IFERROR((MQ54/MP54),0)</f>
        <v/>
      </c>
      <c r="MX54" s="4">
        <f>IFERROR(((0+MO11+MO12+MO13+MO14+MO15+MO16+MO17+MO19+MO20+MO21+MO22+MO23+MO24+MO25+MO27+MO28+MO29+MO30+MO31+MO32+MO33+MO35+MO36+MO37+MO38+MO39+MO40+MO41+MO43+MO44+MO45+MO46+MO47+MO48+MO49+MO51+MO52+MO53+MO54)/T2),0)</f>
        <v/>
      </c>
      <c r="MY54" s="5">
        <f>IFERROR(ROUND(MO54/MQ54,2),0)</f>
        <v/>
      </c>
      <c r="MZ54" s="5">
        <f>IFERROR(ROUND(MO54/MR54,2),0)</f>
        <v/>
      </c>
      <c r="NA54" s="2" t="inlineStr">
        <is>
          <t>2023-10-28</t>
        </is>
      </c>
      <c r="NB54" s="5">
        <f>ROUND(0.0,2)</f>
        <v/>
      </c>
      <c r="NC54" s="3">
        <f>ROUND(0.0,2)</f>
        <v/>
      </c>
      <c r="ND54" s="3">
        <f>ROUND(0.0,2)</f>
        <v/>
      </c>
      <c r="NE54" s="3">
        <f>ROUND(0.0,2)</f>
        <v/>
      </c>
      <c r="NF54" s="3">
        <f>ROUND(0.0,2)</f>
        <v/>
      </c>
      <c r="NG54" s="3">
        <f>ROUND(0.0,2)</f>
        <v/>
      </c>
      <c r="NH54" s="3">
        <f>ROUND(0.0,2)</f>
        <v/>
      </c>
      <c r="NI54" s="3">
        <f>ROUND(0.0,2)</f>
        <v/>
      </c>
      <c r="NJ54" s="4">
        <f>IFERROR((ND54/NC54),0)</f>
        <v/>
      </c>
      <c r="NK54" s="4">
        <f>IFERROR(((0+NB11+NB12+NB13+NB14+NB15+NB16+NB17+NB19+NB20+NB21+NB22+NB23+NB24+NB25+NB27+NB28+NB29+NB30+NB31+NB32+NB33+NB35+NB36+NB37+NB38+NB39+NB40+NB41+NB43+NB44+NB45+NB46+NB47+NB48+NB49+NB51+NB52+NB53+NB54)/T2),0)</f>
        <v/>
      </c>
      <c r="NL54" s="5">
        <f>IFERROR(ROUND(NB54/ND54,2),0)</f>
        <v/>
      </c>
      <c r="NM54" s="5">
        <f>IFERROR(ROUND(NB54/NE54,2),0)</f>
        <v/>
      </c>
      <c r="NN54" s="2" t="inlineStr">
        <is>
          <t>2023-10-28</t>
        </is>
      </c>
      <c r="NO54" s="5">
        <f>ROUND(0.0,2)</f>
        <v/>
      </c>
      <c r="NP54" s="3">
        <f>ROUND(0.0,2)</f>
        <v/>
      </c>
      <c r="NQ54" s="3">
        <f>ROUND(0.0,2)</f>
        <v/>
      </c>
      <c r="NR54" s="3">
        <f>ROUND(0.0,2)</f>
        <v/>
      </c>
      <c r="NS54" s="3">
        <f>ROUND(0.0,2)</f>
        <v/>
      </c>
      <c r="NT54" s="3">
        <f>ROUND(0.0,2)</f>
        <v/>
      </c>
      <c r="NU54" s="3">
        <f>ROUND(0.0,2)</f>
        <v/>
      </c>
      <c r="NV54" s="3">
        <f>ROUND(0.0,2)</f>
        <v/>
      </c>
      <c r="NW54" s="4">
        <f>IFERROR((NQ54/NP54),0)</f>
        <v/>
      </c>
      <c r="NX54" s="4">
        <f>IFERROR(((0+NO11+NO12+NO13+NO14+NO15+NO16+NO17+NO19+NO20+NO21+NO22+NO23+NO24+NO25+NO27+NO28+NO29+NO30+NO31+NO32+NO33+NO35+NO36+NO37+NO38+NO39+NO40+NO41+NO43+NO44+NO45+NO46+NO47+NO48+NO49+NO51+NO52+NO53+NO54)/T2),0)</f>
        <v/>
      </c>
      <c r="NY54" s="5">
        <f>IFERROR(ROUND(NO54/NQ54,2),0)</f>
        <v/>
      </c>
      <c r="NZ54" s="5">
        <f>IFERROR(ROUND(NO54/NR54,2),0)</f>
        <v/>
      </c>
      <c r="OA54" s="2" t="inlineStr">
        <is>
          <t>2023-10-28</t>
        </is>
      </c>
      <c r="OB54" s="5">
        <f>ROUND(0.0,2)</f>
        <v/>
      </c>
      <c r="OC54" s="3">
        <f>ROUND(0.0,2)</f>
        <v/>
      </c>
      <c r="OD54" s="3">
        <f>ROUND(0.0,2)</f>
        <v/>
      </c>
      <c r="OE54" s="3">
        <f>ROUND(0.0,2)</f>
        <v/>
      </c>
      <c r="OF54" s="3">
        <f>ROUND(0.0,2)</f>
        <v/>
      </c>
      <c r="OG54" s="3">
        <f>ROUND(0.0,2)</f>
        <v/>
      </c>
      <c r="OH54" s="3">
        <f>ROUND(0.0,2)</f>
        <v/>
      </c>
      <c r="OI54" s="3">
        <f>ROUND(0.0,2)</f>
        <v/>
      </c>
      <c r="OJ54" s="4">
        <f>IFERROR((OD54/OC54),0)</f>
        <v/>
      </c>
      <c r="OK54" s="4">
        <f>IFERROR(((0+OB11+OB12+OB13+OB14+OB15+OB16+OB17+OB19+OB20+OB21+OB22+OB23+OB24+OB25+OB27+OB28+OB29+OB30+OB31+OB32+OB33+OB35+OB36+OB37+OB38+OB39+OB40+OB41+OB43+OB44+OB45+OB46+OB47+OB48+OB49+OB51+OB52+OB53+OB54)/T2),0)</f>
        <v/>
      </c>
      <c r="OL54" s="5">
        <f>IFERROR(ROUND(OB54/OD54,2),0)</f>
        <v/>
      </c>
      <c r="OM54" s="5">
        <f>IFERROR(ROUND(OB54/OE54,2),0)</f>
        <v/>
      </c>
      <c r="ON54" s="2" t="inlineStr">
        <is>
          <t>2023-10-28</t>
        </is>
      </c>
      <c r="OO54" s="5">
        <f>ROUND(0.0,2)</f>
        <v/>
      </c>
      <c r="OP54" s="3">
        <f>ROUND(0.0,2)</f>
        <v/>
      </c>
      <c r="OQ54" s="3">
        <f>ROUND(0.0,2)</f>
        <v/>
      </c>
      <c r="OR54" s="3">
        <f>ROUND(0.0,2)</f>
        <v/>
      </c>
      <c r="OS54" s="3">
        <f>ROUND(0.0,2)</f>
        <v/>
      </c>
      <c r="OT54" s="3">
        <f>ROUND(0.0,2)</f>
        <v/>
      </c>
      <c r="OU54" s="3">
        <f>ROUND(0.0,2)</f>
        <v/>
      </c>
      <c r="OV54" s="3">
        <f>ROUND(0.0,2)</f>
        <v/>
      </c>
      <c r="OW54" s="4">
        <f>IFERROR((OQ54/OP54),0)</f>
        <v/>
      </c>
      <c r="OX54" s="4">
        <f>IFERROR(((0+OO11+OO12+OO13+OO14+OO15+OO16+OO17+OO19+OO20+OO21+OO22+OO23+OO24+OO25+OO27+OO28+OO29+OO30+OO31+OO32+OO33+OO35+OO36+OO37+OO38+OO39+OO40+OO41+OO43+OO44+OO45+OO46+OO47+OO48+OO49+OO51+OO52+OO53+OO54)/T2),0)</f>
        <v/>
      </c>
      <c r="OY54" s="5">
        <f>IFERROR(ROUND(OO54/OQ54,2),0)</f>
        <v/>
      </c>
      <c r="OZ54" s="5">
        <f>IFERROR(ROUND(OO54/OR54,2),0)</f>
        <v/>
      </c>
      <c r="PA54" s="2" t="inlineStr">
        <is>
          <t>2023-10-28</t>
        </is>
      </c>
      <c r="PB54" s="5">
        <f>ROUND(0.0,2)</f>
        <v/>
      </c>
      <c r="PC54" s="3">
        <f>ROUND(0.0,2)</f>
        <v/>
      </c>
      <c r="PD54" s="3">
        <f>ROUND(0.0,2)</f>
        <v/>
      </c>
      <c r="PE54" s="3">
        <f>ROUND(0.0,2)</f>
        <v/>
      </c>
      <c r="PF54" s="3">
        <f>ROUND(0.0,2)</f>
        <v/>
      </c>
      <c r="PG54" s="3">
        <f>ROUND(0.0,2)</f>
        <v/>
      </c>
      <c r="PH54" s="3">
        <f>ROUND(0.0,2)</f>
        <v/>
      </c>
      <c r="PI54" s="3">
        <f>ROUND(0.0,2)</f>
        <v/>
      </c>
      <c r="PJ54" s="4">
        <f>IFERROR((PD54/PC54),0)</f>
        <v/>
      </c>
      <c r="PK54" s="4">
        <f>IFERROR(((0+PB11+PB12+PB13+PB14+PB15+PB16+PB17+PB19+PB20+PB21+PB22+PB23+PB24+PB25+PB27+PB28+PB29+PB30+PB31+PB32+PB33+PB35+PB36+PB37+PB38+PB39+PB40+PB41+PB43+PB44+PB45+PB46+PB47+PB48+PB49+PB51+PB52+PB53+PB54)/T2),0)</f>
        <v/>
      </c>
      <c r="PL54" s="5">
        <f>IFERROR(ROUND(PB54/PD54,2),0)</f>
        <v/>
      </c>
      <c r="PM54" s="5">
        <f>IFERROR(ROUND(PB54/PE54,2),0)</f>
        <v/>
      </c>
      <c r="PN54" s="2" t="inlineStr">
        <is>
          <t>2023-10-28</t>
        </is>
      </c>
      <c r="PO54" s="5">
        <f>ROUND(0.0,2)</f>
        <v/>
      </c>
      <c r="PP54" s="3">
        <f>ROUND(0.0,2)</f>
        <v/>
      </c>
      <c r="PQ54" s="3">
        <f>ROUND(0.0,2)</f>
        <v/>
      </c>
      <c r="PR54" s="3">
        <f>ROUND(0.0,2)</f>
        <v/>
      </c>
      <c r="PS54" s="3">
        <f>ROUND(0.0,2)</f>
        <v/>
      </c>
      <c r="PT54" s="3">
        <f>ROUND(0.0,2)</f>
        <v/>
      </c>
      <c r="PU54" s="3">
        <f>ROUND(0.0,2)</f>
        <v/>
      </c>
      <c r="PV54" s="3">
        <f>ROUND(0.0,2)</f>
        <v/>
      </c>
      <c r="PW54" s="4">
        <f>IFERROR((PQ54/PP54),0)</f>
        <v/>
      </c>
      <c r="PX54" s="4">
        <f>IFERROR(((0+PO11+PO12+PO13+PO14+PO15+PO16+PO17+PO19+PO20+PO21+PO22+PO23+PO24+PO25+PO27+PO28+PO29+PO30+PO31+PO32+PO33+PO35+PO36+PO37+PO38+PO39+PO40+PO41+PO43+PO44+PO45+PO46+PO47+PO48+PO49+PO51+PO52+PO53+PO54)/T2),0)</f>
        <v/>
      </c>
      <c r="PY54" s="5">
        <f>IFERROR(ROUND(PO54/PQ54,2),0)</f>
        <v/>
      </c>
      <c r="PZ54" s="5">
        <f>IFERROR(ROUND(PO54/PR54,2),0)</f>
        <v/>
      </c>
      <c r="QA54" s="2" t="inlineStr">
        <is>
          <t>2023-10-28</t>
        </is>
      </c>
      <c r="QB54" s="5">
        <f>ROUND(0.0,2)</f>
        <v/>
      </c>
      <c r="QC54" s="3">
        <f>ROUND(0.0,2)</f>
        <v/>
      </c>
      <c r="QD54" s="3">
        <f>ROUND(0.0,2)</f>
        <v/>
      </c>
      <c r="QE54" s="3">
        <f>ROUND(0.0,2)</f>
        <v/>
      </c>
      <c r="QF54" s="3">
        <f>ROUND(0.0,2)</f>
        <v/>
      </c>
      <c r="QG54" s="3">
        <f>ROUND(0.0,2)</f>
        <v/>
      </c>
      <c r="QH54" s="3">
        <f>ROUND(0.0,2)</f>
        <v/>
      </c>
      <c r="QI54" s="3">
        <f>ROUND(0.0,2)</f>
        <v/>
      </c>
      <c r="QJ54" s="4">
        <f>IFERROR((QD54/QC54),0)</f>
        <v/>
      </c>
      <c r="QK54" s="4">
        <f>IFERROR(((0+QB11+QB12+QB13+QB14+QB15+QB16+QB17+QB19+QB20+QB21+QB22+QB23+QB24+QB25+QB27+QB28+QB29+QB30+QB31+QB32+QB33+QB35+QB36+QB37+QB38+QB39+QB40+QB41+QB43+QB44+QB45+QB46+QB47+QB48+QB49+QB51+QB52+QB53+QB54)/T2),0)</f>
        <v/>
      </c>
      <c r="QL54" s="5">
        <f>IFERROR(ROUND(QB54/QD54,2),0)</f>
        <v/>
      </c>
      <c r="QM54" s="5">
        <f>IFERROR(ROUND(QB54/QE54,2),0)</f>
        <v/>
      </c>
      <c r="QN54" s="2" t="inlineStr">
        <is>
          <t>2023-10-28</t>
        </is>
      </c>
      <c r="QO54" s="5">
        <f>ROUND(0.0,2)</f>
        <v/>
      </c>
      <c r="QP54" s="3">
        <f>ROUND(0.0,2)</f>
        <v/>
      </c>
      <c r="QQ54" s="3">
        <f>ROUND(0.0,2)</f>
        <v/>
      </c>
      <c r="QR54" s="3">
        <f>ROUND(0.0,2)</f>
        <v/>
      </c>
      <c r="QS54" s="3">
        <f>ROUND(0.0,2)</f>
        <v/>
      </c>
      <c r="QT54" s="3">
        <f>ROUND(0.0,2)</f>
        <v/>
      </c>
      <c r="QU54" s="3">
        <f>ROUND(0.0,2)</f>
        <v/>
      </c>
      <c r="QV54" s="3">
        <f>ROUND(0.0,2)</f>
        <v/>
      </c>
      <c r="QW54" s="4">
        <f>IFERROR((QQ54/QP54),0)</f>
        <v/>
      </c>
      <c r="QX54" s="4">
        <f>IFERROR(((0+QO11+QO12+QO13+QO14+QO15+QO16+QO17+QO19+QO20+QO21+QO22+QO23+QO24+QO25+QO27+QO28+QO29+QO30+QO31+QO32+QO33+QO35+QO36+QO37+QO38+QO39+QO40+QO41+QO43+QO44+QO45+QO46+QO47+QO48+QO49+QO51+QO52+QO53+QO54)/T2),0)</f>
        <v/>
      </c>
      <c r="QY54" s="5">
        <f>IFERROR(ROUND(QO54/QQ54,2),0)</f>
        <v/>
      </c>
      <c r="QZ54" s="5">
        <f>IFERROR(ROUND(QO54/QR54,2),0)</f>
        <v/>
      </c>
      <c r="RA54" s="2" t="inlineStr">
        <is>
          <t>2023-10-28</t>
        </is>
      </c>
      <c r="RB54" s="5">
        <f>ROUND(0.0,2)</f>
        <v/>
      </c>
      <c r="RC54" s="3">
        <f>ROUND(0.0,2)</f>
        <v/>
      </c>
      <c r="RD54" s="3">
        <f>ROUND(0.0,2)</f>
        <v/>
      </c>
      <c r="RE54" s="3">
        <f>ROUND(0.0,2)</f>
        <v/>
      </c>
      <c r="RF54" s="3">
        <f>ROUND(0.0,2)</f>
        <v/>
      </c>
      <c r="RG54" s="3">
        <f>ROUND(0.0,2)</f>
        <v/>
      </c>
      <c r="RH54" s="3">
        <f>ROUND(0.0,2)</f>
        <v/>
      </c>
      <c r="RI54" s="3">
        <f>ROUND(0.0,2)</f>
        <v/>
      </c>
      <c r="RJ54" s="4">
        <f>IFERROR((RD54/RC54),0)</f>
        <v/>
      </c>
      <c r="RK54" s="4">
        <f>IFERROR(((0+RB11+RB12+RB13+RB14+RB15+RB16+RB17+RB19+RB20+RB21+RB22+RB23+RB24+RB25+RB27+RB28+RB29+RB30+RB31+RB32+RB33+RB35+RB36+RB37+RB38+RB39+RB40+RB41+RB43+RB44+RB45+RB46+RB47+RB48+RB49+RB51+RB52+RB53+RB54)/T2),0)</f>
        <v/>
      </c>
      <c r="RL54" s="5">
        <f>IFERROR(ROUND(RB54/RD54,2),0)</f>
        <v/>
      </c>
      <c r="RM54" s="5">
        <f>IFERROR(ROUND(RB54/RE54,2),0)</f>
        <v/>
      </c>
      <c r="RN54" s="2" t="inlineStr">
        <is>
          <t>2023-10-28</t>
        </is>
      </c>
      <c r="RO54" s="5">
        <f>ROUND(0.0,2)</f>
        <v/>
      </c>
      <c r="RP54" s="3">
        <f>ROUND(0.0,2)</f>
        <v/>
      </c>
      <c r="RQ54" s="3">
        <f>ROUND(0.0,2)</f>
        <v/>
      </c>
      <c r="RR54" s="3">
        <f>ROUND(0.0,2)</f>
        <v/>
      </c>
      <c r="RS54" s="3">
        <f>ROUND(0.0,2)</f>
        <v/>
      </c>
      <c r="RT54" s="3">
        <f>ROUND(0.0,2)</f>
        <v/>
      </c>
      <c r="RU54" s="3">
        <f>ROUND(0.0,2)</f>
        <v/>
      </c>
      <c r="RV54" s="3">
        <f>ROUND(0.0,2)</f>
        <v/>
      </c>
      <c r="RW54" s="4">
        <f>IFERROR((RQ54/RP54),0)</f>
        <v/>
      </c>
      <c r="RX54" s="4">
        <f>IFERROR(((0+RO11+RO12+RO13+RO14+RO15+RO16+RO17+RO19+RO20+RO21+RO22+RO23+RO24+RO25+RO27+RO28+RO29+RO30+RO31+RO32+RO33+RO35+RO36+RO37+RO38+RO39+RO40+RO41+RO43+RO44+RO45+RO46+RO47+RO48+RO49+RO51+RO52+RO53+RO54)/T2),0)</f>
        <v/>
      </c>
      <c r="RY54" s="5">
        <f>IFERROR(ROUND(RO54/RQ54,2),0)</f>
        <v/>
      </c>
      <c r="RZ54" s="5">
        <f>IFERROR(ROUND(RO54/RR54,2),0)</f>
        <v/>
      </c>
      <c r="SA54" s="2" t="inlineStr">
        <is>
          <t>2023-10-28</t>
        </is>
      </c>
      <c r="SB54" s="5">
        <f>ROUND(0.0,2)</f>
        <v/>
      </c>
      <c r="SC54" s="3">
        <f>ROUND(0.0,2)</f>
        <v/>
      </c>
      <c r="SD54" s="3">
        <f>ROUND(0.0,2)</f>
        <v/>
      </c>
      <c r="SE54" s="3">
        <f>ROUND(0.0,2)</f>
        <v/>
      </c>
      <c r="SF54" s="3">
        <f>ROUND(0.0,2)</f>
        <v/>
      </c>
      <c r="SG54" s="3">
        <f>ROUND(0.0,2)</f>
        <v/>
      </c>
      <c r="SH54" s="3">
        <f>ROUND(0.0,2)</f>
        <v/>
      </c>
      <c r="SI54" s="3">
        <f>ROUND(0.0,2)</f>
        <v/>
      </c>
      <c r="SJ54" s="4">
        <f>IFERROR((SD54/SC54),0)</f>
        <v/>
      </c>
      <c r="SK54" s="4">
        <f>IFERROR(((0+SB11+SB12+SB13+SB14+SB15+SB16+SB17+SB19+SB20+SB21+SB22+SB23+SB24+SB25+SB27+SB28+SB29+SB30+SB31+SB32+SB33+SB35+SB36+SB37+SB38+SB39+SB40+SB41+SB43+SB44+SB45+SB46+SB47+SB48+SB49+SB51+SB52+SB53+SB54)/T2),0)</f>
        <v/>
      </c>
      <c r="SL54" s="5">
        <f>IFERROR(ROUND(SB54/SD54,2),0)</f>
        <v/>
      </c>
      <c r="SM54" s="5">
        <f>IFERROR(ROUND(SB54/SE54,2),0)</f>
        <v/>
      </c>
      <c r="SN54" s="2" t="inlineStr">
        <is>
          <t>2023-10-28</t>
        </is>
      </c>
      <c r="SO54" s="5">
        <f>ROUND(0.0,2)</f>
        <v/>
      </c>
      <c r="SP54" s="3">
        <f>ROUND(0.0,2)</f>
        <v/>
      </c>
      <c r="SQ54" s="3">
        <f>ROUND(0.0,2)</f>
        <v/>
      </c>
      <c r="SR54" s="3">
        <f>ROUND(0.0,2)</f>
        <v/>
      </c>
      <c r="SS54" s="3">
        <f>ROUND(0.0,2)</f>
        <v/>
      </c>
      <c r="ST54" s="3">
        <f>ROUND(0.0,2)</f>
        <v/>
      </c>
      <c r="SU54" s="3">
        <f>ROUND(0.0,2)</f>
        <v/>
      </c>
      <c r="SV54" s="3">
        <f>ROUND(0.0,2)</f>
        <v/>
      </c>
      <c r="SW54" s="4">
        <f>IFERROR((SQ54/SP54),0)</f>
        <v/>
      </c>
      <c r="SX54" s="4">
        <f>IFERROR(((0+SO11+SO12+SO13+SO14+SO15+SO16+SO17+SO19+SO20+SO21+SO22+SO23+SO24+SO25+SO27+SO28+SO29+SO30+SO31+SO32+SO33+SO35+SO36+SO37+SO38+SO39+SO40+SO41+SO43+SO44+SO45+SO46+SO47+SO48+SO49+SO51+SO52+SO53+SO54)/T2),0)</f>
        <v/>
      </c>
      <c r="SY54" s="5">
        <f>IFERROR(ROUND(SO54/SQ54,2),0)</f>
        <v/>
      </c>
      <c r="SZ54" s="5">
        <f>IFERROR(ROUND(SO54/SR54,2),0)</f>
        <v/>
      </c>
    </row>
    <row r="55">
      <c r="A55" s="2" t="inlineStr">
        <is>
          <t>2023-10-29</t>
        </is>
      </c>
      <c r="B55" s="5">
        <f>ROUND(0.0,2)</f>
        <v/>
      </c>
      <c r="C55" s="3">
        <f>ROUND(0.0,2)</f>
        <v/>
      </c>
      <c r="D55" s="3">
        <f>ROUND(0.0,2)</f>
        <v/>
      </c>
      <c r="E55" s="3">
        <f>ROUND(0.0,2)</f>
        <v/>
      </c>
      <c r="F55" s="3">
        <f>ROUND(0.0,2)</f>
        <v/>
      </c>
      <c r="G55" s="3">
        <f>ROUND(0.0,2)</f>
        <v/>
      </c>
      <c r="H55" s="3">
        <f>ROUND(0.0,2)</f>
        <v/>
      </c>
      <c r="I55" s="3">
        <f>ROUND(0.0,2)</f>
        <v/>
      </c>
      <c r="J55" s="4">
        <f>IFERROR((D55/C55),0)</f>
        <v/>
      </c>
      <c r="K55" s="4">
        <f>IFERROR(((0+B11+B12+B13+B14+B15+B16+B17+B19+B20+B21+B22+B23+B24+B25+B27+B28+B29+B30+B31+B32+B33+B35+B36+B37+B38+B39+B40+B41+B43+B44+B45+B46+B47+B48+B49+B51+B52+B53+B54+B55)/T2),0)</f>
        <v/>
      </c>
      <c r="L55" s="5">
        <f>IFERROR(ROUND(B55/D55,2),0)</f>
        <v/>
      </c>
      <c r="M55" s="5">
        <f>IFERROR(ROUND(B55/E55,2),0)</f>
        <v/>
      </c>
      <c r="N55" s="2" t="inlineStr">
        <is>
          <t>2023-10-29</t>
        </is>
      </c>
      <c r="O55" s="5">
        <f>ROUND(0.0,2)</f>
        <v/>
      </c>
      <c r="P55" s="3">
        <f>ROUND(0.0,2)</f>
        <v/>
      </c>
      <c r="Q55" s="3">
        <f>ROUND(0.0,2)</f>
        <v/>
      </c>
      <c r="R55" s="3">
        <f>ROUND(0.0,2)</f>
        <v/>
      </c>
      <c r="S55" s="3">
        <f>ROUND(0.0,2)</f>
        <v/>
      </c>
      <c r="T55" s="3">
        <f>ROUND(0.0,2)</f>
        <v/>
      </c>
      <c r="U55" s="3">
        <f>ROUND(0.0,2)</f>
        <v/>
      </c>
      <c r="V55" s="3">
        <f>ROUND(0.0,2)</f>
        <v/>
      </c>
      <c r="W55" s="4">
        <f>IFERROR((Q55/P55),0)</f>
        <v/>
      </c>
      <c r="X55" s="4">
        <f>IFERROR(((0+O11+O12+O13+O14+O15+O16+O17+O19+O20+O21+O22+O23+O24+O25+O27+O28+O29+O30+O31+O32+O33+O35+O36+O37+O38+O39+O40+O41+O43+O44+O45+O46+O47+O48+O49+O51+O52+O53+O54+O55)/T2),0)</f>
        <v/>
      </c>
      <c r="Y55" s="5">
        <f>IFERROR(ROUND(O55/Q55,2),0)</f>
        <v/>
      </c>
      <c r="Z55" s="5">
        <f>IFERROR(ROUND(O55/R55,2),0)</f>
        <v/>
      </c>
      <c r="AA55" s="2" t="inlineStr">
        <is>
          <t>2023-10-29</t>
        </is>
      </c>
      <c r="AB55" s="5">
        <f>ROUND(0.0,2)</f>
        <v/>
      </c>
      <c r="AC55" s="3">
        <f>ROUND(0.0,2)</f>
        <v/>
      </c>
      <c r="AD55" s="3">
        <f>ROUND(0.0,2)</f>
        <v/>
      </c>
      <c r="AE55" s="3">
        <f>ROUND(0.0,2)</f>
        <v/>
      </c>
      <c r="AF55" s="3">
        <f>ROUND(0.0,2)</f>
        <v/>
      </c>
      <c r="AG55" s="3">
        <f>ROUND(0.0,2)</f>
        <v/>
      </c>
      <c r="AH55" s="3">
        <f>ROUND(0.0,2)</f>
        <v/>
      </c>
      <c r="AI55" s="3">
        <f>ROUND(0.0,2)</f>
        <v/>
      </c>
      <c r="AJ55" s="4">
        <f>IFERROR((AD55/AC55),0)</f>
        <v/>
      </c>
      <c r="AK55" s="4">
        <f>IFERROR(((0+AB11+AB12+AB13+AB14+AB15+AB16+AB17+AB19+AB20+AB21+AB22+AB23+AB24+AB25+AB27+AB28+AB29+AB30+AB31+AB32+AB33+AB35+AB36+AB37+AB38+AB39+AB40+AB41+AB43+AB44+AB45+AB46+AB47+AB48+AB49+AB51+AB52+AB53+AB54+AB55)/T2),0)</f>
        <v/>
      </c>
      <c r="AL55" s="5">
        <f>IFERROR(ROUND(AB55/AD55,2),0)</f>
        <v/>
      </c>
      <c r="AM55" s="5">
        <f>IFERROR(ROUND(AB55/AE55,2),0)</f>
        <v/>
      </c>
      <c r="AN55" s="2" t="inlineStr">
        <is>
          <t>2023-10-29</t>
        </is>
      </c>
      <c r="AO55" s="5">
        <f>ROUND(0.0,2)</f>
        <v/>
      </c>
      <c r="AP55" s="3">
        <f>ROUND(0.0,2)</f>
        <v/>
      </c>
      <c r="AQ55" s="3">
        <f>ROUND(0.0,2)</f>
        <v/>
      </c>
      <c r="AR55" s="3">
        <f>ROUND(0.0,2)</f>
        <v/>
      </c>
      <c r="AS55" s="3">
        <f>ROUND(0.0,2)</f>
        <v/>
      </c>
      <c r="AT55" s="3">
        <f>ROUND(0.0,2)</f>
        <v/>
      </c>
      <c r="AU55" s="3">
        <f>ROUND(0.0,2)</f>
        <v/>
      </c>
      <c r="AV55" s="3">
        <f>ROUND(0.0,2)</f>
        <v/>
      </c>
      <c r="AW55" s="4">
        <f>IFERROR((AQ55/AP55),0)</f>
        <v/>
      </c>
      <c r="AX55" s="4">
        <f>IFERROR(((0+AO11+AO12+AO13+AO14+AO15+AO16+AO17+AO19+AO20+AO21+AO22+AO23+AO24+AO25+AO27+AO28+AO29+AO30+AO31+AO32+AO33+AO35+AO36+AO37+AO38+AO39+AO40+AO41+AO43+AO44+AO45+AO46+AO47+AO48+AO49+AO51+AO52+AO53+AO54+AO55)/T2),0)</f>
        <v/>
      </c>
      <c r="AY55" s="5">
        <f>IFERROR(ROUND(AO55/AQ55,2),0)</f>
        <v/>
      </c>
      <c r="AZ55" s="5">
        <f>IFERROR(ROUND(AO55/AR55,2),0)</f>
        <v/>
      </c>
      <c r="BA55" s="2" t="inlineStr">
        <is>
          <t>2023-10-29</t>
        </is>
      </c>
      <c r="BB55" s="5">
        <f>ROUND(0.0,2)</f>
        <v/>
      </c>
      <c r="BC55" s="3">
        <f>ROUND(0.0,2)</f>
        <v/>
      </c>
      <c r="BD55" s="3">
        <f>ROUND(0.0,2)</f>
        <v/>
      </c>
      <c r="BE55" s="3">
        <f>ROUND(0.0,2)</f>
        <v/>
      </c>
      <c r="BF55" s="3">
        <f>ROUND(0.0,2)</f>
        <v/>
      </c>
      <c r="BG55" s="3">
        <f>ROUND(0.0,2)</f>
        <v/>
      </c>
      <c r="BH55" s="3">
        <f>ROUND(0.0,2)</f>
        <v/>
      </c>
      <c r="BI55" s="3">
        <f>ROUND(0.0,2)</f>
        <v/>
      </c>
      <c r="BJ55" s="4">
        <f>IFERROR((BD55/BC55),0)</f>
        <v/>
      </c>
      <c r="BK55" s="4">
        <f>IFERROR(((0+BB11+BB12+BB13+BB14+BB15+BB16+BB17+BB19+BB20+BB21+BB22+BB23+BB24+BB25+BB27+BB28+BB29+BB30+BB31+BB32+BB33+BB35+BB36+BB37+BB38+BB39+BB40+BB41+BB43+BB44+BB45+BB46+BB47+BB48+BB49+BB51+BB52+BB53+BB54+BB55)/T2),0)</f>
        <v/>
      </c>
      <c r="BL55" s="5">
        <f>IFERROR(ROUND(BB55/BD55,2),0)</f>
        <v/>
      </c>
      <c r="BM55" s="5">
        <f>IFERROR(ROUND(BB55/BE55,2),0)</f>
        <v/>
      </c>
      <c r="BN55" s="2" t="inlineStr">
        <is>
          <t>2023-10-29</t>
        </is>
      </c>
      <c r="BO55" s="5">
        <f>ROUND(0.0,2)</f>
        <v/>
      </c>
      <c r="BP55" s="3">
        <f>ROUND(0.0,2)</f>
        <v/>
      </c>
      <c r="BQ55" s="3">
        <f>ROUND(0.0,2)</f>
        <v/>
      </c>
      <c r="BR55" s="3">
        <f>ROUND(0.0,2)</f>
        <v/>
      </c>
      <c r="BS55" s="3">
        <f>ROUND(0.0,2)</f>
        <v/>
      </c>
      <c r="BT55" s="3">
        <f>ROUND(0.0,2)</f>
        <v/>
      </c>
      <c r="BU55" s="3">
        <f>ROUND(0.0,2)</f>
        <v/>
      </c>
      <c r="BV55" s="3">
        <f>ROUND(0.0,2)</f>
        <v/>
      </c>
      <c r="BW55" s="4">
        <f>IFERROR((BQ55/BP55),0)</f>
        <v/>
      </c>
      <c r="BX55" s="4">
        <f>IFERROR(((0+BO11+BO12+BO13+BO14+BO15+BO16+BO17+BO19+BO20+BO21+BO22+BO23+BO24+BO25+BO27+BO28+BO29+BO30+BO31+BO32+BO33+BO35+BO36+BO37+BO38+BO39+BO40+BO41+BO43+BO44+BO45+BO46+BO47+BO48+BO49+BO51+BO52+BO53+BO54+BO55)/T2),0)</f>
        <v/>
      </c>
      <c r="BY55" s="5">
        <f>IFERROR(ROUND(BO55/BQ55,2),0)</f>
        <v/>
      </c>
      <c r="BZ55" s="5">
        <f>IFERROR(ROUND(BO55/BR55,2),0)</f>
        <v/>
      </c>
      <c r="CA55" s="2" t="inlineStr">
        <is>
          <t>2023-10-29</t>
        </is>
      </c>
      <c r="CB55" s="5">
        <f>ROUND(0.0,2)</f>
        <v/>
      </c>
      <c r="CC55" s="3">
        <f>ROUND(0.0,2)</f>
        <v/>
      </c>
      <c r="CD55" s="3">
        <f>ROUND(0.0,2)</f>
        <v/>
      </c>
      <c r="CE55" s="3">
        <f>ROUND(0.0,2)</f>
        <v/>
      </c>
      <c r="CF55" s="3">
        <f>ROUND(0.0,2)</f>
        <v/>
      </c>
      <c r="CG55" s="3">
        <f>ROUND(0.0,2)</f>
        <v/>
      </c>
      <c r="CH55" s="3">
        <f>ROUND(0.0,2)</f>
        <v/>
      </c>
      <c r="CI55" s="3">
        <f>ROUND(0.0,2)</f>
        <v/>
      </c>
      <c r="CJ55" s="4">
        <f>IFERROR((CD55/CC55),0)</f>
        <v/>
      </c>
      <c r="CK55" s="4">
        <f>IFERROR(((0+CB11+CB12+CB13+CB14+CB15+CB16+CB17+CB19+CB20+CB21+CB22+CB23+CB24+CB25+CB27+CB28+CB29+CB30+CB31+CB32+CB33+CB35+CB36+CB37+CB38+CB39+CB40+CB41+CB43+CB44+CB45+CB46+CB47+CB48+CB49+CB51+CB52+CB53+CB54+CB55)/T2),0)</f>
        <v/>
      </c>
      <c r="CL55" s="5">
        <f>IFERROR(ROUND(CB55/CD55,2),0)</f>
        <v/>
      </c>
      <c r="CM55" s="5">
        <f>IFERROR(ROUND(CB55/CE55,2),0)</f>
        <v/>
      </c>
      <c r="CN55" s="2" t="inlineStr">
        <is>
          <t>2023-10-29</t>
        </is>
      </c>
      <c r="CO55" s="5">
        <f>ROUND(0.0,2)</f>
        <v/>
      </c>
      <c r="CP55" s="3">
        <f>ROUND(0.0,2)</f>
        <v/>
      </c>
      <c r="CQ55" s="3">
        <f>ROUND(0.0,2)</f>
        <v/>
      </c>
      <c r="CR55" s="3">
        <f>ROUND(0.0,2)</f>
        <v/>
      </c>
      <c r="CS55" s="3">
        <f>ROUND(0.0,2)</f>
        <v/>
      </c>
      <c r="CT55" s="3">
        <f>ROUND(0.0,2)</f>
        <v/>
      </c>
      <c r="CU55" s="3">
        <f>ROUND(0.0,2)</f>
        <v/>
      </c>
      <c r="CV55" s="3">
        <f>ROUND(0.0,2)</f>
        <v/>
      </c>
      <c r="CW55" s="4">
        <f>IFERROR((CQ55/CP55),0)</f>
        <v/>
      </c>
      <c r="CX55" s="4">
        <f>IFERROR(((0+CO11+CO12+CO13+CO14+CO15+CO16+CO17+CO19+CO20+CO21+CO22+CO23+CO24+CO25+CO27+CO28+CO29+CO30+CO31+CO32+CO33+CO35+CO36+CO37+CO38+CO39+CO40+CO41+CO43+CO44+CO45+CO46+CO47+CO48+CO49+CO51+CO52+CO53+CO54+CO55)/T2),0)</f>
        <v/>
      </c>
      <c r="CY55" s="5">
        <f>IFERROR(ROUND(CO55/CQ55,2),0)</f>
        <v/>
      </c>
      <c r="CZ55" s="5">
        <f>IFERROR(ROUND(CO55/CR55,2),0)</f>
        <v/>
      </c>
      <c r="DA55" s="2" t="inlineStr">
        <is>
          <t>2023-10-29</t>
        </is>
      </c>
      <c r="DB55" s="5">
        <f>ROUND(0.0,2)</f>
        <v/>
      </c>
      <c r="DC55" s="3">
        <f>ROUND(0.0,2)</f>
        <v/>
      </c>
      <c r="DD55" s="3">
        <f>ROUND(0.0,2)</f>
        <v/>
      </c>
      <c r="DE55" s="3">
        <f>ROUND(0.0,2)</f>
        <v/>
      </c>
      <c r="DF55" s="3">
        <f>ROUND(0.0,2)</f>
        <v/>
      </c>
      <c r="DG55" s="3">
        <f>ROUND(0.0,2)</f>
        <v/>
      </c>
      <c r="DH55" s="3">
        <f>ROUND(0.0,2)</f>
        <v/>
      </c>
      <c r="DI55" s="3">
        <f>ROUND(0.0,2)</f>
        <v/>
      </c>
      <c r="DJ55" s="4">
        <f>IFERROR((DD55/DC55),0)</f>
        <v/>
      </c>
      <c r="DK55" s="4">
        <f>IFERROR(((0+DB11+DB12+DB13+DB14+DB15+DB16+DB17+DB19+DB20+DB21+DB22+DB23+DB24+DB25+DB27+DB28+DB29+DB30+DB31+DB32+DB33+DB35+DB36+DB37+DB38+DB39+DB40+DB41+DB43+DB44+DB45+DB46+DB47+DB48+DB49+DB51+DB52+DB53+DB54+DB55)/T2),0)</f>
        <v/>
      </c>
      <c r="DL55" s="5">
        <f>IFERROR(ROUND(DB55/DD55,2),0)</f>
        <v/>
      </c>
      <c r="DM55" s="5">
        <f>IFERROR(ROUND(DB55/DE55,2),0)</f>
        <v/>
      </c>
      <c r="DN55" s="2" t="inlineStr">
        <is>
          <t>2023-10-29</t>
        </is>
      </c>
      <c r="DO55" s="5">
        <f>ROUND(0.0,2)</f>
        <v/>
      </c>
      <c r="DP55" s="3">
        <f>ROUND(0.0,2)</f>
        <v/>
      </c>
      <c r="DQ55" s="3">
        <f>ROUND(0.0,2)</f>
        <v/>
      </c>
      <c r="DR55" s="3">
        <f>ROUND(0.0,2)</f>
        <v/>
      </c>
      <c r="DS55" s="3">
        <f>ROUND(0.0,2)</f>
        <v/>
      </c>
      <c r="DT55" s="3">
        <f>ROUND(0.0,2)</f>
        <v/>
      </c>
      <c r="DU55" s="3">
        <f>ROUND(0.0,2)</f>
        <v/>
      </c>
      <c r="DV55" s="3">
        <f>ROUND(0.0,2)</f>
        <v/>
      </c>
      <c r="DW55" s="4">
        <f>IFERROR((DQ55/DP55),0)</f>
        <v/>
      </c>
      <c r="DX55" s="4">
        <f>IFERROR(((0+DO11+DO12+DO13+DO14+DO15+DO16+DO17+DO19+DO20+DO21+DO22+DO23+DO24+DO25+DO27+DO28+DO29+DO30+DO31+DO32+DO33+DO35+DO36+DO37+DO38+DO39+DO40+DO41+DO43+DO44+DO45+DO46+DO47+DO48+DO49+DO51+DO52+DO53+DO54+DO55)/T2),0)</f>
        <v/>
      </c>
      <c r="DY55" s="5">
        <f>IFERROR(ROUND(DO55/DQ55,2),0)</f>
        <v/>
      </c>
      <c r="DZ55" s="5">
        <f>IFERROR(ROUND(DO55/DR55,2),0)</f>
        <v/>
      </c>
      <c r="EA55" s="2" t="inlineStr">
        <is>
          <t>2023-10-29</t>
        </is>
      </c>
      <c r="EB55" s="5">
        <f>ROUND(0.0,2)</f>
        <v/>
      </c>
      <c r="EC55" s="3">
        <f>ROUND(0.0,2)</f>
        <v/>
      </c>
      <c r="ED55" s="3">
        <f>ROUND(0.0,2)</f>
        <v/>
      </c>
      <c r="EE55" s="3">
        <f>ROUND(0.0,2)</f>
        <v/>
      </c>
      <c r="EF55" s="3">
        <f>ROUND(0.0,2)</f>
        <v/>
      </c>
      <c r="EG55" s="3">
        <f>ROUND(0.0,2)</f>
        <v/>
      </c>
      <c r="EH55" s="3">
        <f>ROUND(0.0,2)</f>
        <v/>
      </c>
      <c r="EI55" s="3">
        <f>ROUND(0.0,2)</f>
        <v/>
      </c>
      <c r="EJ55" s="4">
        <f>IFERROR((ED55/EC55),0)</f>
        <v/>
      </c>
      <c r="EK55" s="4">
        <f>IFERROR(((0+EB11+EB12+EB13+EB14+EB15+EB16+EB17+EB19+EB20+EB21+EB22+EB23+EB24+EB25+EB27+EB28+EB29+EB30+EB31+EB32+EB33+EB35+EB36+EB37+EB38+EB39+EB40+EB41+EB43+EB44+EB45+EB46+EB47+EB48+EB49+EB51+EB52+EB53+EB54+EB55)/T2),0)</f>
        <v/>
      </c>
      <c r="EL55" s="5">
        <f>IFERROR(ROUND(EB55/ED55,2),0)</f>
        <v/>
      </c>
      <c r="EM55" s="5">
        <f>IFERROR(ROUND(EB55/EE55,2),0)</f>
        <v/>
      </c>
      <c r="EN55" s="2" t="inlineStr">
        <is>
          <t>2023-10-29</t>
        </is>
      </c>
      <c r="EO55" s="5">
        <f>ROUND(0.0,2)</f>
        <v/>
      </c>
      <c r="EP55" s="3">
        <f>ROUND(0.0,2)</f>
        <v/>
      </c>
      <c r="EQ55" s="3">
        <f>ROUND(0.0,2)</f>
        <v/>
      </c>
      <c r="ER55" s="3">
        <f>ROUND(0.0,2)</f>
        <v/>
      </c>
      <c r="ES55" s="3">
        <f>ROUND(0.0,2)</f>
        <v/>
      </c>
      <c r="ET55" s="3">
        <f>ROUND(0.0,2)</f>
        <v/>
      </c>
      <c r="EU55" s="3">
        <f>ROUND(0.0,2)</f>
        <v/>
      </c>
      <c r="EV55" s="3">
        <f>ROUND(0.0,2)</f>
        <v/>
      </c>
      <c r="EW55" s="4">
        <f>IFERROR((EQ55/EP55),0)</f>
        <v/>
      </c>
      <c r="EX55" s="4">
        <f>IFERROR(((0+EO11+EO12+EO13+EO14+EO15+EO16+EO17+EO19+EO20+EO21+EO22+EO23+EO24+EO25+EO27+EO28+EO29+EO30+EO31+EO32+EO33+EO35+EO36+EO37+EO38+EO39+EO40+EO41+EO43+EO44+EO45+EO46+EO47+EO48+EO49+EO51+EO52+EO53+EO54+EO55)/T2),0)</f>
        <v/>
      </c>
      <c r="EY55" s="5">
        <f>IFERROR(ROUND(EO55/EQ55,2),0)</f>
        <v/>
      </c>
      <c r="EZ55" s="5">
        <f>IFERROR(ROUND(EO55/ER55,2),0)</f>
        <v/>
      </c>
      <c r="FA55" s="2" t="inlineStr">
        <is>
          <t>2023-10-29</t>
        </is>
      </c>
      <c r="FB55" s="5">
        <f>ROUND(0.0,2)</f>
        <v/>
      </c>
      <c r="FC55" s="3">
        <f>ROUND(0.0,2)</f>
        <v/>
      </c>
      <c r="FD55" s="3">
        <f>ROUND(0.0,2)</f>
        <v/>
      </c>
      <c r="FE55" s="3">
        <f>ROUND(0.0,2)</f>
        <v/>
      </c>
      <c r="FF55" s="3">
        <f>ROUND(0.0,2)</f>
        <v/>
      </c>
      <c r="FG55" s="3">
        <f>ROUND(0.0,2)</f>
        <v/>
      </c>
      <c r="FH55" s="3">
        <f>ROUND(0.0,2)</f>
        <v/>
      </c>
      <c r="FI55" s="3">
        <f>ROUND(0.0,2)</f>
        <v/>
      </c>
      <c r="FJ55" s="4">
        <f>IFERROR((FD55/FC55),0)</f>
        <v/>
      </c>
      <c r="FK55" s="4">
        <f>IFERROR(((0+FB11+FB12+FB13+FB14+FB15+FB16+FB17+FB19+FB20+FB21+FB22+FB23+FB24+FB25+FB27+FB28+FB29+FB30+FB31+FB32+FB33+FB35+FB36+FB37+FB38+FB39+FB40+FB41+FB43+FB44+FB45+FB46+FB47+FB48+FB49+FB51+FB52+FB53+FB54+FB55)/T2),0)</f>
        <v/>
      </c>
      <c r="FL55" s="5">
        <f>IFERROR(ROUND(FB55/FD55,2),0)</f>
        <v/>
      </c>
      <c r="FM55" s="5">
        <f>IFERROR(ROUND(FB55/FE55,2),0)</f>
        <v/>
      </c>
      <c r="FN55" s="2" t="inlineStr">
        <is>
          <t>2023-10-29</t>
        </is>
      </c>
      <c r="FO55" s="5">
        <f>ROUND(0.0,2)</f>
        <v/>
      </c>
      <c r="FP55" s="3">
        <f>ROUND(0.0,2)</f>
        <v/>
      </c>
      <c r="FQ55" s="3">
        <f>ROUND(0.0,2)</f>
        <v/>
      </c>
      <c r="FR55" s="3">
        <f>ROUND(0.0,2)</f>
        <v/>
      </c>
      <c r="FS55" s="3">
        <f>ROUND(0.0,2)</f>
        <v/>
      </c>
      <c r="FT55" s="3">
        <f>ROUND(0.0,2)</f>
        <v/>
      </c>
      <c r="FU55" s="3">
        <f>ROUND(0.0,2)</f>
        <v/>
      </c>
      <c r="FV55" s="3">
        <f>ROUND(0.0,2)</f>
        <v/>
      </c>
      <c r="FW55" s="4">
        <f>IFERROR((FQ55/FP55),0)</f>
        <v/>
      </c>
      <c r="FX55" s="4">
        <f>IFERROR(((0+FO11+FO12+FO13+FO14+FO15+FO16+FO17+FO19+FO20+FO21+FO22+FO23+FO24+FO25+FO27+FO28+FO29+FO30+FO31+FO32+FO33+FO35+FO36+FO37+FO38+FO39+FO40+FO41+FO43+FO44+FO45+FO46+FO47+FO48+FO49+FO51+FO52+FO53+FO54+FO55)/T2),0)</f>
        <v/>
      </c>
      <c r="FY55" s="5">
        <f>IFERROR(ROUND(FO55/FQ55,2),0)</f>
        <v/>
      </c>
      <c r="FZ55" s="5">
        <f>IFERROR(ROUND(FO55/FR55,2),0)</f>
        <v/>
      </c>
      <c r="GA55" s="2" t="inlineStr">
        <is>
          <t>2023-10-29</t>
        </is>
      </c>
      <c r="GB55" s="5">
        <f>ROUND(0.0,2)</f>
        <v/>
      </c>
      <c r="GC55" s="3">
        <f>ROUND(0.0,2)</f>
        <v/>
      </c>
      <c r="GD55" s="3">
        <f>ROUND(0.0,2)</f>
        <v/>
      </c>
      <c r="GE55" s="3">
        <f>ROUND(0.0,2)</f>
        <v/>
      </c>
      <c r="GF55" s="3">
        <f>ROUND(0.0,2)</f>
        <v/>
      </c>
      <c r="GG55" s="3">
        <f>ROUND(0.0,2)</f>
        <v/>
      </c>
      <c r="GH55" s="3">
        <f>ROUND(0.0,2)</f>
        <v/>
      </c>
      <c r="GI55" s="3">
        <f>ROUND(0.0,2)</f>
        <v/>
      </c>
      <c r="GJ55" s="4">
        <f>IFERROR((GD55/GC55),0)</f>
        <v/>
      </c>
      <c r="GK55" s="4">
        <f>IFERROR(((0+GB11+GB12+GB13+GB14+GB15+GB16+GB17+GB19+GB20+GB21+GB22+GB23+GB24+GB25+GB27+GB28+GB29+GB30+GB31+GB32+GB33+GB35+GB36+GB37+GB38+GB39+GB40+GB41+GB43+GB44+GB45+GB46+GB47+GB48+GB49+GB51+GB52+GB53+GB54+GB55)/T2),0)</f>
        <v/>
      </c>
      <c r="GL55" s="5">
        <f>IFERROR(ROUND(GB55/GD55,2),0)</f>
        <v/>
      </c>
      <c r="GM55" s="5">
        <f>IFERROR(ROUND(GB55/GE55,2),0)</f>
        <v/>
      </c>
      <c r="GN55" s="2" t="inlineStr">
        <is>
          <t>2023-10-29</t>
        </is>
      </c>
      <c r="GO55" s="5">
        <f>ROUND(0.0,2)</f>
        <v/>
      </c>
      <c r="GP55" s="3">
        <f>ROUND(0.0,2)</f>
        <v/>
      </c>
      <c r="GQ55" s="3">
        <f>ROUND(0.0,2)</f>
        <v/>
      </c>
      <c r="GR55" s="3">
        <f>ROUND(0.0,2)</f>
        <v/>
      </c>
      <c r="GS55" s="3">
        <f>ROUND(0.0,2)</f>
        <v/>
      </c>
      <c r="GT55" s="3">
        <f>ROUND(0.0,2)</f>
        <v/>
      </c>
      <c r="GU55" s="3">
        <f>ROUND(0.0,2)</f>
        <v/>
      </c>
      <c r="GV55" s="3">
        <f>ROUND(0.0,2)</f>
        <v/>
      </c>
      <c r="GW55" s="4">
        <f>IFERROR((GQ55/GP55),0)</f>
        <v/>
      </c>
      <c r="GX55" s="4">
        <f>IFERROR(((0+GO11+GO12+GO13+GO14+GO15+GO16+GO17+GO19+GO20+GO21+GO22+GO23+GO24+GO25+GO27+GO28+GO29+GO30+GO31+GO32+GO33+GO35+GO36+GO37+GO38+GO39+GO40+GO41+GO43+GO44+GO45+GO46+GO47+GO48+GO49+GO51+GO52+GO53+GO54+GO55)/T2),0)</f>
        <v/>
      </c>
      <c r="GY55" s="5">
        <f>IFERROR(ROUND(GO55/GQ55,2),0)</f>
        <v/>
      </c>
      <c r="GZ55" s="5">
        <f>IFERROR(ROUND(GO55/GR55,2),0)</f>
        <v/>
      </c>
      <c r="HA55" s="2" t="inlineStr">
        <is>
          <t>2023-10-29</t>
        </is>
      </c>
      <c r="HB55" s="5">
        <f>ROUND(0.0,2)</f>
        <v/>
      </c>
      <c r="HC55" s="3">
        <f>ROUND(0.0,2)</f>
        <v/>
      </c>
      <c r="HD55" s="3">
        <f>ROUND(0.0,2)</f>
        <v/>
      </c>
      <c r="HE55" s="3">
        <f>ROUND(0.0,2)</f>
        <v/>
      </c>
      <c r="HF55" s="3">
        <f>ROUND(0.0,2)</f>
        <v/>
      </c>
      <c r="HG55" s="3">
        <f>ROUND(0.0,2)</f>
        <v/>
      </c>
      <c r="HH55" s="3">
        <f>ROUND(0.0,2)</f>
        <v/>
      </c>
      <c r="HI55" s="3">
        <f>ROUND(0.0,2)</f>
        <v/>
      </c>
      <c r="HJ55" s="4">
        <f>IFERROR((HD55/HC55),0)</f>
        <v/>
      </c>
      <c r="HK55" s="4">
        <f>IFERROR(((0+HB11+HB12+HB13+HB14+HB15+HB16+HB17+HB19+HB20+HB21+HB22+HB23+HB24+HB25+HB27+HB28+HB29+HB30+HB31+HB32+HB33+HB35+HB36+HB37+HB38+HB39+HB40+HB41+HB43+HB44+HB45+HB46+HB47+HB48+HB49+HB51+HB52+HB53+HB54+HB55)/T2),0)</f>
        <v/>
      </c>
      <c r="HL55" s="5">
        <f>IFERROR(ROUND(HB55/HD55,2),0)</f>
        <v/>
      </c>
      <c r="HM55" s="5">
        <f>IFERROR(ROUND(HB55/HE55,2),0)</f>
        <v/>
      </c>
      <c r="HN55" s="2" t="inlineStr">
        <is>
          <t>2023-10-29</t>
        </is>
      </c>
      <c r="HO55" s="5">
        <f>ROUND(0.0,2)</f>
        <v/>
      </c>
      <c r="HP55" s="3">
        <f>ROUND(0.0,2)</f>
        <v/>
      </c>
      <c r="HQ55" s="3">
        <f>ROUND(0.0,2)</f>
        <v/>
      </c>
      <c r="HR55" s="3">
        <f>ROUND(0.0,2)</f>
        <v/>
      </c>
      <c r="HS55" s="3">
        <f>ROUND(0.0,2)</f>
        <v/>
      </c>
      <c r="HT55" s="3">
        <f>ROUND(0.0,2)</f>
        <v/>
      </c>
      <c r="HU55" s="3">
        <f>ROUND(0.0,2)</f>
        <v/>
      </c>
      <c r="HV55" s="3">
        <f>ROUND(0.0,2)</f>
        <v/>
      </c>
      <c r="HW55" s="4">
        <f>IFERROR((HQ55/HP55),0)</f>
        <v/>
      </c>
      <c r="HX55" s="4">
        <f>IFERROR(((0+HO11+HO12+HO13+HO14+HO15+HO16+HO17+HO19+HO20+HO21+HO22+HO23+HO24+HO25+HO27+HO28+HO29+HO30+HO31+HO32+HO33+HO35+HO36+HO37+HO38+HO39+HO40+HO41+HO43+HO44+HO45+HO46+HO47+HO48+HO49+HO51+HO52+HO53+HO54+HO55)/T2),0)</f>
        <v/>
      </c>
      <c r="HY55" s="5">
        <f>IFERROR(ROUND(HO55/HQ55,2),0)</f>
        <v/>
      </c>
      <c r="HZ55" s="5">
        <f>IFERROR(ROUND(HO55/HR55,2),0)</f>
        <v/>
      </c>
      <c r="IA55" s="2" t="inlineStr">
        <is>
          <t>2023-10-29</t>
        </is>
      </c>
      <c r="IB55" s="5">
        <f>ROUND(0.0,2)</f>
        <v/>
      </c>
      <c r="IC55" s="3">
        <f>ROUND(0.0,2)</f>
        <v/>
      </c>
      <c r="ID55" s="3">
        <f>ROUND(0.0,2)</f>
        <v/>
      </c>
      <c r="IE55" s="3">
        <f>ROUND(0.0,2)</f>
        <v/>
      </c>
      <c r="IF55" s="3">
        <f>ROUND(0.0,2)</f>
        <v/>
      </c>
      <c r="IG55" s="3">
        <f>ROUND(0.0,2)</f>
        <v/>
      </c>
      <c r="IH55" s="3">
        <f>ROUND(0.0,2)</f>
        <v/>
      </c>
      <c r="II55" s="3">
        <f>ROUND(0.0,2)</f>
        <v/>
      </c>
      <c r="IJ55" s="4">
        <f>IFERROR((ID55/IC55),0)</f>
        <v/>
      </c>
      <c r="IK55" s="4">
        <f>IFERROR(((0+IB11+IB12+IB13+IB14+IB15+IB16+IB17+IB19+IB20+IB21+IB22+IB23+IB24+IB25+IB27+IB28+IB29+IB30+IB31+IB32+IB33+IB35+IB36+IB37+IB38+IB39+IB40+IB41+IB43+IB44+IB45+IB46+IB47+IB48+IB49+IB51+IB52+IB53+IB54+IB55)/T2),0)</f>
        <v/>
      </c>
      <c r="IL55" s="5">
        <f>IFERROR(ROUND(IB55/ID55,2),0)</f>
        <v/>
      </c>
      <c r="IM55" s="5">
        <f>IFERROR(ROUND(IB55/IE55,2),0)</f>
        <v/>
      </c>
      <c r="IN55" s="2" t="inlineStr">
        <is>
          <t>2023-10-29</t>
        </is>
      </c>
      <c r="IO55" s="5">
        <f>ROUND(0.0,2)</f>
        <v/>
      </c>
      <c r="IP55" s="3">
        <f>ROUND(0.0,2)</f>
        <v/>
      </c>
      <c r="IQ55" s="3">
        <f>ROUND(0.0,2)</f>
        <v/>
      </c>
      <c r="IR55" s="3">
        <f>ROUND(0.0,2)</f>
        <v/>
      </c>
      <c r="IS55" s="3">
        <f>ROUND(0.0,2)</f>
        <v/>
      </c>
      <c r="IT55" s="3">
        <f>ROUND(0.0,2)</f>
        <v/>
      </c>
      <c r="IU55" s="3">
        <f>ROUND(0.0,2)</f>
        <v/>
      </c>
      <c r="IV55" s="3">
        <f>ROUND(0.0,2)</f>
        <v/>
      </c>
      <c r="IW55" s="4">
        <f>IFERROR((IQ55/IP55),0)</f>
        <v/>
      </c>
      <c r="IX55" s="4">
        <f>IFERROR(((0+IO11+IO12+IO13+IO14+IO15+IO16+IO17+IO19+IO20+IO21+IO22+IO23+IO24+IO25+IO27+IO28+IO29+IO30+IO31+IO32+IO33+IO35+IO36+IO37+IO38+IO39+IO40+IO41+IO43+IO44+IO45+IO46+IO47+IO48+IO49+IO51+IO52+IO53+IO54+IO55)/T2),0)</f>
        <v/>
      </c>
      <c r="IY55" s="5">
        <f>IFERROR(ROUND(IO55/IQ55,2),0)</f>
        <v/>
      </c>
      <c r="IZ55" s="5">
        <f>IFERROR(ROUND(IO55/IR55,2),0)</f>
        <v/>
      </c>
      <c r="JA55" s="2" t="inlineStr">
        <is>
          <t>2023-10-29</t>
        </is>
      </c>
      <c r="JB55" s="5">
        <f>ROUND(0.0,2)</f>
        <v/>
      </c>
      <c r="JC55" s="3">
        <f>ROUND(0.0,2)</f>
        <v/>
      </c>
      <c r="JD55" s="3">
        <f>ROUND(0.0,2)</f>
        <v/>
      </c>
      <c r="JE55" s="3">
        <f>ROUND(0.0,2)</f>
        <v/>
      </c>
      <c r="JF55" s="3">
        <f>ROUND(0.0,2)</f>
        <v/>
      </c>
      <c r="JG55" s="3">
        <f>ROUND(0.0,2)</f>
        <v/>
      </c>
      <c r="JH55" s="3">
        <f>ROUND(0.0,2)</f>
        <v/>
      </c>
      <c r="JI55" s="3">
        <f>ROUND(0.0,2)</f>
        <v/>
      </c>
      <c r="JJ55" s="4">
        <f>IFERROR((JD55/JC55),0)</f>
        <v/>
      </c>
      <c r="JK55" s="4">
        <f>IFERROR(((0+JB11+JB12+JB13+JB14+JB15+JB16+JB17+JB19+JB20+JB21+JB22+JB23+JB24+JB25+JB27+JB28+JB29+JB30+JB31+JB32+JB33+JB35+JB36+JB37+JB38+JB39+JB40+JB41+JB43+JB44+JB45+JB46+JB47+JB48+JB49+JB51+JB52+JB53+JB54+JB55)/T2),0)</f>
        <v/>
      </c>
      <c r="JL55" s="5">
        <f>IFERROR(ROUND(JB55/JD55,2),0)</f>
        <v/>
      </c>
      <c r="JM55" s="5">
        <f>IFERROR(ROUND(JB55/JE55,2),0)</f>
        <v/>
      </c>
      <c r="JN55" s="2" t="inlineStr">
        <is>
          <t>2023-10-29</t>
        </is>
      </c>
      <c r="JO55" s="5">
        <f>ROUND(0.0,2)</f>
        <v/>
      </c>
      <c r="JP55" s="3">
        <f>ROUND(0.0,2)</f>
        <v/>
      </c>
      <c r="JQ55" s="3">
        <f>ROUND(0.0,2)</f>
        <v/>
      </c>
      <c r="JR55" s="3">
        <f>ROUND(0.0,2)</f>
        <v/>
      </c>
      <c r="JS55" s="3">
        <f>ROUND(0.0,2)</f>
        <v/>
      </c>
      <c r="JT55" s="3">
        <f>ROUND(0.0,2)</f>
        <v/>
      </c>
      <c r="JU55" s="3">
        <f>ROUND(0.0,2)</f>
        <v/>
      </c>
      <c r="JV55" s="3">
        <f>ROUND(0.0,2)</f>
        <v/>
      </c>
      <c r="JW55" s="4">
        <f>IFERROR((JQ55/JP55),0)</f>
        <v/>
      </c>
      <c r="JX55" s="4">
        <f>IFERROR(((0+JO11+JO12+JO13+JO14+JO15+JO16+JO17+JO19+JO20+JO21+JO22+JO23+JO24+JO25+JO27+JO28+JO29+JO30+JO31+JO32+JO33+JO35+JO36+JO37+JO38+JO39+JO40+JO41+JO43+JO44+JO45+JO46+JO47+JO48+JO49+JO51+JO52+JO53+JO54+JO55)/T2),0)</f>
        <v/>
      </c>
      <c r="JY55" s="5">
        <f>IFERROR(ROUND(JO55/JQ55,2),0)</f>
        <v/>
      </c>
      <c r="JZ55" s="5">
        <f>IFERROR(ROUND(JO55/JR55,2),0)</f>
        <v/>
      </c>
      <c r="KA55" s="2" t="inlineStr">
        <is>
          <t>2023-10-29</t>
        </is>
      </c>
      <c r="KB55" s="5">
        <f>ROUND(0.0,2)</f>
        <v/>
      </c>
      <c r="KC55" s="3">
        <f>ROUND(0.0,2)</f>
        <v/>
      </c>
      <c r="KD55" s="3">
        <f>ROUND(0.0,2)</f>
        <v/>
      </c>
      <c r="KE55" s="3">
        <f>ROUND(0.0,2)</f>
        <v/>
      </c>
      <c r="KF55" s="3">
        <f>ROUND(0.0,2)</f>
        <v/>
      </c>
      <c r="KG55" s="3">
        <f>ROUND(0.0,2)</f>
        <v/>
      </c>
      <c r="KH55" s="3">
        <f>ROUND(0.0,2)</f>
        <v/>
      </c>
      <c r="KI55" s="3">
        <f>ROUND(0.0,2)</f>
        <v/>
      </c>
      <c r="KJ55" s="4">
        <f>IFERROR((KD55/KC55),0)</f>
        <v/>
      </c>
      <c r="KK55" s="4">
        <f>IFERROR(((0+KB11+KB12+KB13+KB14+KB15+KB16+KB17+KB19+KB20+KB21+KB22+KB23+KB24+KB25+KB27+KB28+KB29+KB30+KB31+KB32+KB33+KB35+KB36+KB37+KB38+KB39+KB40+KB41+KB43+KB44+KB45+KB46+KB47+KB48+KB49+KB51+KB52+KB53+KB54+KB55)/T2),0)</f>
        <v/>
      </c>
      <c r="KL55" s="5">
        <f>IFERROR(ROUND(KB55/KD55,2),0)</f>
        <v/>
      </c>
      <c r="KM55" s="5">
        <f>IFERROR(ROUND(KB55/KE55,2),0)</f>
        <v/>
      </c>
      <c r="KN55" s="2" t="inlineStr">
        <is>
          <t>2023-10-29</t>
        </is>
      </c>
      <c r="KO55" s="5">
        <f>ROUND(0.0,2)</f>
        <v/>
      </c>
      <c r="KP55" s="3">
        <f>ROUND(0.0,2)</f>
        <v/>
      </c>
      <c r="KQ55" s="3">
        <f>ROUND(0.0,2)</f>
        <v/>
      </c>
      <c r="KR55" s="3">
        <f>ROUND(0.0,2)</f>
        <v/>
      </c>
      <c r="KS55" s="3">
        <f>ROUND(0.0,2)</f>
        <v/>
      </c>
      <c r="KT55" s="3">
        <f>ROUND(0.0,2)</f>
        <v/>
      </c>
      <c r="KU55" s="3">
        <f>ROUND(0.0,2)</f>
        <v/>
      </c>
      <c r="KV55" s="3">
        <f>ROUND(0.0,2)</f>
        <v/>
      </c>
      <c r="KW55" s="4">
        <f>IFERROR((KQ55/KP55),0)</f>
        <v/>
      </c>
      <c r="KX55" s="4">
        <f>IFERROR(((0+KO11+KO12+KO13+KO14+KO15+KO16+KO17+KO19+KO20+KO21+KO22+KO23+KO24+KO25+KO27+KO28+KO29+KO30+KO31+KO32+KO33+KO35+KO36+KO37+KO38+KO39+KO40+KO41+KO43+KO44+KO45+KO46+KO47+KO48+KO49+KO51+KO52+KO53+KO54+KO55)/T2),0)</f>
        <v/>
      </c>
      <c r="KY55" s="5">
        <f>IFERROR(ROUND(KO55/KQ55,2),0)</f>
        <v/>
      </c>
      <c r="KZ55" s="5">
        <f>IFERROR(ROUND(KO55/KR55,2),0)</f>
        <v/>
      </c>
      <c r="LA55" s="2" t="inlineStr">
        <is>
          <t>2023-10-29</t>
        </is>
      </c>
      <c r="LB55" s="5">
        <f>ROUND(0.0,2)</f>
        <v/>
      </c>
      <c r="LC55" s="3">
        <f>ROUND(0.0,2)</f>
        <v/>
      </c>
      <c r="LD55" s="3">
        <f>ROUND(0.0,2)</f>
        <v/>
      </c>
      <c r="LE55" s="3">
        <f>ROUND(0.0,2)</f>
        <v/>
      </c>
      <c r="LF55" s="3">
        <f>ROUND(0.0,2)</f>
        <v/>
      </c>
      <c r="LG55" s="3">
        <f>ROUND(0.0,2)</f>
        <v/>
      </c>
      <c r="LH55" s="3">
        <f>ROUND(0.0,2)</f>
        <v/>
      </c>
      <c r="LI55" s="3">
        <f>ROUND(0.0,2)</f>
        <v/>
      </c>
      <c r="LJ55" s="4">
        <f>IFERROR((LD55/LC55),0)</f>
        <v/>
      </c>
      <c r="LK55" s="4">
        <f>IFERROR(((0+LB11+LB12+LB13+LB14+LB15+LB16+LB17+LB19+LB20+LB21+LB22+LB23+LB24+LB25+LB27+LB28+LB29+LB30+LB31+LB32+LB33+LB35+LB36+LB37+LB38+LB39+LB40+LB41+LB43+LB44+LB45+LB46+LB47+LB48+LB49+LB51+LB52+LB53+LB54+LB55)/T2),0)</f>
        <v/>
      </c>
      <c r="LL55" s="5">
        <f>IFERROR(ROUND(LB55/LD55,2),0)</f>
        <v/>
      </c>
      <c r="LM55" s="5">
        <f>IFERROR(ROUND(LB55/LE55,2),0)</f>
        <v/>
      </c>
      <c r="LN55" s="2" t="inlineStr">
        <is>
          <t>2023-10-29</t>
        </is>
      </c>
      <c r="LO55" s="5">
        <f>ROUND(0.0,2)</f>
        <v/>
      </c>
      <c r="LP55" s="3">
        <f>ROUND(0.0,2)</f>
        <v/>
      </c>
      <c r="LQ55" s="3">
        <f>ROUND(0.0,2)</f>
        <v/>
      </c>
      <c r="LR55" s="3">
        <f>ROUND(0.0,2)</f>
        <v/>
      </c>
      <c r="LS55" s="3">
        <f>ROUND(0.0,2)</f>
        <v/>
      </c>
      <c r="LT55" s="3">
        <f>ROUND(0.0,2)</f>
        <v/>
      </c>
      <c r="LU55" s="3">
        <f>ROUND(0.0,2)</f>
        <v/>
      </c>
      <c r="LV55" s="3">
        <f>ROUND(0.0,2)</f>
        <v/>
      </c>
      <c r="LW55" s="4">
        <f>IFERROR((LQ55/LP55),0)</f>
        <v/>
      </c>
      <c r="LX55" s="4">
        <f>IFERROR(((0+LO11+LO12+LO13+LO14+LO15+LO16+LO17+LO19+LO20+LO21+LO22+LO23+LO24+LO25+LO27+LO28+LO29+LO30+LO31+LO32+LO33+LO35+LO36+LO37+LO38+LO39+LO40+LO41+LO43+LO44+LO45+LO46+LO47+LO48+LO49+LO51+LO52+LO53+LO54+LO55)/T2),0)</f>
        <v/>
      </c>
      <c r="LY55" s="5">
        <f>IFERROR(ROUND(LO55/LQ55,2),0)</f>
        <v/>
      </c>
      <c r="LZ55" s="5">
        <f>IFERROR(ROUND(LO55/LR55,2),0)</f>
        <v/>
      </c>
      <c r="MA55" s="2" t="inlineStr">
        <is>
          <t>2023-10-29</t>
        </is>
      </c>
      <c r="MB55" s="5">
        <f>ROUND(0.0,2)</f>
        <v/>
      </c>
      <c r="MC55" s="3">
        <f>ROUND(0.0,2)</f>
        <v/>
      </c>
      <c r="MD55" s="3">
        <f>ROUND(0.0,2)</f>
        <v/>
      </c>
      <c r="ME55" s="3">
        <f>ROUND(0.0,2)</f>
        <v/>
      </c>
      <c r="MF55" s="3">
        <f>ROUND(0.0,2)</f>
        <v/>
      </c>
      <c r="MG55" s="3">
        <f>ROUND(0.0,2)</f>
        <v/>
      </c>
      <c r="MH55" s="3">
        <f>ROUND(0.0,2)</f>
        <v/>
      </c>
      <c r="MI55" s="3">
        <f>ROUND(0.0,2)</f>
        <v/>
      </c>
      <c r="MJ55" s="4">
        <f>IFERROR((MD55/MC55),0)</f>
        <v/>
      </c>
      <c r="MK55" s="4">
        <f>IFERROR(((0+MB11+MB12+MB13+MB14+MB15+MB16+MB17+MB19+MB20+MB21+MB22+MB23+MB24+MB25+MB27+MB28+MB29+MB30+MB31+MB32+MB33+MB35+MB36+MB37+MB38+MB39+MB40+MB41+MB43+MB44+MB45+MB46+MB47+MB48+MB49+MB51+MB52+MB53+MB54+MB55)/T2),0)</f>
        <v/>
      </c>
      <c r="ML55" s="5">
        <f>IFERROR(ROUND(MB55/MD55,2),0)</f>
        <v/>
      </c>
      <c r="MM55" s="5">
        <f>IFERROR(ROUND(MB55/ME55,2),0)</f>
        <v/>
      </c>
      <c r="MN55" s="2" t="inlineStr">
        <is>
          <t>2023-10-29</t>
        </is>
      </c>
      <c r="MO55" s="5">
        <f>ROUND(0.0,2)</f>
        <v/>
      </c>
      <c r="MP55" s="3">
        <f>ROUND(0.0,2)</f>
        <v/>
      </c>
      <c r="MQ55" s="3">
        <f>ROUND(0.0,2)</f>
        <v/>
      </c>
      <c r="MR55" s="3">
        <f>ROUND(0.0,2)</f>
        <v/>
      </c>
      <c r="MS55" s="3">
        <f>ROUND(0.0,2)</f>
        <v/>
      </c>
      <c r="MT55" s="3">
        <f>ROUND(0.0,2)</f>
        <v/>
      </c>
      <c r="MU55" s="3">
        <f>ROUND(0.0,2)</f>
        <v/>
      </c>
      <c r="MV55" s="3">
        <f>ROUND(0.0,2)</f>
        <v/>
      </c>
      <c r="MW55" s="4">
        <f>IFERROR((MQ55/MP55),0)</f>
        <v/>
      </c>
      <c r="MX55" s="4">
        <f>IFERROR(((0+MO11+MO12+MO13+MO14+MO15+MO16+MO17+MO19+MO20+MO21+MO22+MO23+MO24+MO25+MO27+MO28+MO29+MO30+MO31+MO32+MO33+MO35+MO36+MO37+MO38+MO39+MO40+MO41+MO43+MO44+MO45+MO46+MO47+MO48+MO49+MO51+MO52+MO53+MO54+MO55)/T2),0)</f>
        <v/>
      </c>
      <c r="MY55" s="5">
        <f>IFERROR(ROUND(MO55/MQ55,2),0)</f>
        <v/>
      </c>
      <c r="MZ55" s="5">
        <f>IFERROR(ROUND(MO55/MR55,2),0)</f>
        <v/>
      </c>
      <c r="NA55" s="2" t="inlineStr">
        <is>
          <t>2023-10-29</t>
        </is>
      </c>
      <c r="NB55" s="5">
        <f>ROUND(0.0,2)</f>
        <v/>
      </c>
      <c r="NC55" s="3">
        <f>ROUND(0.0,2)</f>
        <v/>
      </c>
      <c r="ND55" s="3">
        <f>ROUND(0.0,2)</f>
        <v/>
      </c>
      <c r="NE55" s="3">
        <f>ROUND(0.0,2)</f>
        <v/>
      </c>
      <c r="NF55" s="3">
        <f>ROUND(0.0,2)</f>
        <v/>
      </c>
      <c r="NG55" s="3">
        <f>ROUND(0.0,2)</f>
        <v/>
      </c>
      <c r="NH55" s="3">
        <f>ROUND(0.0,2)</f>
        <v/>
      </c>
      <c r="NI55" s="3">
        <f>ROUND(0.0,2)</f>
        <v/>
      </c>
      <c r="NJ55" s="4">
        <f>IFERROR((ND55/NC55),0)</f>
        <v/>
      </c>
      <c r="NK55" s="4">
        <f>IFERROR(((0+NB11+NB12+NB13+NB14+NB15+NB16+NB17+NB19+NB20+NB21+NB22+NB23+NB24+NB25+NB27+NB28+NB29+NB30+NB31+NB32+NB33+NB35+NB36+NB37+NB38+NB39+NB40+NB41+NB43+NB44+NB45+NB46+NB47+NB48+NB49+NB51+NB52+NB53+NB54+NB55)/T2),0)</f>
        <v/>
      </c>
      <c r="NL55" s="5">
        <f>IFERROR(ROUND(NB55/ND55,2),0)</f>
        <v/>
      </c>
      <c r="NM55" s="5">
        <f>IFERROR(ROUND(NB55/NE55,2),0)</f>
        <v/>
      </c>
      <c r="NN55" s="2" t="inlineStr">
        <is>
          <t>2023-10-29</t>
        </is>
      </c>
      <c r="NO55" s="5">
        <f>ROUND(0.0,2)</f>
        <v/>
      </c>
      <c r="NP55" s="3">
        <f>ROUND(0.0,2)</f>
        <v/>
      </c>
      <c r="NQ55" s="3">
        <f>ROUND(0.0,2)</f>
        <v/>
      </c>
      <c r="NR55" s="3">
        <f>ROUND(0.0,2)</f>
        <v/>
      </c>
      <c r="NS55" s="3">
        <f>ROUND(0.0,2)</f>
        <v/>
      </c>
      <c r="NT55" s="3">
        <f>ROUND(0.0,2)</f>
        <v/>
      </c>
      <c r="NU55" s="3">
        <f>ROUND(0.0,2)</f>
        <v/>
      </c>
      <c r="NV55" s="3">
        <f>ROUND(0.0,2)</f>
        <v/>
      </c>
      <c r="NW55" s="4">
        <f>IFERROR((NQ55/NP55),0)</f>
        <v/>
      </c>
      <c r="NX55" s="4">
        <f>IFERROR(((0+NO11+NO12+NO13+NO14+NO15+NO16+NO17+NO19+NO20+NO21+NO22+NO23+NO24+NO25+NO27+NO28+NO29+NO30+NO31+NO32+NO33+NO35+NO36+NO37+NO38+NO39+NO40+NO41+NO43+NO44+NO45+NO46+NO47+NO48+NO49+NO51+NO52+NO53+NO54+NO55)/T2),0)</f>
        <v/>
      </c>
      <c r="NY55" s="5">
        <f>IFERROR(ROUND(NO55/NQ55,2),0)</f>
        <v/>
      </c>
      <c r="NZ55" s="5">
        <f>IFERROR(ROUND(NO55/NR55,2),0)</f>
        <v/>
      </c>
      <c r="OA55" s="2" t="inlineStr">
        <is>
          <t>2023-10-29</t>
        </is>
      </c>
      <c r="OB55" s="5">
        <f>ROUND(0.0,2)</f>
        <v/>
      </c>
      <c r="OC55" s="3">
        <f>ROUND(0.0,2)</f>
        <v/>
      </c>
      <c r="OD55" s="3">
        <f>ROUND(0.0,2)</f>
        <v/>
      </c>
      <c r="OE55" s="3">
        <f>ROUND(0.0,2)</f>
        <v/>
      </c>
      <c r="OF55" s="3">
        <f>ROUND(0.0,2)</f>
        <v/>
      </c>
      <c r="OG55" s="3">
        <f>ROUND(0.0,2)</f>
        <v/>
      </c>
      <c r="OH55" s="3">
        <f>ROUND(0.0,2)</f>
        <v/>
      </c>
      <c r="OI55" s="3">
        <f>ROUND(0.0,2)</f>
        <v/>
      </c>
      <c r="OJ55" s="4">
        <f>IFERROR((OD55/OC55),0)</f>
        <v/>
      </c>
      <c r="OK55" s="4">
        <f>IFERROR(((0+OB11+OB12+OB13+OB14+OB15+OB16+OB17+OB19+OB20+OB21+OB22+OB23+OB24+OB25+OB27+OB28+OB29+OB30+OB31+OB32+OB33+OB35+OB36+OB37+OB38+OB39+OB40+OB41+OB43+OB44+OB45+OB46+OB47+OB48+OB49+OB51+OB52+OB53+OB54+OB55)/T2),0)</f>
        <v/>
      </c>
      <c r="OL55" s="5">
        <f>IFERROR(ROUND(OB55/OD55,2),0)</f>
        <v/>
      </c>
      <c r="OM55" s="5">
        <f>IFERROR(ROUND(OB55/OE55,2),0)</f>
        <v/>
      </c>
      <c r="ON55" s="2" t="inlineStr">
        <is>
          <t>2023-10-29</t>
        </is>
      </c>
      <c r="OO55" s="5">
        <f>ROUND(0.0,2)</f>
        <v/>
      </c>
      <c r="OP55" s="3">
        <f>ROUND(0.0,2)</f>
        <v/>
      </c>
      <c r="OQ55" s="3">
        <f>ROUND(0.0,2)</f>
        <v/>
      </c>
      <c r="OR55" s="3">
        <f>ROUND(0.0,2)</f>
        <v/>
      </c>
      <c r="OS55" s="3">
        <f>ROUND(0.0,2)</f>
        <v/>
      </c>
      <c r="OT55" s="3">
        <f>ROUND(0.0,2)</f>
        <v/>
      </c>
      <c r="OU55" s="3">
        <f>ROUND(0.0,2)</f>
        <v/>
      </c>
      <c r="OV55" s="3">
        <f>ROUND(0.0,2)</f>
        <v/>
      </c>
      <c r="OW55" s="4">
        <f>IFERROR((OQ55/OP55),0)</f>
        <v/>
      </c>
      <c r="OX55" s="4">
        <f>IFERROR(((0+OO11+OO12+OO13+OO14+OO15+OO16+OO17+OO19+OO20+OO21+OO22+OO23+OO24+OO25+OO27+OO28+OO29+OO30+OO31+OO32+OO33+OO35+OO36+OO37+OO38+OO39+OO40+OO41+OO43+OO44+OO45+OO46+OO47+OO48+OO49+OO51+OO52+OO53+OO54+OO55)/T2),0)</f>
        <v/>
      </c>
      <c r="OY55" s="5">
        <f>IFERROR(ROUND(OO55/OQ55,2),0)</f>
        <v/>
      </c>
      <c r="OZ55" s="5">
        <f>IFERROR(ROUND(OO55/OR55,2),0)</f>
        <v/>
      </c>
      <c r="PA55" s="2" t="inlineStr">
        <is>
          <t>2023-10-29</t>
        </is>
      </c>
      <c r="PB55" s="5">
        <f>ROUND(0.0,2)</f>
        <v/>
      </c>
      <c r="PC55" s="3">
        <f>ROUND(0.0,2)</f>
        <v/>
      </c>
      <c r="PD55" s="3">
        <f>ROUND(0.0,2)</f>
        <v/>
      </c>
      <c r="PE55" s="3">
        <f>ROUND(0.0,2)</f>
        <v/>
      </c>
      <c r="PF55" s="3">
        <f>ROUND(0.0,2)</f>
        <v/>
      </c>
      <c r="PG55" s="3">
        <f>ROUND(0.0,2)</f>
        <v/>
      </c>
      <c r="PH55" s="3">
        <f>ROUND(0.0,2)</f>
        <v/>
      </c>
      <c r="PI55" s="3">
        <f>ROUND(0.0,2)</f>
        <v/>
      </c>
      <c r="PJ55" s="4">
        <f>IFERROR((PD55/PC55),0)</f>
        <v/>
      </c>
      <c r="PK55" s="4">
        <f>IFERROR(((0+PB11+PB12+PB13+PB14+PB15+PB16+PB17+PB19+PB20+PB21+PB22+PB23+PB24+PB25+PB27+PB28+PB29+PB30+PB31+PB32+PB33+PB35+PB36+PB37+PB38+PB39+PB40+PB41+PB43+PB44+PB45+PB46+PB47+PB48+PB49+PB51+PB52+PB53+PB54+PB55)/T2),0)</f>
        <v/>
      </c>
      <c r="PL55" s="5">
        <f>IFERROR(ROUND(PB55/PD55,2),0)</f>
        <v/>
      </c>
      <c r="PM55" s="5">
        <f>IFERROR(ROUND(PB55/PE55,2),0)</f>
        <v/>
      </c>
      <c r="PN55" s="2" t="inlineStr">
        <is>
          <t>2023-10-29</t>
        </is>
      </c>
      <c r="PO55" s="5">
        <f>ROUND(0.0,2)</f>
        <v/>
      </c>
      <c r="PP55" s="3">
        <f>ROUND(0.0,2)</f>
        <v/>
      </c>
      <c r="PQ55" s="3">
        <f>ROUND(0.0,2)</f>
        <v/>
      </c>
      <c r="PR55" s="3">
        <f>ROUND(0.0,2)</f>
        <v/>
      </c>
      <c r="PS55" s="3">
        <f>ROUND(0.0,2)</f>
        <v/>
      </c>
      <c r="PT55" s="3">
        <f>ROUND(0.0,2)</f>
        <v/>
      </c>
      <c r="PU55" s="3">
        <f>ROUND(0.0,2)</f>
        <v/>
      </c>
      <c r="PV55" s="3">
        <f>ROUND(0.0,2)</f>
        <v/>
      </c>
      <c r="PW55" s="4">
        <f>IFERROR((PQ55/PP55),0)</f>
        <v/>
      </c>
      <c r="PX55" s="4">
        <f>IFERROR(((0+PO11+PO12+PO13+PO14+PO15+PO16+PO17+PO19+PO20+PO21+PO22+PO23+PO24+PO25+PO27+PO28+PO29+PO30+PO31+PO32+PO33+PO35+PO36+PO37+PO38+PO39+PO40+PO41+PO43+PO44+PO45+PO46+PO47+PO48+PO49+PO51+PO52+PO53+PO54+PO55)/T2),0)</f>
        <v/>
      </c>
      <c r="PY55" s="5">
        <f>IFERROR(ROUND(PO55/PQ55,2),0)</f>
        <v/>
      </c>
      <c r="PZ55" s="5">
        <f>IFERROR(ROUND(PO55/PR55,2),0)</f>
        <v/>
      </c>
      <c r="QA55" s="2" t="inlineStr">
        <is>
          <t>2023-10-29</t>
        </is>
      </c>
      <c r="QB55" s="5">
        <f>ROUND(0.0,2)</f>
        <v/>
      </c>
      <c r="QC55" s="3">
        <f>ROUND(0.0,2)</f>
        <v/>
      </c>
      <c r="QD55" s="3">
        <f>ROUND(0.0,2)</f>
        <v/>
      </c>
      <c r="QE55" s="3">
        <f>ROUND(0.0,2)</f>
        <v/>
      </c>
      <c r="QF55" s="3">
        <f>ROUND(0.0,2)</f>
        <v/>
      </c>
      <c r="QG55" s="3">
        <f>ROUND(0.0,2)</f>
        <v/>
      </c>
      <c r="QH55" s="3">
        <f>ROUND(0.0,2)</f>
        <v/>
      </c>
      <c r="QI55" s="3">
        <f>ROUND(0.0,2)</f>
        <v/>
      </c>
      <c r="QJ55" s="4">
        <f>IFERROR((QD55/QC55),0)</f>
        <v/>
      </c>
      <c r="QK55" s="4">
        <f>IFERROR(((0+QB11+QB12+QB13+QB14+QB15+QB16+QB17+QB19+QB20+QB21+QB22+QB23+QB24+QB25+QB27+QB28+QB29+QB30+QB31+QB32+QB33+QB35+QB36+QB37+QB38+QB39+QB40+QB41+QB43+QB44+QB45+QB46+QB47+QB48+QB49+QB51+QB52+QB53+QB54+QB55)/T2),0)</f>
        <v/>
      </c>
      <c r="QL55" s="5">
        <f>IFERROR(ROUND(QB55/QD55,2),0)</f>
        <v/>
      </c>
      <c r="QM55" s="5">
        <f>IFERROR(ROUND(QB55/QE55,2),0)</f>
        <v/>
      </c>
      <c r="QN55" s="2" t="inlineStr">
        <is>
          <t>2023-10-29</t>
        </is>
      </c>
      <c r="QO55" s="5">
        <f>ROUND(0.0,2)</f>
        <v/>
      </c>
      <c r="QP55" s="3">
        <f>ROUND(0.0,2)</f>
        <v/>
      </c>
      <c r="QQ55" s="3">
        <f>ROUND(0.0,2)</f>
        <v/>
      </c>
      <c r="QR55" s="3">
        <f>ROUND(0.0,2)</f>
        <v/>
      </c>
      <c r="QS55" s="3">
        <f>ROUND(0.0,2)</f>
        <v/>
      </c>
      <c r="QT55" s="3">
        <f>ROUND(0.0,2)</f>
        <v/>
      </c>
      <c r="QU55" s="3">
        <f>ROUND(0.0,2)</f>
        <v/>
      </c>
      <c r="QV55" s="3">
        <f>ROUND(0.0,2)</f>
        <v/>
      </c>
      <c r="QW55" s="4">
        <f>IFERROR((QQ55/QP55),0)</f>
        <v/>
      </c>
      <c r="QX55" s="4">
        <f>IFERROR(((0+QO11+QO12+QO13+QO14+QO15+QO16+QO17+QO19+QO20+QO21+QO22+QO23+QO24+QO25+QO27+QO28+QO29+QO30+QO31+QO32+QO33+QO35+QO36+QO37+QO38+QO39+QO40+QO41+QO43+QO44+QO45+QO46+QO47+QO48+QO49+QO51+QO52+QO53+QO54+QO55)/T2),0)</f>
        <v/>
      </c>
      <c r="QY55" s="5">
        <f>IFERROR(ROUND(QO55/QQ55,2),0)</f>
        <v/>
      </c>
      <c r="QZ55" s="5">
        <f>IFERROR(ROUND(QO55/QR55,2),0)</f>
        <v/>
      </c>
      <c r="RA55" s="2" t="inlineStr">
        <is>
          <t>2023-10-29</t>
        </is>
      </c>
      <c r="RB55" s="5">
        <f>ROUND(0.0,2)</f>
        <v/>
      </c>
      <c r="RC55" s="3">
        <f>ROUND(0.0,2)</f>
        <v/>
      </c>
      <c r="RD55" s="3">
        <f>ROUND(0.0,2)</f>
        <v/>
      </c>
      <c r="RE55" s="3">
        <f>ROUND(0.0,2)</f>
        <v/>
      </c>
      <c r="RF55" s="3">
        <f>ROUND(0.0,2)</f>
        <v/>
      </c>
      <c r="RG55" s="3">
        <f>ROUND(0.0,2)</f>
        <v/>
      </c>
      <c r="RH55" s="3">
        <f>ROUND(0.0,2)</f>
        <v/>
      </c>
      <c r="RI55" s="3">
        <f>ROUND(0.0,2)</f>
        <v/>
      </c>
      <c r="RJ55" s="4">
        <f>IFERROR((RD55/RC55),0)</f>
        <v/>
      </c>
      <c r="RK55" s="4">
        <f>IFERROR(((0+RB11+RB12+RB13+RB14+RB15+RB16+RB17+RB19+RB20+RB21+RB22+RB23+RB24+RB25+RB27+RB28+RB29+RB30+RB31+RB32+RB33+RB35+RB36+RB37+RB38+RB39+RB40+RB41+RB43+RB44+RB45+RB46+RB47+RB48+RB49+RB51+RB52+RB53+RB54+RB55)/T2),0)</f>
        <v/>
      </c>
      <c r="RL55" s="5">
        <f>IFERROR(ROUND(RB55/RD55,2),0)</f>
        <v/>
      </c>
      <c r="RM55" s="5">
        <f>IFERROR(ROUND(RB55/RE55,2),0)</f>
        <v/>
      </c>
      <c r="RN55" s="2" t="inlineStr">
        <is>
          <t>2023-10-29</t>
        </is>
      </c>
      <c r="RO55" s="5">
        <f>ROUND(0.0,2)</f>
        <v/>
      </c>
      <c r="RP55" s="3">
        <f>ROUND(0.0,2)</f>
        <v/>
      </c>
      <c r="RQ55" s="3">
        <f>ROUND(0.0,2)</f>
        <v/>
      </c>
      <c r="RR55" s="3">
        <f>ROUND(0.0,2)</f>
        <v/>
      </c>
      <c r="RS55" s="3">
        <f>ROUND(0.0,2)</f>
        <v/>
      </c>
      <c r="RT55" s="3">
        <f>ROUND(0.0,2)</f>
        <v/>
      </c>
      <c r="RU55" s="3">
        <f>ROUND(0.0,2)</f>
        <v/>
      </c>
      <c r="RV55" s="3">
        <f>ROUND(0.0,2)</f>
        <v/>
      </c>
      <c r="RW55" s="4">
        <f>IFERROR((RQ55/RP55),0)</f>
        <v/>
      </c>
      <c r="RX55" s="4">
        <f>IFERROR(((0+RO11+RO12+RO13+RO14+RO15+RO16+RO17+RO19+RO20+RO21+RO22+RO23+RO24+RO25+RO27+RO28+RO29+RO30+RO31+RO32+RO33+RO35+RO36+RO37+RO38+RO39+RO40+RO41+RO43+RO44+RO45+RO46+RO47+RO48+RO49+RO51+RO52+RO53+RO54+RO55)/T2),0)</f>
        <v/>
      </c>
      <c r="RY55" s="5">
        <f>IFERROR(ROUND(RO55/RQ55,2),0)</f>
        <v/>
      </c>
      <c r="RZ55" s="5">
        <f>IFERROR(ROUND(RO55/RR55,2),0)</f>
        <v/>
      </c>
      <c r="SA55" s="2" t="inlineStr">
        <is>
          <t>2023-10-29</t>
        </is>
      </c>
      <c r="SB55" s="5">
        <f>ROUND(0.0,2)</f>
        <v/>
      </c>
      <c r="SC55" s="3">
        <f>ROUND(0.0,2)</f>
        <v/>
      </c>
      <c r="SD55" s="3">
        <f>ROUND(0.0,2)</f>
        <v/>
      </c>
      <c r="SE55" s="3">
        <f>ROUND(0.0,2)</f>
        <v/>
      </c>
      <c r="SF55" s="3">
        <f>ROUND(0.0,2)</f>
        <v/>
      </c>
      <c r="SG55" s="3">
        <f>ROUND(0.0,2)</f>
        <v/>
      </c>
      <c r="SH55" s="3">
        <f>ROUND(0.0,2)</f>
        <v/>
      </c>
      <c r="SI55" s="3">
        <f>ROUND(0.0,2)</f>
        <v/>
      </c>
      <c r="SJ55" s="4">
        <f>IFERROR((SD55/SC55),0)</f>
        <v/>
      </c>
      <c r="SK55" s="4">
        <f>IFERROR(((0+SB11+SB12+SB13+SB14+SB15+SB16+SB17+SB19+SB20+SB21+SB22+SB23+SB24+SB25+SB27+SB28+SB29+SB30+SB31+SB32+SB33+SB35+SB36+SB37+SB38+SB39+SB40+SB41+SB43+SB44+SB45+SB46+SB47+SB48+SB49+SB51+SB52+SB53+SB54+SB55)/T2),0)</f>
        <v/>
      </c>
      <c r="SL55" s="5">
        <f>IFERROR(ROUND(SB55/SD55,2),0)</f>
        <v/>
      </c>
      <c r="SM55" s="5">
        <f>IFERROR(ROUND(SB55/SE55,2),0)</f>
        <v/>
      </c>
      <c r="SN55" s="2" t="inlineStr">
        <is>
          <t>2023-10-29</t>
        </is>
      </c>
      <c r="SO55" s="5">
        <f>ROUND(0.0,2)</f>
        <v/>
      </c>
      <c r="SP55" s="3">
        <f>ROUND(0.0,2)</f>
        <v/>
      </c>
      <c r="SQ55" s="3">
        <f>ROUND(0.0,2)</f>
        <v/>
      </c>
      <c r="SR55" s="3">
        <f>ROUND(0.0,2)</f>
        <v/>
      </c>
      <c r="SS55" s="3">
        <f>ROUND(0.0,2)</f>
        <v/>
      </c>
      <c r="ST55" s="3">
        <f>ROUND(0.0,2)</f>
        <v/>
      </c>
      <c r="SU55" s="3">
        <f>ROUND(0.0,2)</f>
        <v/>
      </c>
      <c r="SV55" s="3">
        <f>ROUND(0.0,2)</f>
        <v/>
      </c>
      <c r="SW55" s="4">
        <f>IFERROR((SQ55/SP55),0)</f>
        <v/>
      </c>
      <c r="SX55" s="4">
        <f>IFERROR(((0+SO11+SO12+SO13+SO14+SO15+SO16+SO17+SO19+SO20+SO21+SO22+SO23+SO24+SO25+SO27+SO28+SO29+SO30+SO31+SO32+SO33+SO35+SO36+SO37+SO38+SO39+SO40+SO41+SO43+SO44+SO45+SO46+SO47+SO48+SO49+SO51+SO52+SO53+SO54+SO55)/T2),0)</f>
        <v/>
      </c>
      <c r="SY55" s="5">
        <f>IFERROR(ROUND(SO55/SQ55,2),0)</f>
        <v/>
      </c>
      <c r="SZ55" s="5">
        <f>IFERROR(ROUND(SO55/SR55,2),0)</f>
        <v/>
      </c>
    </row>
    <row r="56">
      <c r="A56" s="6" t="inlineStr">
        <is>
          <t>Total</t>
        </is>
      </c>
      <c r="B56" s="7">
        <f>ROUND(1178.96,2)</f>
        <v/>
      </c>
      <c r="C56" s="8">
        <f>ROUND(3210499.0,2)</f>
        <v/>
      </c>
      <c r="D56" s="8">
        <f>ROUND(106441.0,2)</f>
        <v/>
      </c>
      <c r="E56" s="8">
        <f>ROUND(0.0,2)</f>
        <v/>
      </c>
      <c r="F56" s="8">
        <f>ROUND(0.0,2)</f>
        <v/>
      </c>
      <c r="G56" s="8">
        <f>ROUND(0.0,2)</f>
        <v/>
      </c>
      <c r="H56" s="8">
        <f>ROUND(0.0,2)</f>
        <v/>
      </c>
      <c r="I56" s="8">
        <f>ROUND(0.0,2)</f>
        <v/>
      </c>
      <c r="J56" s="9">
        <f>IFERROR((D56/C56),0)</f>
        <v/>
      </c>
      <c r="K56" s="9">
        <f>IFERROR(((0+B56)/T2),0)</f>
        <v/>
      </c>
      <c r="L56" s="7">
        <f>IFERROR(B56/D56,0)</f>
        <v/>
      </c>
      <c r="M56" s="7">
        <f>IFERROR(ROUND(B56/E56,2),0)</f>
        <v/>
      </c>
      <c r="N56" s="6" t="inlineStr">
        <is>
          <t>Total</t>
        </is>
      </c>
      <c r="O56" s="7">
        <f>ROUND(94.75,2)</f>
        <v/>
      </c>
      <c r="P56" s="8">
        <f>ROUND(136889.0,2)</f>
        <v/>
      </c>
      <c r="Q56" s="8">
        <f>ROUND(8935.0,2)</f>
        <v/>
      </c>
      <c r="R56" s="8">
        <f>ROUND(0.0,2)</f>
        <v/>
      </c>
      <c r="S56" s="8">
        <f>ROUND(0.0,2)</f>
        <v/>
      </c>
      <c r="T56" s="8">
        <f>ROUND(0.0,2)</f>
        <v/>
      </c>
      <c r="U56" s="8">
        <f>ROUND(0.0,2)</f>
        <v/>
      </c>
      <c r="V56" s="8">
        <f>ROUND(0.0,2)</f>
        <v/>
      </c>
      <c r="W56" s="9">
        <f>IFERROR((Q56/P56),0)</f>
        <v/>
      </c>
      <c r="X56" s="9">
        <f>IFERROR(((0+O56)/T2),0)</f>
        <v/>
      </c>
      <c r="Y56" s="7">
        <f>IFERROR(O56/Q56,0)</f>
        <v/>
      </c>
      <c r="Z56" s="7">
        <f>IFERROR(ROUND(O56/R56,2),0)</f>
        <v/>
      </c>
      <c r="AA56" s="6" t="inlineStr">
        <is>
          <t>Total</t>
        </is>
      </c>
      <c r="AB56" s="7">
        <f>ROUND(5.9799999999999995,2)</f>
        <v/>
      </c>
      <c r="AC56" s="8">
        <f>ROUND(13531.0,2)</f>
        <v/>
      </c>
      <c r="AD56" s="8">
        <f>ROUND(433.0,2)</f>
        <v/>
      </c>
      <c r="AE56" s="8">
        <f>ROUND(0.0,2)</f>
        <v/>
      </c>
      <c r="AF56" s="8">
        <f>ROUND(0.0,2)</f>
        <v/>
      </c>
      <c r="AG56" s="8">
        <f>ROUND(0.0,2)</f>
        <v/>
      </c>
      <c r="AH56" s="8">
        <f>ROUND(0.0,2)</f>
        <v/>
      </c>
      <c r="AI56" s="8">
        <f>ROUND(0.0,2)</f>
        <v/>
      </c>
      <c r="AJ56" s="9">
        <f>IFERROR((AD56/AC56),0)</f>
        <v/>
      </c>
      <c r="AK56" s="9">
        <f>IFERROR(((0+AB56)/T2),0)</f>
        <v/>
      </c>
      <c r="AL56" s="7">
        <f>IFERROR(AB56/AD56,0)</f>
        <v/>
      </c>
      <c r="AM56" s="7">
        <f>IFERROR(ROUND(AB56/AE56,2),0)</f>
        <v/>
      </c>
      <c r="AN56" s="6" t="inlineStr">
        <is>
          <t>Total</t>
        </is>
      </c>
      <c r="AO56" s="7">
        <f>ROUND(55.77,2)</f>
        <v/>
      </c>
      <c r="AP56" s="8">
        <f>ROUND(234624.0,2)</f>
        <v/>
      </c>
      <c r="AQ56" s="8">
        <f>ROUND(5471.0,2)</f>
        <v/>
      </c>
      <c r="AR56" s="8">
        <f>ROUND(0.0,2)</f>
        <v/>
      </c>
      <c r="AS56" s="8">
        <f>ROUND(0.0,2)</f>
        <v/>
      </c>
      <c r="AT56" s="8">
        <f>ROUND(0.0,2)</f>
        <v/>
      </c>
      <c r="AU56" s="8">
        <f>ROUND(0.0,2)</f>
        <v/>
      </c>
      <c r="AV56" s="8">
        <f>ROUND(0.0,2)</f>
        <v/>
      </c>
      <c r="AW56" s="9">
        <f>IFERROR((AQ56/AP56),0)</f>
        <v/>
      </c>
      <c r="AX56" s="9">
        <f>IFERROR(((0+AO56)/T2),0)</f>
        <v/>
      </c>
      <c r="AY56" s="7">
        <f>IFERROR(AO56/AQ56,0)</f>
        <v/>
      </c>
      <c r="AZ56" s="7">
        <f>IFERROR(ROUND(AO56/AR56,2),0)</f>
        <v/>
      </c>
      <c r="BA56" s="6" t="inlineStr">
        <is>
          <t>Total</t>
        </is>
      </c>
      <c r="BB56" s="7">
        <f>ROUND(12.12,2)</f>
        <v/>
      </c>
      <c r="BC56" s="8">
        <f>ROUND(22247.0,2)</f>
        <v/>
      </c>
      <c r="BD56" s="8">
        <f>ROUND(988.0,2)</f>
        <v/>
      </c>
      <c r="BE56" s="8">
        <f>ROUND(0.0,2)</f>
        <v/>
      </c>
      <c r="BF56" s="8">
        <f>ROUND(0.0,2)</f>
        <v/>
      </c>
      <c r="BG56" s="8">
        <f>ROUND(0.0,2)</f>
        <v/>
      </c>
      <c r="BH56" s="8">
        <f>ROUND(0.0,2)</f>
        <v/>
      </c>
      <c r="BI56" s="8">
        <f>ROUND(0.0,2)</f>
        <v/>
      </c>
      <c r="BJ56" s="9">
        <f>IFERROR((BD56/BC56),0)</f>
        <v/>
      </c>
      <c r="BK56" s="9">
        <f>IFERROR(((0+BB56)/T2),0)</f>
        <v/>
      </c>
      <c r="BL56" s="7">
        <f>IFERROR(BB56/BD56,0)</f>
        <v/>
      </c>
      <c r="BM56" s="7">
        <f>IFERROR(ROUND(BB56/BE56,2),0)</f>
        <v/>
      </c>
      <c r="BN56" s="6" t="inlineStr">
        <is>
          <t>Total</t>
        </is>
      </c>
      <c r="BO56" s="7">
        <f>ROUND(10.85,2)</f>
        <v/>
      </c>
      <c r="BP56" s="8">
        <f>ROUND(17913.0,2)</f>
        <v/>
      </c>
      <c r="BQ56" s="8">
        <f>ROUND(1037.0,2)</f>
        <v/>
      </c>
      <c r="BR56" s="8">
        <f>ROUND(0.0,2)</f>
        <v/>
      </c>
      <c r="BS56" s="8">
        <f>ROUND(0.0,2)</f>
        <v/>
      </c>
      <c r="BT56" s="8">
        <f>ROUND(0.0,2)</f>
        <v/>
      </c>
      <c r="BU56" s="8">
        <f>ROUND(0.0,2)</f>
        <v/>
      </c>
      <c r="BV56" s="8">
        <f>ROUND(0.0,2)</f>
        <v/>
      </c>
      <c r="BW56" s="9">
        <f>IFERROR((BQ56/BP56),0)</f>
        <v/>
      </c>
      <c r="BX56" s="9">
        <f>IFERROR(((0+BO56)/T2),0)</f>
        <v/>
      </c>
      <c r="BY56" s="7">
        <f>IFERROR(BO56/BQ56,0)</f>
        <v/>
      </c>
      <c r="BZ56" s="7">
        <f>IFERROR(ROUND(BO56/BR56,2),0)</f>
        <v/>
      </c>
      <c r="CA56" s="6" t="inlineStr">
        <is>
          <t>Total</t>
        </is>
      </c>
      <c r="CB56" s="7">
        <f>ROUND(9.81,2)</f>
        <v/>
      </c>
      <c r="CC56" s="8">
        <f>ROUND(18378.0,2)</f>
        <v/>
      </c>
      <c r="CD56" s="8">
        <f>ROUND(804.0,2)</f>
        <v/>
      </c>
      <c r="CE56" s="8">
        <f>ROUND(0.0,2)</f>
        <v/>
      </c>
      <c r="CF56" s="8">
        <f>ROUND(0.0,2)</f>
        <v/>
      </c>
      <c r="CG56" s="8">
        <f>ROUND(0.0,2)</f>
        <v/>
      </c>
      <c r="CH56" s="8">
        <f>ROUND(0.0,2)</f>
        <v/>
      </c>
      <c r="CI56" s="8">
        <f>ROUND(0.0,2)</f>
        <v/>
      </c>
      <c r="CJ56" s="9">
        <f>IFERROR((CD56/CC56),0)</f>
        <v/>
      </c>
      <c r="CK56" s="9">
        <f>IFERROR(((0+CB56)/T2),0)</f>
        <v/>
      </c>
      <c r="CL56" s="7">
        <f>IFERROR(CB56/CD56,0)</f>
        <v/>
      </c>
      <c r="CM56" s="7">
        <f>IFERROR(ROUND(CB56/CE56,2),0)</f>
        <v/>
      </c>
      <c r="CN56" s="6" t="inlineStr">
        <is>
          <t>Total</t>
        </is>
      </c>
      <c r="CO56" s="7">
        <f>ROUND(32.769999999999996,2)</f>
        <v/>
      </c>
      <c r="CP56" s="8">
        <f>ROUND(125914.0,2)</f>
        <v/>
      </c>
      <c r="CQ56" s="8">
        <f>ROUND(2722.0,2)</f>
        <v/>
      </c>
      <c r="CR56" s="8">
        <f>ROUND(0.0,2)</f>
        <v/>
      </c>
      <c r="CS56" s="8">
        <f>ROUND(0.0,2)</f>
        <v/>
      </c>
      <c r="CT56" s="8">
        <f>ROUND(0.0,2)</f>
        <v/>
      </c>
      <c r="CU56" s="8">
        <f>ROUND(0.0,2)</f>
        <v/>
      </c>
      <c r="CV56" s="8">
        <f>ROUND(0.0,2)</f>
        <v/>
      </c>
      <c r="CW56" s="9">
        <f>IFERROR((CQ56/CP56),0)</f>
        <v/>
      </c>
      <c r="CX56" s="9">
        <f>IFERROR(((0+CO56)/T2),0)</f>
        <v/>
      </c>
      <c r="CY56" s="7">
        <f>IFERROR(CO56/CQ56,0)</f>
        <v/>
      </c>
      <c r="CZ56" s="7">
        <f>IFERROR(ROUND(CO56/CR56,2),0)</f>
        <v/>
      </c>
      <c r="DA56" s="6" t="inlineStr">
        <is>
          <t>Total</t>
        </is>
      </c>
      <c r="DB56" s="7">
        <f>ROUND(42.78999999999999,2)</f>
        <v/>
      </c>
      <c r="DC56" s="8">
        <f>ROUND(117496.0,2)</f>
        <v/>
      </c>
      <c r="DD56" s="8">
        <f>ROUND(4108.0,2)</f>
        <v/>
      </c>
      <c r="DE56" s="8">
        <f>ROUND(0.0,2)</f>
        <v/>
      </c>
      <c r="DF56" s="8">
        <f>ROUND(0.0,2)</f>
        <v/>
      </c>
      <c r="DG56" s="8">
        <f>ROUND(0.0,2)</f>
        <v/>
      </c>
      <c r="DH56" s="8">
        <f>ROUND(0.0,2)</f>
        <v/>
      </c>
      <c r="DI56" s="8">
        <f>ROUND(0.0,2)</f>
        <v/>
      </c>
      <c r="DJ56" s="9">
        <f>IFERROR((DD56/DC56),0)</f>
        <v/>
      </c>
      <c r="DK56" s="9">
        <f>IFERROR(((0+DB56)/T2),0)</f>
        <v/>
      </c>
      <c r="DL56" s="7">
        <f>IFERROR(DB56/DD56,0)</f>
        <v/>
      </c>
      <c r="DM56" s="7">
        <f>IFERROR(ROUND(DB56/DE56,2),0)</f>
        <v/>
      </c>
      <c r="DN56" s="6" t="inlineStr">
        <is>
          <t>Total</t>
        </is>
      </c>
      <c r="DO56" s="7">
        <f>ROUND(2.9099999999999997,2)</f>
        <v/>
      </c>
      <c r="DP56" s="8">
        <f>ROUND(9302.0,2)</f>
        <v/>
      </c>
      <c r="DQ56" s="8">
        <f>ROUND(268.0,2)</f>
        <v/>
      </c>
      <c r="DR56" s="8">
        <f>ROUND(0.0,2)</f>
        <v/>
      </c>
      <c r="DS56" s="8">
        <f>ROUND(0.0,2)</f>
        <v/>
      </c>
      <c r="DT56" s="8">
        <f>ROUND(0.0,2)</f>
        <v/>
      </c>
      <c r="DU56" s="8">
        <f>ROUND(0.0,2)</f>
        <v/>
      </c>
      <c r="DV56" s="8">
        <f>ROUND(0.0,2)</f>
        <v/>
      </c>
      <c r="DW56" s="9">
        <f>IFERROR((DQ56/DP56),0)</f>
        <v/>
      </c>
      <c r="DX56" s="9">
        <f>IFERROR(((0+DO56)/T2),0)</f>
        <v/>
      </c>
      <c r="DY56" s="7">
        <f>IFERROR(DO56/DQ56,0)</f>
        <v/>
      </c>
      <c r="DZ56" s="7">
        <f>IFERROR(ROUND(DO56/DR56,2),0)</f>
        <v/>
      </c>
      <c r="EA56" s="6" t="inlineStr">
        <is>
          <t>Total</t>
        </is>
      </c>
      <c r="EB56" s="7">
        <f>ROUND(87.07000000000001,2)</f>
        <v/>
      </c>
      <c r="EC56" s="8">
        <f>ROUND(443215.0,2)</f>
        <v/>
      </c>
      <c r="ED56" s="8">
        <f>ROUND(7841.0,2)</f>
        <v/>
      </c>
      <c r="EE56" s="8">
        <f>ROUND(0.0,2)</f>
        <v/>
      </c>
      <c r="EF56" s="8">
        <f>ROUND(0.0,2)</f>
        <v/>
      </c>
      <c r="EG56" s="8">
        <f>ROUND(0.0,2)</f>
        <v/>
      </c>
      <c r="EH56" s="8">
        <f>ROUND(0.0,2)</f>
        <v/>
      </c>
      <c r="EI56" s="8">
        <f>ROUND(0.0,2)</f>
        <v/>
      </c>
      <c r="EJ56" s="9">
        <f>IFERROR((ED56/EC56),0)</f>
        <v/>
      </c>
      <c r="EK56" s="9">
        <f>IFERROR(((0+EB56)/T2),0)</f>
        <v/>
      </c>
      <c r="EL56" s="7">
        <f>IFERROR(EB56/ED56,0)</f>
        <v/>
      </c>
      <c r="EM56" s="7">
        <f>IFERROR(ROUND(EB56/EE56,2),0)</f>
        <v/>
      </c>
      <c r="EN56" s="6" t="inlineStr">
        <is>
          <t>Total</t>
        </is>
      </c>
      <c r="EO56" s="7">
        <f>ROUND(21.780000000000005,2)</f>
        <v/>
      </c>
      <c r="EP56" s="8">
        <f>ROUND(33778.0,2)</f>
        <v/>
      </c>
      <c r="EQ56" s="8">
        <f>ROUND(2031.0,2)</f>
        <v/>
      </c>
      <c r="ER56" s="8">
        <f>ROUND(0.0,2)</f>
        <v/>
      </c>
      <c r="ES56" s="8">
        <f>ROUND(0.0,2)</f>
        <v/>
      </c>
      <c r="ET56" s="8">
        <f>ROUND(0.0,2)</f>
        <v/>
      </c>
      <c r="EU56" s="8">
        <f>ROUND(0.0,2)</f>
        <v/>
      </c>
      <c r="EV56" s="8">
        <f>ROUND(0.0,2)</f>
        <v/>
      </c>
      <c r="EW56" s="9">
        <f>IFERROR((EQ56/EP56),0)</f>
        <v/>
      </c>
      <c r="EX56" s="9">
        <f>IFERROR(((0+EO56)/T2),0)</f>
        <v/>
      </c>
      <c r="EY56" s="7">
        <f>IFERROR(EO56/EQ56,0)</f>
        <v/>
      </c>
      <c r="EZ56" s="7">
        <f>IFERROR(ROUND(EO56/ER56,2),0)</f>
        <v/>
      </c>
      <c r="FA56" s="6" t="inlineStr">
        <is>
          <t>Total</t>
        </is>
      </c>
      <c r="FB56" s="7">
        <f>ROUND(40.49000000000001,2)</f>
        <v/>
      </c>
      <c r="FC56" s="8">
        <f>ROUND(163443.0,2)</f>
        <v/>
      </c>
      <c r="FD56" s="8">
        <f>ROUND(3459.0,2)</f>
        <v/>
      </c>
      <c r="FE56" s="8">
        <f>ROUND(0.0,2)</f>
        <v/>
      </c>
      <c r="FF56" s="8">
        <f>ROUND(0.0,2)</f>
        <v/>
      </c>
      <c r="FG56" s="8">
        <f>ROUND(0.0,2)</f>
        <v/>
      </c>
      <c r="FH56" s="8">
        <f>ROUND(0.0,2)</f>
        <v/>
      </c>
      <c r="FI56" s="8">
        <f>ROUND(0.0,2)</f>
        <v/>
      </c>
      <c r="FJ56" s="9">
        <f>IFERROR((FD56/FC56),0)</f>
        <v/>
      </c>
      <c r="FK56" s="9">
        <f>IFERROR(((0+FB56)/T2),0)</f>
        <v/>
      </c>
      <c r="FL56" s="7">
        <f>IFERROR(FB56/FD56,0)</f>
        <v/>
      </c>
      <c r="FM56" s="7">
        <f>IFERROR(ROUND(FB56/FE56,2),0)</f>
        <v/>
      </c>
      <c r="FN56" s="6" t="inlineStr">
        <is>
          <t>Total</t>
        </is>
      </c>
      <c r="FO56" s="7">
        <f>ROUND(150.36,2)</f>
        <v/>
      </c>
      <c r="FP56" s="8">
        <f>ROUND(317501.0,2)</f>
        <v/>
      </c>
      <c r="FQ56" s="8">
        <f>ROUND(12235.0,2)</f>
        <v/>
      </c>
      <c r="FR56" s="8">
        <f>ROUND(0.0,2)</f>
        <v/>
      </c>
      <c r="FS56" s="8">
        <f>ROUND(0.0,2)</f>
        <v/>
      </c>
      <c r="FT56" s="8">
        <f>ROUND(0.0,2)</f>
        <v/>
      </c>
      <c r="FU56" s="8">
        <f>ROUND(0.0,2)</f>
        <v/>
      </c>
      <c r="FV56" s="8">
        <f>ROUND(0.0,2)</f>
        <v/>
      </c>
      <c r="FW56" s="9">
        <f>IFERROR((FQ56/FP56),0)</f>
        <v/>
      </c>
      <c r="FX56" s="9">
        <f>IFERROR(((0+FO56)/T2),0)</f>
        <v/>
      </c>
      <c r="FY56" s="7">
        <f>IFERROR(FO56/FQ56,0)</f>
        <v/>
      </c>
      <c r="FZ56" s="7">
        <f>IFERROR(ROUND(FO56/FR56,2),0)</f>
        <v/>
      </c>
      <c r="GA56" s="6" t="inlineStr">
        <is>
          <t>Total</t>
        </is>
      </c>
      <c r="GB56" s="7">
        <f>ROUND(8.910000000000002,2)</f>
        <v/>
      </c>
      <c r="GC56" s="8">
        <f>ROUND(17813.0,2)</f>
        <v/>
      </c>
      <c r="GD56" s="8">
        <f>ROUND(847.0,2)</f>
        <v/>
      </c>
      <c r="GE56" s="8">
        <f>ROUND(0.0,2)</f>
        <v/>
      </c>
      <c r="GF56" s="8">
        <f>ROUND(0.0,2)</f>
        <v/>
      </c>
      <c r="GG56" s="8">
        <f>ROUND(0.0,2)</f>
        <v/>
      </c>
      <c r="GH56" s="8">
        <f>ROUND(0.0,2)</f>
        <v/>
      </c>
      <c r="GI56" s="8">
        <f>ROUND(0.0,2)</f>
        <v/>
      </c>
      <c r="GJ56" s="9">
        <f>IFERROR((GD56/GC56),0)</f>
        <v/>
      </c>
      <c r="GK56" s="9">
        <f>IFERROR(((0+GB56)/T2),0)</f>
        <v/>
      </c>
      <c r="GL56" s="7">
        <f>IFERROR(GB56/GD56,0)</f>
        <v/>
      </c>
      <c r="GM56" s="7">
        <f>IFERROR(ROUND(GB56/GE56,2),0)</f>
        <v/>
      </c>
      <c r="GN56" s="6" t="inlineStr">
        <is>
          <t>Total</t>
        </is>
      </c>
      <c r="GO56" s="7">
        <f>ROUND(34.230000000000004,2)</f>
        <v/>
      </c>
      <c r="GP56" s="8">
        <f>ROUND(163537.0,2)</f>
        <v/>
      </c>
      <c r="GQ56" s="8">
        <f>ROUND(3104.0,2)</f>
        <v/>
      </c>
      <c r="GR56" s="8">
        <f>ROUND(0.0,2)</f>
        <v/>
      </c>
      <c r="GS56" s="8">
        <f>ROUND(0.0,2)</f>
        <v/>
      </c>
      <c r="GT56" s="8">
        <f>ROUND(0.0,2)</f>
        <v/>
      </c>
      <c r="GU56" s="8">
        <f>ROUND(0.0,2)</f>
        <v/>
      </c>
      <c r="GV56" s="8">
        <f>ROUND(0.0,2)</f>
        <v/>
      </c>
      <c r="GW56" s="9">
        <f>IFERROR((GQ56/GP56),0)</f>
        <v/>
      </c>
      <c r="GX56" s="9">
        <f>IFERROR(((0+GO56)/T2),0)</f>
        <v/>
      </c>
      <c r="GY56" s="7">
        <f>IFERROR(GO56/GQ56,0)</f>
        <v/>
      </c>
      <c r="GZ56" s="7">
        <f>IFERROR(ROUND(GO56/GR56,2),0)</f>
        <v/>
      </c>
      <c r="HA56" s="6" t="inlineStr">
        <is>
          <t>Total</t>
        </is>
      </c>
      <c r="HB56" s="7">
        <f>ROUND(114.62,2)</f>
        <v/>
      </c>
      <c r="HC56" s="8">
        <f>ROUND(160071.0,2)</f>
        <v/>
      </c>
      <c r="HD56" s="8">
        <f>ROUND(11080.0,2)</f>
        <v/>
      </c>
      <c r="HE56" s="8">
        <f>ROUND(0.0,2)</f>
        <v/>
      </c>
      <c r="HF56" s="8">
        <f>ROUND(0.0,2)</f>
        <v/>
      </c>
      <c r="HG56" s="8">
        <f>ROUND(0.0,2)</f>
        <v/>
      </c>
      <c r="HH56" s="8">
        <f>ROUND(0.0,2)</f>
        <v/>
      </c>
      <c r="HI56" s="8">
        <f>ROUND(0.0,2)</f>
        <v/>
      </c>
      <c r="HJ56" s="9">
        <f>IFERROR((HD56/HC56),0)</f>
        <v/>
      </c>
      <c r="HK56" s="9">
        <f>IFERROR(((0+HB56)/T2),0)</f>
        <v/>
      </c>
      <c r="HL56" s="7">
        <f>IFERROR(HB56/HD56,0)</f>
        <v/>
      </c>
      <c r="HM56" s="7">
        <f>IFERROR(ROUND(HB56/HE56,2),0)</f>
        <v/>
      </c>
      <c r="HN56" s="6" t="inlineStr">
        <is>
          <t>Total</t>
        </is>
      </c>
      <c r="HO56" s="7">
        <f>ROUND(4.67,2)</f>
        <v/>
      </c>
      <c r="HP56" s="8">
        <f>ROUND(11620.0,2)</f>
        <v/>
      </c>
      <c r="HQ56" s="8">
        <f>ROUND(384.0,2)</f>
        <v/>
      </c>
      <c r="HR56" s="8">
        <f>ROUND(0.0,2)</f>
        <v/>
      </c>
      <c r="HS56" s="8">
        <f>ROUND(0.0,2)</f>
        <v/>
      </c>
      <c r="HT56" s="8">
        <f>ROUND(0.0,2)</f>
        <v/>
      </c>
      <c r="HU56" s="8">
        <f>ROUND(0.0,2)</f>
        <v/>
      </c>
      <c r="HV56" s="8">
        <f>ROUND(0.0,2)</f>
        <v/>
      </c>
      <c r="HW56" s="9">
        <f>IFERROR((HQ56/HP56),0)</f>
        <v/>
      </c>
      <c r="HX56" s="9">
        <f>IFERROR(((0+HO56)/T2),0)</f>
        <v/>
      </c>
      <c r="HY56" s="7">
        <f>IFERROR(HO56/HQ56,0)</f>
        <v/>
      </c>
      <c r="HZ56" s="7">
        <f>IFERROR(ROUND(HO56/HR56,2),0)</f>
        <v/>
      </c>
      <c r="IA56" s="6" t="inlineStr">
        <is>
          <t>Total</t>
        </is>
      </c>
      <c r="IB56" s="7">
        <f>ROUND(14.8,2)</f>
        <v/>
      </c>
      <c r="IC56" s="8">
        <f>ROUND(22223.0,2)</f>
        <v/>
      </c>
      <c r="ID56" s="8">
        <f>ROUND(1055.0,2)</f>
        <v/>
      </c>
      <c r="IE56" s="8">
        <f>ROUND(0.0,2)</f>
        <v/>
      </c>
      <c r="IF56" s="8">
        <f>ROUND(0.0,2)</f>
        <v/>
      </c>
      <c r="IG56" s="8">
        <f>ROUND(0.0,2)</f>
        <v/>
      </c>
      <c r="IH56" s="8">
        <f>ROUND(0.0,2)</f>
        <v/>
      </c>
      <c r="II56" s="8">
        <f>ROUND(0.0,2)</f>
        <v/>
      </c>
      <c r="IJ56" s="9">
        <f>IFERROR((ID56/IC56),0)</f>
        <v/>
      </c>
      <c r="IK56" s="9">
        <f>IFERROR(((0+IB56)/T2),0)</f>
        <v/>
      </c>
      <c r="IL56" s="7">
        <f>IFERROR(IB56/ID56,0)</f>
        <v/>
      </c>
      <c r="IM56" s="7">
        <f>IFERROR(ROUND(IB56/IE56,2),0)</f>
        <v/>
      </c>
      <c r="IN56" s="6" t="inlineStr">
        <is>
          <t>Total</t>
        </is>
      </c>
      <c r="IO56" s="7">
        <f>ROUND(20.45,2)</f>
        <v/>
      </c>
      <c r="IP56" s="8">
        <f>ROUND(82611.0,2)</f>
        <v/>
      </c>
      <c r="IQ56" s="8">
        <f>ROUND(1838.0,2)</f>
        <v/>
      </c>
      <c r="IR56" s="8">
        <f>ROUND(0.0,2)</f>
        <v/>
      </c>
      <c r="IS56" s="8">
        <f>ROUND(0.0,2)</f>
        <v/>
      </c>
      <c r="IT56" s="8">
        <f>ROUND(0.0,2)</f>
        <v/>
      </c>
      <c r="IU56" s="8">
        <f>ROUND(0.0,2)</f>
        <v/>
      </c>
      <c r="IV56" s="8">
        <f>ROUND(0.0,2)</f>
        <v/>
      </c>
      <c r="IW56" s="9">
        <f>IFERROR((IQ56/IP56),0)</f>
        <v/>
      </c>
      <c r="IX56" s="9">
        <f>IFERROR(((0+IO56)/T2),0)</f>
        <v/>
      </c>
      <c r="IY56" s="7">
        <f>IFERROR(IO56/IQ56,0)</f>
        <v/>
      </c>
      <c r="IZ56" s="7">
        <f>IFERROR(ROUND(IO56/IR56,2),0)</f>
        <v/>
      </c>
      <c r="JA56" s="6" t="inlineStr">
        <is>
          <t>Total</t>
        </is>
      </c>
      <c r="JB56" s="7">
        <f>ROUND(11.910000000000002,2)</f>
        <v/>
      </c>
      <c r="JC56" s="8">
        <f>ROUND(28883.0,2)</f>
        <v/>
      </c>
      <c r="JD56" s="8">
        <f>ROUND(998.0,2)</f>
        <v/>
      </c>
      <c r="JE56" s="8">
        <f>ROUND(0.0,2)</f>
        <v/>
      </c>
      <c r="JF56" s="8">
        <f>ROUND(0.0,2)</f>
        <v/>
      </c>
      <c r="JG56" s="8">
        <f>ROUND(0.0,2)</f>
        <v/>
      </c>
      <c r="JH56" s="8">
        <f>ROUND(0.0,2)</f>
        <v/>
      </c>
      <c r="JI56" s="8">
        <f>ROUND(0.0,2)</f>
        <v/>
      </c>
      <c r="JJ56" s="9">
        <f>IFERROR((JD56/JC56),0)</f>
        <v/>
      </c>
      <c r="JK56" s="9">
        <f>IFERROR(((0+JB56)/T2),0)</f>
        <v/>
      </c>
      <c r="JL56" s="7">
        <f>IFERROR(JB56/JD56,0)</f>
        <v/>
      </c>
      <c r="JM56" s="7">
        <f>IFERROR(ROUND(JB56/JE56,2),0)</f>
        <v/>
      </c>
      <c r="JN56" s="6" t="inlineStr">
        <is>
          <t>Total</t>
        </is>
      </c>
      <c r="JO56" s="7">
        <f>ROUND(7.5,2)</f>
        <v/>
      </c>
      <c r="JP56" s="8">
        <f>ROUND(16182.0,2)</f>
        <v/>
      </c>
      <c r="JQ56" s="8">
        <f>ROUND(658.0,2)</f>
        <v/>
      </c>
      <c r="JR56" s="8">
        <f>ROUND(0.0,2)</f>
        <v/>
      </c>
      <c r="JS56" s="8">
        <f>ROUND(0.0,2)</f>
        <v/>
      </c>
      <c r="JT56" s="8">
        <f>ROUND(0.0,2)</f>
        <v/>
      </c>
      <c r="JU56" s="8">
        <f>ROUND(0.0,2)</f>
        <v/>
      </c>
      <c r="JV56" s="8">
        <f>ROUND(0.0,2)</f>
        <v/>
      </c>
      <c r="JW56" s="9">
        <f>IFERROR((JQ56/JP56),0)</f>
        <v/>
      </c>
      <c r="JX56" s="9">
        <f>IFERROR(((0+JO56)/T2),0)</f>
        <v/>
      </c>
      <c r="JY56" s="7">
        <f>IFERROR(JO56/JQ56,0)</f>
        <v/>
      </c>
      <c r="JZ56" s="7">
        <f>IFERROR(ROUND(JO56/JR56,2),0)</f>
        <v/>
      </c>
      <c r="KA56" s="6" t="inlineStr">
        <is>
          <t>Total</t>
        </is>
      </c>
      <c r="KB56" s="7">
        <f>ROUND(14.75,2)</f>
        <v/>
      </c>
      <c r="KC56" s="8">
        <f>ROUND(25047.0,2)</f>
        <v/>
      </c>
      <c r="KD56" s="8">
        <f>ROUND(1412.0,2)</f>
        <v/>
      </c>
      <c r="KE56" s="8">
        <f>ROUND(0.0,2)</f>
        <v/>
      </c>
      <c r="KF56" s="8">
        <f>ROUND(0.0,2)</f>
        <v/>
      </c>
      <c r="KG56" s="8">
        <f>ROUND(0.0,2)</f>
        <v/>
      </c>
      <c r="KH56" s="8">
        <f>ROUND(0.0,2)</f>
        <v/>
      </c>
      <c r="KI56" s="8">
        <f>ROUND(0.0,2)</f>
        <v/>
      </c>
      <c r="KJ56" s="9">
        <f>IFERROR((KD56/KC56),0)</f>
        <v/>
      </c>
      <c r="KK56" s="9">
        <f>IFERROR(((0+KB56)/T2),0)</f>
        <v/>
      </c>
      <c r="KL56" s="7">
        <f>IFERROR(KB56/KD56,0)</f>
        <v/>
      </c>
      <c r="KM56" s="7">
        <f>IFERROR(ROUND(KB56/KE56,2),0)</f>
        <v/>
      </c>
      <c r="KN56" s="6" t="inlineStr">
        <is>
          <t>Total</t>
        </is>
      </c>
      <c r="KO56" s="7">
        <f>ROUND(35.68,2)</f>
        <v/>
      </c>
      <c r="KP56" s="8">
        <f>ROUND(174676.0,2)</f>
        <v/>
      </c>
      <c r="KQ56" s="8">
        <f>ROUND(3332.0,2)</f>
        <v/>
      </c>
      <c r="KR56" s="8">
        <f>ROUND(0.0,2)</f>
        <v/>
      </c>
      <c r="KS56" s="8">
        <f>ROUND(0.0,2)</f>
        <v/>
      </c>
      <c r="KT56" s="8">
        <f>ROUND(0.0,2)</f>
        <v/>
      </c>
      <c r="KU56" s="8">
        <f>ROUND(0.0,2)</f>
        <v/>
      </c>
      <c r="KV56" s="8">
        <f>ROUND(0.0,2)</f>
        <v/>
      </c>
      <c r="KW56" s="9">
        <f>IFERROR((KQ56/KP56),0)</f>
        <v/>
      </c>
      <c r="KX56" s="9">
        <f>IFERROR(((0+KO56)/T2),0)</f>
        <v/>
      </c>
      <c r="KY56" s="7">
        <f>IFERROR(KO56/KQ56,0)</f>
        <v/>
      </c>
      <c r="KZ56" s="7">
        <f>IFERROR(ROUND(KO56/KR56,2),0)</f>
        <v/>
      </c>
      <c r="LA56" s="6" t="inlineStr">
        <is>
          <t>Total</t>
        </is>
      </c>
      <c r="LB56" s="7">
        <f>ROUND(32.089999999999996,2)</f>
        <v/>
      </c>
      <c r="LC56" s="8">
        <f>ROUND(128084.0,2)</f>
        <v/>
      </c>
      <c r="LD56" s="8">
        <f>ROUND(2894.0,2)</f>
        <v/>
      </c>
      <c r="LE56" s="8">
        <f>ROUND(0.0,2)</f>
        <v/>
      </c>
      <c r="LF56" s="8">
        <f>ROUND(0.0,2)</f>
        <v/>
      </c>
      <c r="LG56" s="8">
        <f>ROUND(0.0,2)</f>
        <v/>
      </c>
      <c r="LH56" s="8">
        <f>ROUND(0.0,2)</f>
        <v/>
      </c>
      <c r="LI56" s="8">
        <f>ROUND(0.0,2)</f>
        <v/>
      </c>
      <c r="LJ56" s="9">
        <f>IFERROR((LD56/LC56),0)</f>
        <v/>
      </c>
      <c r="LK56" s="9">
        <f>IFERROR(((0+LB56)/T2),0)</f>
        <v/>
      </c>
      <c r="LL56" s="7">
        <f>IFERROR(LB56/LD56,0)</f>
        <v/>
      </c>
      <c r="LM56" s="7">
        <f>IFERROR(ROUND(LB56/LE56,2),0)</f>
        <v/>
      </c>
      <c r="LN56" s="6" t="inlineStr">
        <is>
          <t>Total</t>
        </is>
      </c>
      <c r="LO56" s="7">
        <f>ROUND(13.309999999999999,2)</f>
        <v/>
      </c>
      <c r="LP56" s="8">
        <f>ROUND(44515.0,2)</f>
        <v/>
      </c>
      <c r="LQ56" s="8">
        <f>ROUND(1220.0,2)</f>
        <v/>
      </c>
      <c r="LR56" s="8">
        <f>ROUND(0.0,2)</f>
        <v/>
      </c>
      <c r="LS56" s="8">
        <f>ROUND(0.0,2)</f>
        <v/>
      </c>
      <c r="LT56" s="8">
        <f>ROUND(0.0,2)</f>
        <v/>
      </c>
      <c r="LU56" s="8">
        <f>ROUND(0.0,2)</f>
        <v/>
      </c>
      <c r="LV56" s="8">
        <f>ROUND(0.0,2)</f>
        <v/>
      </c>
      <c r="LW56" s="9">
        <f>IFERROR((LQ56/LP56),0)</f>
        <v/>
      </c>
      <c r="LX56" s="9">
        <f>IFERROR(((0+LO56)/T2),0)</f>
        <v/>
      </c>
      <c r="LY56" s="7">
        <f>IFERROR(LO56/LQ56,0)</f>
        <v/>
      </c>
      <c r="LZ56" s="7">
        <f>IFERROR(ROUND(LO56/LR56,2),0)</f>
        <v/>
      </c>
      <c r="MA56" s="6" t="inlineStr">
        <is>
          <t>Total</t>
        </is>
      </c>
      <c r="MB56" s="7">
        <f>ROUND(22.05,2)</f>
        <v/>
      </c>
      <c r="MC56" s="8">
        <f>ROUND(84786.0,2)</f>
        <v/>
      </c>
      <c r="MD56" s="8">
        <f>ROUND(2102.0,2)</f>
        <v/>
      </c>
      <c r="ME56" s="8">
        <f>ROUND(0.0,2)</f>
        <v/>
      </c>
      <c r="MF56" s="8">
        <f>ROUND(0.0,2)</f>
        <v/>
      </c>
      <c r="MG56" s="8">
        <f>ROUND(0.0,2)</f>
        <v/>
      </c>
      <c r="MH56" s="8">
        <f>ROUND(0.0,2)</f>
        <v/>
      </c>
      <c r="MI56" s="8">
        <f>ROUND(0.0,2)</f>
        <v/>
      </c>
      <c r="MJ56" s="9">
        <f>IFERROR((MD56/MC56),0)</f>
        <v/>
      </c>
      <c r="MK56" s="9">
        <f>IFERROR(((0+MB56)/T2),0)</f>
        <v/>
      </c>
      <c r="ML56" s="7">
        <f>IFERROR(MB56/MD56,0)</f>
        <v/>
      </c>
      <c r="MM56" s="7">
        <f>IFERROR(ROUND(MB56/ME56,2),0)</f>
        <v/>
      </c>
      <c r="MN56" s="6" t="inlineStr">
        <is>
          <t>Total</t>
        </is>
      </c>
      <c r="MO56" s="7">
        <f>ROUND(83.52,2)</f>
        <v/>
      </c>
      <c r="MP56" s="8">
        <f>ROUND(128819.0,2)</f>
        <v/>
      </c>
      <c r="MQ56" s="8">
        <f>ROUND(7577.0,2)</f>
        <v/>
      </c>
      <c r="MR56" s="8">
        <f>ROUND(0.0,2)</f>
        <v/>
      </c>
      <c r="MS56" s="8">
        <f>ROUND(0.0,2)</f>
        <v/>
      </c>
      <c r="MT56" s="8">
        <f>ROUND(0.0,2)</f>
        <v/>
      </c>
      <c r="MU56" s="8">
        <f>ROUND(0.0,2)</f>
        <v/>
      </c>
      <c r="MV56" s="8">
        <f>ROUND(0.0,2)</f>
        <v/>
      </c>
      <c r="MW56" s="9">
        <f>IFERROR((MQ56/MP56),0)</f>
        <v/>
      </c>
      <c r="MX56" s="9">
        <f>IFERROR(((0+MO56)/T2),0)</f>
        <v/>
      </c>
      <c r="MY56" s="7">
        <f>IFERROR(MO56/MQ56,0)</f>
        <v/>
      </c>
      <c r="MZ56" s="7">
        <f>IFERROR(ROUND(MO56/MR56,2),0)</f>
        <v/>
      </c>
      <c r="NA56" s="6" t="inlineStr">
        <is>
          <t>Total</t>
        </is>
      </c>
      <c r="NB56" s="7">
        <f>ROUND(29.069999999999997,2)</f>
        <v/>
      </c>
      <c r="NC56" s="8">
        <f>ROUND(121760.0,2)</f>
        <v/>
      </c>
      <c r="ND56" s="8">
        <f>ROUND(2691.0,2)</f>
        <v/>
      </c>
      <c r="NE56" s="8">
        <f>ROUND(0.0,2)</f>
        <v/>
      </c>
      <c r="NF56" s="8">
        <f>ROUND(0.0,2)</f>
        <v/>
      </c>
      <c r="NG56" s="8">
        <f>ROUND(0.0,2)</f>
        <v/>
      </c>
      <c r="NH56" s="8">
        <f>ROUND(0.0,2)</f>
        <v/>
      </c>
      <c r="NI56" s="8">
        <f>ROUND(0.0,2)</f>
        <v/>
      </c>
      <c r="NJ56" s="9">
        <f>IFERROR((ND56/NC56),0)</f>
        <v/>
      </c>
      <c r="NK56" s="9">
        <f>IFERROR(((0+NB56)/T2),0)</f>
        <v/>
      </c>
      <c r="NL56" s="7">
        <f>IFERROR(NB56/ND56,0)</f>
        <v/>
      </c>
      <c r="NM56" s="7">
        <f>IFERROR(ROUND(NB56/NE56,2),0)</f>
        <v/>
      </c>
      <c r="NN56" s="6" t="inlineStr">
        <is>
          <t>Total</t>
        </is>
      </c>
      <c r="NO56" s="7">
        <f>ROUND(3.78,2)</f>
        <v/>
      </c>
      <c r="NP56" s="8">
        <f>ROUND(9894.0,2)</f>
        <v/>
      </c>
      <c r="NQ56" s="8">
        <f>ROUND(303.0,2)</f>
        <v/>
      </c>
      <c r="NR56" s="8">
        <f>ROUND(0.0,2)</f>
        <v/>
      </c>
      <c r="NS56" s="8">
        <f>ROUND(0.0,2)</f>
        <v/>
      </c>
      <c r="NT56" s="8">
        <f>ROUND(0.0,2)</f>
        <v/>
      </c>
      <c r="NU56" s="8">
        <f>ROUND(0.0,2)</f>
        <v/>
      </c>
      <c r="NV56" s="8">
        <f>ROUND(0.0,2)</f>
        <v/>
      </c>
      <c r="NW56" s="9">
        <f>IFERROR((NQ56/NP56),0)</f>
        <v/>
      </c>
      <c r="NX56" s="9">
        <f>IFERROR(((0+NO56)/T2),0)</f>
        <v/>
      </c>
      <c r="NY56" s="7">
        <f>IFERROR(NO56/NQ56,0)</f>
        <v/>
      </c>
      <c r="NZ56" s="7">
        <f>IFERROR(ROUND(NO56/NR56,2),0)</f>
        <v/>
      </c>
      <c r="OA56" s="6" t="inlineStr">
        <is>
          <t>Total</t>
        </is>
      </c>
      <c r="OB56" s="7">
        <f>ROUND(7.15,2)</f>
        <v/>
      </c>
      <c r="OC56" s="8">
        <f>ROUND(17886.0,2)</f>
        <v/>
      </c>
      <c r="OD56" s="8">
        <f>ROUND(674.0,2)</f>
        <v/>
      </c>
      <c r="OE56" s="8">
        <f>ROUND(0.0,2)</f>
        <v/>
      </c>
      <c r="OF56" s="8">
        <f>ROUND(0.0,2)</f>
        <v/>
      </c>
      <c r="OG56" s="8">
        <f>ROUND(0.0,2)</f>
        <v/>
      </c>
      <c r="OH56" s="8">
        <f>ROUND(0.0,2)</f>
        <v/>
      </c>
      <c r="OI56" s="8">
        <f>ROUND(0.0,2)</f>
        <v/>
      </c>
      <c r="OJ56" s="9">
        <f>IFERROR((OD56/OC56),0)</f>
        <v/>
      </c>
      <c r="OK56" s="9">
        <f>IFERROR(((0+OB56)/T2),0)</f>
        <v/>
      </c>
      <c r="OL56" s="7">
        <f>IFERROR(OB56/OD56,0)</f>
        <v/>
      </c>
      <c r="OM56" s="7">
        <f>IFERROR(ROUND(OB56/OE56,2),0)</f>
        <v/>
      </c>
      <c r="ON56" s="6" t="inlineStr">
        <is>
          <t>Total</t>
        </is>
      </c>
      <c r="OO56" s="7">
        <f>ROUND(8.44,2)</f>
        <v/>
      </c>
      <c r="OP56" s="8">
        <f>ROUND(21100.0,2)</f>
        <v/>
      </c>
      <c r="OQ56" s="8">
        <f>ROUND(760.0,2)</f>
        <v/>
      </c>
      <c r="OR56" s="8">
        <f>ROUND(0.0,2)</f>
        <v/>
      </c>
      <c r="OS56" s="8">
        <f>ROUND(0.0,2)</f>
        <v/>
      </c>
      <c r="OT56" s="8">
        <f>ROUND(0.0,2)</f>
        <v/>
      </c>
      <c r="OU56" s="8">
        <f>ROUND(0.0,2)</f>
        <v/>
      </c>
      <c r="OV56" s="8">
        <f>ROUND(0.0,2)</f>
        <v/>
      </c>
      <c r="OW56" s="9">
        <f>IFERROR((OQ56/OP56),0)</f>
        <v/>
      </c>
      <c r="OX56" s="9">
        <f>IFERROR(((0+OO56)/T2),0)</f>
        <v/>
      </c>
      <c r="OY56" s="7">
        <f>IFERROR(OO56/OQ56,0)</f>
        <v/>
      </c>
      <c r="OZ56" s="7">
        <f>IFERROR(ROUND(OO56/OR56,2),0)</f>
        <v/>
      </c>
      <c r="PA56" s="6" t="inlineStr">
        <is>
          <t>Total</t>
        </is>
      </c>
      <c r="PB56" s="7">
        <f>ROUND(16.630000000000003,2)</f>
        <v/>
      </c>
      <c r="PC56" s="8">
        <f>ROUND(28539.0,2)</f>
        <v/>
      </c>
      <c r="PD56" s="8">
        <f>ROUND(1613.0,2)</f>
        <v/>
      </c>
      <c r="PE56" s="8">
        <f>ROUND(0.0,2)</f>
        <v/>
      </c>
      <c r="PF56" s="8">
        <f>ROUND(0.0,2)</f>
        <v/>
      </c>
      <c r="PG56" s="8">
        <f>ROUND(0.0,2)</f>
        <v/>
      </c>
      <c r="PH56" s="8">
        <f>ROUND(0.0,2)</f>
        <v/>
      </c>
      <c r="PI56" s="8">
        <f>ROUND(0.0,2)</f>
        <v/>
      </c>
      <c r="PJ56" s="9">
        <f>IFERROR((PD56/PC56),0)</f>
        <v/>
      </c>
      <c r="PK56" s="9">
        <f>IFERROR(((0+PB56)/T2),0)</f>
        <v/>
      </c>
      <c r="PL56" s="7">
        <f>IFERROR(PB56/PD56,0)</f>
        <v/>
      </c>
      <c r="PM56" s="7">
        <f>IFERROR(ROUND(PB56/PE56,2),0)</f>
        <v/>
      </c>
      <c r="PN56" s="6" t="inlineStr">
        <is>
          <t>Total</t>
        </is>
      </c>
      <c r="PO56" s="7">
        <f>ROUND(34.68,2)</f>
        <v/>
      </c>
      <c r="PP56" s="8">
        <f>ROUND(50316.0,2)</f>
        <v/>
      </c>
      <c r="PQ56" s="8">
        <f>ROUND(3424.0,2)</f>
        <v/>
      </c>
      <c r="PR56" s="8">
        <f>ROUND(0.0,2)</f>
        <v/>
      </c>
      <c r="PS56" s="8">
        <f>ROUND(0.0,2)</f>
        <v/>
      </c>
      <c r="PT56" s="8">
        <f>ROUND(0.0,2)</f>
        <v/>
      </c>
      <c r="PU56" s="8">
        <f>ROUND(0.0,2)</f>
        <v/>
      </c>
      <c r="PV56" s="8">
        <f>ROUND(0.0,2)</f>
        <v/>
      </c>
      <c r="PW56" s="9">
        <f>IFERROR((PQ56/PP56),0)</f>
        <v/>
      </c>
      <c r="PX56" s="9">
        <f>IFERROR(((0+PO56)/T2),0)</f>
        <v/>
      </c>
      <c r="PY56" s="7">
        <f>IFERROR(PO56/PQ56,0)</f>
        <v/>
      </c>
      <c r="PZ56" s="7">
        <f>IFERROR(ROUND(PO56/PR56,2),0)</f>
        <v/>
      </c>
      <c r="QA56" s="6" t="inlineStr">
        <is>
          <t>Total</t>
        </is>
      </c>
      <c r="QB56" s="7">
        <f>ROUND(10.4,2)</f>
        <v/>
      </c>
      <c r="QC56" s="8">
        <f>ROUND(21244.0,2)</f>
        <v/>
      </c>
      <c r="QD56" s="8">
        <f>ROUND(974.0,2)</f>
        <v/>
      </c>
      <c r="QE56" s="8">
        <f>ROUND(0.0,2)</f>
        <v/>
      </c>
      <c r="QF56" s="8">
        <f>ROUND(0.0,2)</f>
        <v/>
      </c>
      <c r="QG56" s="8">
        <f>ROUND(0.0,2)</f>
        <v/>
      </c>
      <c r="QH56" s="8">
        <f>ROUND(0.0,2)</f>
        <v/>
      </c>
      <c r="QI56" s="8">
        <f>ROUND(0.0,2)</f>
        <v/>
      </c>
      <c r="QJ56" s="9">
        <f>IFERROR((QD56/QC56),0)</f>
        <v/>
      </c>
      <c r="QK56" s="9">
        <f>IFERROR(((0+QB56)/T2),0)</f>
        <v/>
      </c>
      <c r="QL56" s="7">
        <f>IFERROR(QB56/QD56,0)</f>
        <v/>
      </c>
      <c r="QM56" s="7">
        <f>IFERROR(ROUND(QB56/QE56,2),0)</f>
        <v/>
      </c>
      <c r="QN56" s="6" t="inlineStr">
        <is>
          <t>Total</t>
        </is>
      </c>
      <c r="QO56" s="7">
        <f>ROUND(10.03,2)</f>
        <v/>
      </c>
      <c r="QP56" s="8">
        <f>ROUND(44756.0,2)</f>
        <v/>
      </c>
      <c r="QQ56" s="8">
        <f>ROUND(881.0,2)</f>
        <v/>
      </c>
      <c r="QR56" s="8">
        <f>ROUND(0.0,2)</f>
        <v/>
      </c>
      <c r="QS56" s="8">
        <f>ROUND(0.0,2)</f>
        <v/>
      </c>
      <c r="QT56" s="8">
        <f>ROUND(0.0,2)</f>
        <v/>
      </c>
      <c r="QU56" s="8">
        <f>ROUND(0.0,2)</f>
        <v/>
      </c>
      <c r="QV56" s="8">
        <f>ROUND(0.0,2)</f>
        <v/>
      </c>
      <c r="QW56" s="9">
        <f>IFERROR((QQ56/QP56),0)</f>
        <v/>
      </c>
      <c r="QX56" s="9">
        <f>IFERROR(((0+QO56)/T2),0)</f>
        <v/>
      </c>
      <c r="QY56" s="7">
        <f>IFERROR(QO56/QQ56,0)</f>
        <v/>
      </c>
      <c r="QZ56" s="7">
        <f>IFERROR(ROUND(QO56/QR56,2),0)</f>
        <v/>
      </c>
      <c r="RA56" s="6" t="inlineStr">
        <is>
          <t>Total</t>
        </is>
      </c>
      <c r="RB56" s="7">
        <f>ROUND(21.589999999999996,2)</f>
        <v/>
      </c>
      <c r="RC56" s="8">
        <f>ROUND(32116.0,2)</f>
        <v/>
      </c>
      <c r="RD56" s="8">
        <f>ROUND(1681.0,2)</f>
        <v/>
      </c>
      <c r="RE56" s="8">
        <f>ROUND(0.0,2)</f>
        <v/>
      </c>
      <c r="RF56" s="8">
        <f>ROUND(0.0,2)</f>
        <v/>
      </c>
      <c r="RG56" s="8">
        <f>ROUND(0.0,2)</f>
        <v/>
      </c>
      <c r="RH56" s="8">
        <f>ROUND(0.0,2)</f>
        <v/>
      </c>
      <c r="RI56" s="8">
        <f>ROUND(0.0,2)</f>
        <v/>
      </c>
      <c r="RJ56" s="9">
        <f>IFERROR((RD56/RC56),0)</f>
        <v/>
      </c>
      <c r="RK56" s="9">
        <f>IFERROR(((0+RB56)/T2),0)</f>
        <v/>
      </c>
      <c r="RL56" s="7">
        <f>IFERROR(RB56/RD56,0)</f>
        <v/>
      </c>
      <c r="RM56" s="7">
        <f>IFERROR(ROUND(RB56/RE56,2),0)</f>
        <v/>
      </c>
      <c r="RN56" s="6" t="inlineStr">
        <is>
          <t>Total</t>
        </is>
      </c>
      <c r="RO56" s="7">
        <f>ROUND(8.65,2)</f>
        <v/>
      </c>
      <c r="RP56" s="8">
        <f>ROUND(13085.0,2)</f>
        <v/>
      </c>
      <c r="RQ56" s="8">
        <f>ROUND(642.0,2)</f>
        <v/>
      </c>
      <c r="RR56" s="8">
        <f>ROUND(0.0,2)</f>
        <v/>
      </c>
      <c r="RS56" s="8">
        <f>ROUND(0.0,2)</f>
        <v/>
      </c>
      <c r="RT56" s="8">
        <f>ROUND(0.0,2)</f>
        <v/>
      </c>
      <c r="RU56" s="8">
        <f>ROUND(0.0,2)</f>
        <v/>
      </c>
      <c r="RV56" s="8">
        <f>ROUND(0.0,2)</f>
        <v/>
      </c>
      <c r="RW56" s="9">
        <f>IFERROR((RQ56/RP56),0)</f>
        <v/>
      </c>
      <c r="RX56" s="9">
        <f>IFERROR(((0+RO56)/T2),0)</f>
        <v/>
      </c>
      <c r="RY56" s="7">
        <f>IFERROR(RO56/RQ56,0)</f>
        <v/>
      </c>
      <c r="RZ56" s="7">
        <f>IFERROR(ROUND(RO56/RR56,2),0)</f>
        <v/>
      </c>
      <c r="SA56" s="6" t="inlineStr">
        <is>
          <t>Total</t>
        </is>
      </c>
      <c r="SB56" s="7">
        <f>ROUND(26.919999999999998,2)</f>
        <v/>
      </c>
      <c r="SC56" s="8">
        <f>ROUND(70244.0,2)</f>
        <v/>
      </c>
      <c r="SD56" s="8">
        <f>ROUND(2543.0,2)</f>
        <v/>
      </c>
      <c r="SE56" s="8">
        <f>ROUND(0.0,2)</f>
        <v/>
      </c>
      <c r="SF56" s="8">
        <f>ROUND(0.0,2)</f>
        <v/>
      </c>
      <c r="SG56" s="8">
        <f>ROUND(0.0,2)</f>
        <v/>
      </c>
      <c r="SH56" s="8">
        <f>ROUND(0.0,2)</f>
        <v/>
      </c>
      <c r="SI56" s="8">
        <f>ROUND(0.0,2)</f>
        <v/>
      </c>
      <c r="SJ56" s="9">
        <f>IFERROR((SD56/SC56),0)</f>
        <v/>
      </c>
      <c r="SK56" s="9">
        <f>IFERROR(((0+SB56)/T2),0)</f>
        <v/>
      </c>
      <c r="SL56" s="7">
        <f>IFERROR(SB56/SD56,0)</f>
        <v/>
      </c>
      <c r="SM56" s="7">
        <f>IFERROR(ROUND(SB56/SE56,2),0)</f>
        <v/>
      </c>
      <c r="SN56" s="6" t="inlineStr">
        <is>
          <t>Total</t>
        </is>
      </c>
      <c r="SO56" s="7">
        <f>ROUND(15.680000000000001,2)</f>
        <v/>
      </c>
      <c r="SP56" s="8">
        <f>ROUND(36461.0,2)</f>
        <v/>
      </c>
      <c r="SQ56" s="8">
        <f>ROUND(1422.0,2)</f>
        <v/>
      </c>
      <c r="SR56" s="8">
        <f>ROUND(0.0,2)</f>
        <v/>
      </c>
      <c r="SS56" s="8">
        <f>ROUND(0.0,2)</f>
        <v/>
      </c>
      <c r="ST56" s="8">
        <f>ROUND(0.0,2)</f>
        <v/>
      </c>
      <c r="SU56" s="8">
        <f>ROUND(0.0,2)</f>
        <v/>
      </c>
      <c r="SV56" s="8">
        <f>ROUND(0.0,2)</f>
        <v/>
      </c>
      <c r="SW56" s="9">
        <f>IFERROR((SQ56/SP56),0)</f>
        <v/>
      </c>
      <c r="SX56" s="9">
        <f>IFERROR(((0+SO56)/T2),0)</f>
        <v/>
      </c>
      <c r="SY56" s="7">
        <f>IFERROR(SO56/SQ56,0)</f>
        <v/>
      </c>
      <c r="SZ56" s="7">
        <f>IFERROR(ROUND(SO56/SR56,2),0)</f>
        <v/>
      </c>
    </row>
  </sheetData>
  <mergeCells count="39">
    <mergeCell ref="HN9:HZ9"/>
    <mergeCell ref="EN9:EZ9"/>
    <mergeCell ref="JN9:JZ9"/>
    <mergeCell ref="PN9:PZ9"/>
    <mergeCell ref="JA9:JM9"/>
    <mergeCell ref="GA9:GM9"/>
    <mergeCell ref="LA9:LM9"/>
    <mergeCell ref="N9:Z9"/>
    <mergeCell ref="RA9:RM9"/>
    <mergeCell ref="BN9:BZ9"/>
    <mergeCell ref="EA9:EM9"/>
    <mergeCell ref="OA9:OM9"/>
    <mergeCell ref="IN9:IZ9"/>
    <mergeCell ref="QN9:QZ9"/>
    <mergeCell ref="KN9:KZ9"/>
    <mergeCell ref="BA9:BM9"/>
    <mergeCell ref="MA9:MM9"/>
    <mergeCell ref="SA9:SM9"/>
    <mergeCell ref="AN9:AZ9"/>
    <mergeCell ref="CN9:CZ9"/>
    <mergeCell ref="SN9:SZ9"/>
    <mergeCell ref="FA9:FM9"/>
    <mergeCell ref="HA9:HM9"/>
    <mergeCell ref="LN9:LZ9"/>
    <mergeCell ref="PA9:PM9"/>
    <mergeCell ref="AA9:AM9"/>
    <mergeCell ref="RN9:RZ9"/>
    <mergeCell ref="CA9:CM9"/>
    <mergeCell ref="NA9:NM9"/>
    <mergeCell ref="DN9:DZ9"/>
    <mergeCell ref="GN9:GZ9"/>
    <mergeCell ref="ON9:OZ9"/>
    <mergeCell ref="FN9:FZ9"/>
    <mergeCell ref="IA9:IM9"/>
    <mergeCell ref="QA9:QM9"/>
    <mergeCell ref="KA9:KM9"/>
    <mergeCell ref="MN9:MZ9"/>
    <mergeCell ref="DA9:DM9"/>
    <mergeCell ref="NN9:NZ9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M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budget</t>
        </is>
      </c>
      <c r="C1" s="1" t="inlineStr">
        <is>
          <t>impressions</t>
        </is>
      </c>
      <c r="D1" s="1" t="inlineStr">
        <is>
          <t>clicks</t>
        </is>
      </c>
      <c r="E1" s="1" t="inlineStr">
        <is>
          <t>view</t>
        </is>
      </c>
      <c r="F1" s="1" t="inlineStr">
        <is>
          <t>percent_25</t>
        </is>
      </c>
      <c r="G1" s="1" t="inlineStr">
        <is>
          <t>percent_50</t>
        </is>
      </c>
      <c r="H1" s="1" t="inlineStr">
        <is>
          <t>percent_75</t>
        </is>
      </c>
      <c r="I1" s="1" t="inlineStr">
        <is>
          <t>percent_100</t>
        </is>
      </c>
      <c r="J1" s="1" t="inlineStr">
        <is>
          <t>CTR</t>
        </is>
      </c>
      <c r="K1" s="1" t="inlineStr">
        <is>
          <t>Spent Budget %</t>
        </is>
      </c>
      <c r="L1" s="1" t="inlineStr">
        <is>
          <t>CPC</t>
        </is>
      </c>
      <c r="M1" s="1" t="inlineStr">
        <is>
          <t>CPV</t>
        </is>
      </c>
      <c r="T1" s="2" t="inlineStr">
        <is>
          <t>Total Budget</t>
        </is>
      </c>
    </row>
    <row r="2">
      <c r="A2" s="2" t="inlineStr">
        <is>
          <t>1</t>
        </is>
      </c>
      <c r="B2" s="3">
        <f>ROUND(360.92,2)</f>
        <v/>
      </c>
      <c r="C2" s="3">
        <f>ROUND(61479.0,2)</f>
        <v/>
      </c>
      <c r="D2" s="3">
        <f>ROUND(1289.0,2)</f>
        <v/>
      </c>
      <c r="E2" s="3">
        <f>ROUND(4455.0,2)</f>
        <v/>
      </c>
      <c r="F2" s="3">
        <f>ROUND(3259.0,2)</f>
        <v/>
      </c>
      <c r="G2" s="3">
        <f>ROUND(1486.0,2)</f>
        <v/>
      </c>
      <c r="H2" s="3">
        <f>ROUND(1082.0,2)</f>
        <v/>
      </c>
      <c r="I2" s="3">
        <f>ROUND(820.0,2)</f>
        <v/>
      </c>
      <c r="J2" s="4">
        <f>IFERROR((D2/C2),0)</f>
        <v/>
      </c>
      <c r="K2" s="4">
        <f>IFERROR(((0+B2)/T2),0)</f>
        <v/>
      </c>
      <c r="L2" s="5">
        <f>IFERROR(ROUND(B2/D2,2),0)</f>
        <v/>
      </c>
      <c r="M2" s="5">
        <f>IFERROR(ROUND(B2/E2,2),0)</f>
        <v/>
      </c>
    </row>
    <row r="3">
      <c r="A3" s="2" t="inlineStr">
        <is>
          <t>2</t>
        </is>
      </c>
      <c r="B3" s="3">
        <f>ROUND(4012.4,2)</f>
        <v/>
      </c>
      <c r="C3" s="3">
        <f>ROUND(468901.0,2)</f>
        <v/>
      </c>
      <c r="D3" s="3">
        <f>ROUND(14330.0,2)</f>
        <v/>
      </c>
      <c r="E3" s="3">
        <f>ROUND(25063.0,2)</f>
        <v/>
      </c>
      <c r="F3" s="3">
        <f>ROUND(19075.0,2)</f>
        <v/>
      </c>
      <c r="G3" s="3">
        <f>ROUND(8460.0,2)</f>
        <v/>
      </c>
      <c r="H3" s="3">
        <f>ROUND(5867.0,2)</f>
        <v/>
      </c>
      <c r="I3" s="3">
        <f>ROUND(4167.0,2)</f>
        <v/>
      </c>
      <c r="J3" s="4">
        <f>IFERROR((D3/C3),0)</f>
        <v/>
      </c>
      <c r="K3" s="4">
        <f>IFERROR(((0+B2+B3)/T2),0)</f>
        <v/>
      </c>
      <c r="L3" s="5">
        <f>IFERROR(ROUND(B3/D3,2),0)</f>
        <v/>
      </c>
      <c r="M3" s="5">
        <f>IFERROR(ROUND(B3/E3,2),0)</f>
        <v/>
      </c>
    </row>
    <row r="4">
      <c r="A4" s="2" t="inlineStr">
        <is>
          <t>3</t>
        </is>
      </c>
      <c r="B4" s="3">
        <f>ROUND(141.96,2)</f>
        <v/>
      </c>
      <c r="C4" s="3">
        <f>ROUND(17398.0,2)</f>
        <v/>
      </c>
      <c r="D4" s="3">
        <f>ROUND(507.0,2)</f>
        <v/>
      </c>
      <c r="E4" s="3">
        <f>ROUND(1225.0,2)</f>
        <v/>
      </c>
      <c r="F4" s="3">
        <f>ROUND(1031.0,2)</f>
        <v/>
      </c>
      <c r="G4" s="3">
        <f>ROUND(473.0,2)</f>
        <v/>
      </c>
      <c r="H4" s="3">
        <f>ROUND(346.0,2)</f>
        <v/>
      </c>
      <c r="I4" s="3">
        <f>ROUND(260.0,2)</f>
        <v/>
      </c>
      <c r="J4" s="4">
        <f>IFERROR((D4/C4),0)</f>
        <v/>
      </c>
      <c r="K4" s="4">
        <f>IFERROR(((0+B2+B3+B4)/T2),0)</f>
        <v/>
      </c>
      <c r="L4" s="5">
        <f>IFERROR(ROUND(B4/D4,2),0)</f>
        <v/>
      </c>
      <c r="M4" s="5">
        <f>IFERROR(ROUND(B4/E4,2),0)</f>
        <v/>
      </c>
    </row>
    <row r="5">
      <c r="A5" s="2" t="inlineStr">
        <is>
          <t>4</t>
        </is>
      </c>
      <c r="B5" s="3">
        <f>ROUND(843.33,2)</f>
        <v/>
      </c>
      <c r="C5" s="3">
        <f>ROUND(169930.0,2)</f>
        <v/>
      </c>
      <c r="D5" s="3">
        <f>ROUND(4841.0,2)</f>
        <v/>
      </c>
      <c r="E5" s="3">
        <f>ROUND(11715.0,2)</f>
        <v/>
      </c>
      <c r="F5" s="3">
        <f>ROUND(9600.0,2)</f>
        <v/>
      </c>
      <c r="G5" s="3">
        <f>ROUND(3861.0,2)</f>
        <v/>
      </c>
      <c r="H5" s="3">
        <f>ROUND(2644.0,2)</f>
        <v/>
      </c>
      <c r="I5" s="3">
        <f>ROUND(1883.0,2)</f>
        <v/>
      </c>
      <c r="J5" s="4">
        <f>IFERROR((D5/C5),0)</f>
        <v/>
      </c>
      <c r="K5" s="4">
        <f>IFERROR(((0+B2+B3+B4+B5)/T2),0)</f>
        <v/>
      </c>
      <c r="L5" s="5">
        <f>IFERROR(ROUND(B5/D5,2),0)</f>
        <v/>
      </c>
      <c r="M5" s="5">
        <f>IFERROR(ROUND(B5/E5,2),0)</f>
        <v/>
      </c>
    </row>
    <row r="6">
      <c r="A6" s="2" t="inlineStr">
        <is>
          <t>5</t>
        </is>
      </c>
      <c r="B6" s="3">
        <f>ROUND(191.21,2)</f>
        <v/>
      </c>
      <c r="C6" s="3">
        <f>ROUND(22386.0,2)</f>
        <v/>
      </c>
      <c r="D6" s="3">
        <f>ROUND(772.0,2)</f>
        <v/>
      </c>
      <c r="E6" s="3">
        <f>ROUND(1771.0,2)</f>
        <v/>
      </c>
      <c r="F6" s="3">
        <f>ROUND(1524.0,2)</f>
        <v/>
      </c>
      <c r="G6" s="3">
        <f>ROUND(629.0,2)</f>
        <v/>
      </c>
      <c r="H6" s="3">
        <f>ROUND(442.0,2)</f>
        <v/>
      </c>
      <c r="I6" s="3">
        <f>ROUND(321.0,2)</f>
        <v/>
      </c>
      <c r="J6" s="4">
        <f>IFERROR((D6/C6),0)</f>
        <v/>
      </c>
      <c r="K6" s="4">
        <f>IFERROR(((0+B2+B3+B4+B5+B6)/T2),0)</f>
        <v/>
      </c>
      <c r="L6" s="5">
        <f>IFERROR(ROUND(B6/D6,2),0)</f>
        <v/>
      </c>
      <c r="M6" s="5">
        <f>IFERROR(ROUND(B6/E6,2),0)</f>
        <v/>
      </c>
    </row>
    <row r="7">
      <c r="A7" s="2" t="inlineStr">
        <is>
          <t>6</t>
        </is>
      </c>
      <c r="B7" s="3">
        <f>ROUND(0.0,2)</f>
        <v/>
      </c>
      <c r="C7" s="3">
        <f>ROUND(0.0,2)</f>
        <v/>
      </c>
      <c r="D7" s="3">
        <f>ROUND(0.0,2)</f>
        <v/>
      </c>
      <c r="E7" s="3">
        <f>ROUND(0.0,2)</f>
        <v/>
      </c>
      <c r="F7" s="3">
        <f>ROUND(0.0,2)</f>
        <v/>
      </c>
      <c r="G7" s="3">
        <f>ROUND(0.0,2)</f>
        <v/>
      </c>
      <c r="H7" s="3">
        <f>ROUND(0.0,2)</f>
        <v/>
      </c>
      <c r="I7" s="3">
        <f>ROUND(0.0,2)</f>
        <v/>
      </c>
      <c r="J7" s="4">
        <f>IFERROR((D7/C7),0)</f>
        <v/>
      </c>
      <c r="K7" s="4">
        <f>IFERROR(((0+B2+B3+B4+B5+B6+B7)/T2),0)</f>
        <v/>
      </c>
      <c r="L7" s="5">
        <f>IFERROR(ROUND(B7/D7,2),0)</f>
        <v/>
      </c>
      <c r="M7" s="5">
        <f>IFERROR(ROUND(B7/E7,2),0)</f>
        <v/>
      </c>
    </row>
    <row r="8">
      <c r="A8" s="6" t="inlineStr">
        <is>
          <t>Total</t>
        </is>
      </c>
      <c r="B8" s="7">
        <f>ROUND(5549.82,2)</f>
        <v/>
      </c>
      <c r="C8" s="8">
        <f>ROUND(740094.0,2)</f>
        <v/>
      </c>
      <c r="D8" s="8">
        <f>ROUND(21739.0,2)</f>
        <v/>
      </c>
      <c r="E8" s="8">
        <f>ROUND(44229.0,2)</f>
        <v/>
      </c>
      <c r="F8" s="8">
        <f>ROUND(34489.0,2)</f>
        <v/>
      </c>
      <c r="G8" s="8">
        <f>ROUND(14909.0,2)</f>
        <v/>
      </c>
      <c r="H8" s="8">
        <f>ROUND(10381.0,2)</f>
        <v/>
      </c>
      <c r="I8" s="8">
        <f>ROUND(7451.0,2)</f>
        <v/>
      </c>
      <c r="J8" s="9">
        <f>IFERROR((D8/C8),0)</f>
        <v/>
      </c>
      <c r="K8" s="9">
        <f>IFERROR(((0+B8)/T2),0)</f>
        <v/>
      </c>
      <c r="L8" s="7">
        <f>IFERROR(B8/D8,0)</f>
        <v/>
      </c>
      <c r="M8" s="7">
        <f>IFERROR(ROUND(B8/E8,2),0)</f>
        <v/>
      </c>
      <c r="N8" s="1" t="inlineStr">
        <is>
          <t>Video</t>
        </is>
      </c>
      <c r="AA8" s="1" t="inlineStr">
        <is>
          <t>Video</t>
        </is>
      </c>
      <c r="AN8" s="1" t="inlineStr">
        <is>
          <t>Video</t>
        </is>
      </c>
      <c r="BA8" s="1" t="inlineStr">
        <is>
          <t>Video</t>
        </is>
      </c>
      <c r="BN8" s="1" t="inlineStr">
        <is>
          <t>Video</t>
        </is>
      </c>
      <c r="CA8" s="1" t="inlineStr">
        <is>
          <t>Video</t>
        </is>
      </c>
      <c r="CN8" s="1" t="inlineStr">
        <is>
          <t>Video</t>
        </is>
      </c>
      <c r="DA8" s="1" t="inlineStr">
        <is>
          <t>Video</t>
        </is>
      </c>
      <c r="DN8" s="1" t="inlineStr">
        <is>
          <t>Video</t>
        </is>
      </c>
      <c r="EA8" s="1" t="inlineStr">
        <is>
          <t>Video</t>
        </is>
      </c>
      <c r="EN8" s="1" t="inlineStr">
        <is>
          <t>Video</t>
        </is>
      </c>
      <c r="FA8" s="1" t="inlineStr">
        <is>
          <t>Video</t>
        </is>
      </c>
      <c r="FN8" s="1" t="inlineStr">
        <is>
          <t>Video</t>
        </is>
      </c>
      <c r="GA8" s="1" t="inlineStr">
        <is>
          <t>Video</t>
        </is>
      </c>
      <c r="GN8" s="1" t="inlineStr">
        <is>
          <t>Video</t>
        </is>
      </c>
      <c r="HA8" s="1" t="inlineStr">
        <is>
          <t>Video</t>
        </is>
      </c>
      <c r="HN8" s="1" t="inlineStr">
        <is>
          <t>Video</t>
        </is>
      </c>
      <c r="IA8" s="1" t="inlineStr">
        <is>
          <t>Video</t>
        </is>
      </c>
      <c r="IN8" s="1" t="inlineStr">
        <is>
          <t>Video</t>
        </is>
      </c>
      <c r="JA8" s="1" t="inlineStr">
        <is>
          <t>Video</t>
        </is>
      </c>
    </row>
    <row r="9">
      <c r="N9" s="1" t="inlineStr">
        <is>
          <t xml:space="preserve">WT (AR) </t>
        </is>
      </c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1" t="n"/>
      <c r="AA9" s="1" t="inlineStr">
        <is>
          <t xml:space="preserve">DW (AR) </t>
        </is>
      </c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1" t="n"/>
      <c r="AN9" s="1" t="inlineStr">
        <is>
          <t xml:space="preserve">Ref_ThinQ (AR) </t>
        </is>
      </c>
      <c r="AO9" s="10" t="n"/>
      <c r="AP9" s="10" t="n"/>
      <c r="AQ9" s="10" t="n"/>
      <c r="AR9" s="10" t="n"/>
      <c r="AS9" s="10" t="n"/>
      <c r="AT9" s="10" t="n"/>
      <c r="AU9" s="10" t="n"/>
      <c r="AV9" s="10" t="n"/>
      <c r="AW9" s="10" t="n"/>
      <c r="AX9" s="10" t="n"/>
      <c r="AY9" s="10" t="n"/>
      <c r="AZ9" s="11" t="n"/>
      <c r="BA9" s="1" t="inlineStr">
        <is>
          <t xml:space="preserve">AC_Car (AR) </t>
        </is>
      </c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 t="n"/>
      <c r="BK9" s="10" t="n"/>
      <c r="BL9" s="10" t="n"/>
      <c r="BM9" s="11" t="n"/>
      <c r="BN9" s="1" t="inlineStr">
        <is>
          <t xml:space="preserve">WM (AR) </t>
        </is>
      </c>
      <c r="BO9" s="10" t="n"/>
      <c r="BP9" s="10" t="n"/>
      <c r="BQ9" s="10" t="n"/>
      <c r="BR9" s="10" t="n"/>
      <c r="BS9" s="10" t="n"/>
      <c r="BT9" s="10" t="n"/>
      <c r="BU9" s="10" t="n"/>
      <c r="BV9" s="10" t="n"/>
      <c r="BW9" s="10" t="n"/>
      <c r="BX9" s="10" t="n"/>
      <c r="BY9" s="10" t="n"/>
      <c r="BZ9" s="11" t="n"/>
      <c r="CA9" s="1" t="inlineStr">
        <is>
          <t xml:space="preserve">RAC_ThinQ (AR) </t>
        </is>
      </c>
      <c r="CB9" s="10" t="n"/>
      <c r="CC9" s="10" t="n"/>
      <c r="CD9" s="10" t="n"/>
      <c r="CE9" s="10" t="n"/>
      <c r="CF9" s="10" t="n"/>
      <c r="CG9" s="10" t="n"/>
      <c r="CH9" s="10" t="n"/>
      <c r="CI9" s="10" t="n"/>
      <c r="CJ9" s="10" t="n"/>
      <c r="CK9" s="10" t="n"/>
      <c r="CL9" s="10" t="n"/>
      <c r="CM9" s="11" t="n"/>
      <c r="CN9" s="1" t="inlineStr">
        <is>
          <t xml:space="preserve">Air_Purif (AR) </t>
        </is>
      </c>
      <c r="CO9" s="10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 t="n"/>
      <c r="CY9" s="10" t="n"/>
      <c r="CZ9" s="11" t="n"/>
      <c r="DA9" s="1" t="inlineStr">
        <is>
          <t xml:space="preserve">Knock (AR) </t>
        </is>
      </c>
      <c r="DB9" s="10" t="n"/>
      <c r="DC9" s="10" t="n"/>
      <c r="DD9" s="10" t="n"/>
      <c r="DE9" s="10" t="n"/>
      <c r="DF9" s="10" t="n"/>
      <c r="DG9" s="10" t="n"/>
      <c r="DH9" s="10" t="n"/>
      <c r="DI9" s="10" t="n"/>
      <c r="DJ9" s="10" t="n"/>
      <c r="DK9" s="10" t="n"/>
      <c r="DL9" s="10" t="n"/>
      <c r="DM9" s="11" t="n"/>
      <c r="DN9" s="1" t="inlineStr">
        <is>
          <t xml:space="preserve">Oled_VO (AR) </t>
        </is>
      </c>
      <c r="DO9" s="10" t="n"/>
      <c r="DP9" s="10" t="n"/>
      <c r="DQ9" s="10" t="n"/>
      <c r="DR9" s="10" t="n"/>
      <c r="DS9" s="10" t="n"/>
      <c r="DT9" s="10" t="n"/>
      <c r="DU9" s="10" t="n"/>
      <c r="DV9" s="10" t="n"/>
      <c r="DW9" s="10" t="n"/>
      <c r="DX9" s="10" t="n"/>
      <c r="DY9" s="10" t="n"/>
      <c r="DZ9" s="11" t="n"/>
      <c r="EA9" s="1" t="inlineStr">
        <is>
          <t xml:space="preserve">Vacuum (AR) </t>
        </is>
      </c>
      <c r="EB9" s="10" t="n"/>
      <c r="EC9" s="10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 t="n"/>
      <c r="EM9" s="11" t="n"/>
      <c r="EN9" s="1" t="inlineStr">
        <is>
          <t xml:space="preserve">WM (KU) </t>
        </is>
      </c>
      <c r="EO9" s="10" t="n"/>
      <c r="EP9" s="10" t="n"/>
      <c r="EQ9" s="10" t="n"/>
      <c r="ER9" s="10" t="n"/>
      <c r="ES9" s="10" t="n"/>
      <c r="ET9" s="10" t="n"/>
      <c r="EU9" s="10" t="n"/>
      <c r="EV9" s="10" t="n"/>
      <c r="EW9" s="10" t="n"/>
      <c r="EX9" s="10" t="n"/>
      <c r="EY9" s="10" t="n"/>
      <c r="EZ9" s="11" t="n"/>
      <c r="FA9" s="1" t="inlineStr">
        <is>
          <t xml:space="preserve">Air_Purif (KU) </t>
        </is>
      </c>
      <c r="FB9" s="10" t="n"/>
      <c r="FC9" s="10" t="n"/>
      <c r="FD9" s="10" t="n"/>
      <c r="FE9" s="10" t="n"/>
      <c r="FF9" s="10" t="n"/>
      <c r="FG9" s="10" t="n"/>
      <c r="FH9" s="10" t="n"/>
      <c r="FI9" s="10" t="n"/>
      <c r="FJ9" s="10" t="n"/>
      <c r="FK9" s="10" t="n"/>
      <c r="FL9" s="10" t="n"/>
      <c r="FM9" s="11" t="n"/>
      <c r="FN9" s="1" t="inlineStr">
        <is>
          <t xml:space="preserve">DW (KU) </t>
        </is>
      </c>
      <c r="FO9" s="10" t="n"/>
      <c r="FP9" s="10" t="n"/>
      <c r="FQ9" s="10" t="n"/>
      <c r="FR9" s="10" t="n"/>
      <c r="FS9" s="10" t="n"/>
      <c r="FT9" s="10" t="n"/>
      <c r="FU9" s="10" t="n"/>
      <c r="FV9" s="10" t="n"/>
      <c r="FW9" s="10" t="n"/>
      <c r="FX9" s="10" t="n"/>
      <c r="FY9" s="10" t="n"/>
      <c r="FZ9" s="11" t="n"/>
      <c r="GA9" s="1" t="inlineStr">
        <is>
          <t xml:space="preserve">Oled_VO (KU) </t>
        </is>
      </c>
      <c r="GB9" s="10" t="n"/>
      <c r="GC9" s="10" t="n"/>
      <c r="GD9" s="10" t="n"/>
      <c r="GE9" s="10" t="n"/>
      <c r="GF9" s="10" t="n"/>
      <c r="GG9" s="10" t="n"/>
      <c r="GH9" s="10" t="n"/>
      <c r="GI9" s="10" t="n"/>
      <c r="GJ9" s="10" t="n"/>
      <c r="GK9" s="10" t="n"/>
      <c r="GL9" s="10" t="n"/>
      <c r="GM9" s="11" t="n"/>
      <c r="GN9" s="1" t="inlineStr">
        <is>
          <t xml:space="preserve">Vacuum (KU) </t>
        </is>
      </c>
      <c r="GO9" s="10" t="n"/>
      <c r="GP9" s="10" t="n"/>
      <c r="GQ9" s="10" t="n"/>
      <c r="GR9" s="10" t="n"/>
      <c r="GS9" s="10" t="n"/>
      <c r="GT9" s="10" t="n"/>
      <c r="GU9" s="10" t="n"/>
      <c r="GV9" s="10" t="n"/>
      <c r="GW9" s="10" t="n"/>
      <c r="GX9" s="10" t="n"/>
      <c r="GY9" s="10" t="n"/>
      <c r="GZ9" s="11" t="n"/>
      <c r="HA9" s="1" t="inlineStr">
        <is>
          <t xml:space="preserve">WT (KU) </t>
        </is>
      </c>
      <c r="HB9" s="10" t="n"/>
      <c r="HC9" s="10" t="n"/>
      <c r="HD9" s="10" t="n"/>
      <c r="HE9" s="10" t="n"/>
      <c r="HF9" s="10" t="n"/>
      <c r="HG9" s="10" t="n"/>
      <c r="HH9" s="10" t="n"/>
      <c r="HI9" s="10" t="n"/>
      <c r="HJ9" s="10" t="n"/>
      <c r="HK9" s="10" t="n"/>
      <c r="HL9" s="10" t="n"/>
      <c r="HM9" s="11" t="n"/>
      <c r="HN9" s="1" t="inlineStr">
        <is>
          <t xml:space="preserve">Ref_ThinQ (KU) </t>
        </is>
      </c>
      <c r="HO9" s="10" t="n"/>
      <c r="HP9" s="10" t="n"/>
      <c r="HQ9" s="10" t="n"/>
      <c r="HR9" s="10" t="n"/>
      <c r="HS9" s="10" t="n"/>
      <c r="HT9" s="10" t="n"/>
      <c r="HU9" s="10" t="n"/>
      <c r="HV9" s="10" t="n"/>
      <c r="HW9" s="10" t="n"/>
      <c r="HX9" s="10" t="n"/>
      <c r="HY9" s="10" t="n"/>
      <c r="HZ9" s="11" t="n"/>
      <c r="IA9" s="1" t="inlineStr">
        <is>
          <t xml:space="preserve">Knock (KU) </t>
        </is>
      </c>
      <c r="IB9" s="10" t="n"/>
      <c r="IC9" s="10" t="n"/>
      <c r="ID9" s="10" t="n"/>
      <c r="IE9" s="10" t="n"/>
      <c r="IF9" s="10" t="n"/>
      <c r="IG9" s="10" t="n"/>
      <c r="IH9" s="10" t="n"/>
      <c r="II9" s="10" t="n"/>
      <c r="IJ9" s="10" t="n"/>
      <c r="IK9" s="10" t="n"/>
      <c r="IL9" s="10" t="n"/>
      <c r="IM9" s="11" t="n"/>
      <c r="IN9" s="1" t="inlineStr">
        <is>
          <t xml:space="preserve">RAC_ThinQ (KU) </t>
        </is>
      </c>
      <c r="IO9" s="10" t="n"/>
      <c r="IP9" s="10" t="n"/>
      <c r="IQ9" s="10" t="n"/>
      <c r="IR9" s="10" t="n"/>
      <c r="IS9" s="10" t="n"/>
      <c r="IT9" s="10" t="n"/>
      <c r="IU9" s="10" t="n"/>
      <c r="IV9" s="10" t="n"/>
      <c r="IW9" s="10" t="n"/>
      <c r="IX9" s="10" t="n"/>
      <c r="IY9" s="10" t="n"/>
      <c r="IZ9" s="11" t="n"/>
      <c r="JA9" s="1" t="inlineStr">
        <is>
          <t xml:space="preserve">AC_Car (KU) </t>
        </is>
      </c>
    </row>
    <row r="10">
      <c r="A10" s="1" t="inlineStr">
        <is>
          <t>date</t>
        </is>
      </c>
      <c r="B10" s="1" t="inlineStr">
        <is>
          <t>budget</t>
        </is>
      </c>
      <c r="C10" s="1" t="inlineStr">
        <is>
          <t>impressions</t>
        </is>
      </c>
      <c r="D10" s="1" t="inlineStr">
        <is>
          <t>clicks</t>
        </is>
      </c>
      <c r="E10" s="1" t="inlineStr">
        <is>
          <t>view</t>
        </is>
      </c>
      <c r="F10" s="1" t="inlineStr">
        <is>
          <t>percent_25</t>
        </is>
      </c>
      <c r="G10" s="1" t="inlineStr">
        <is>
          <t>percent_50</t>
        </is>
      </c>
      <c r="H10" s="1" t="inlineStr">
        <is>
          <t>percent_75</t>
        </is>
      </c>
      <c r="I10" s="1" t="inlineStr">
        <is>
          <t>percent_100</t>
        </is>
      </c>
      <c r="J10" s="1" t="inlineStr">
        <is>
          <t>CTR</t>
        </is>
      </c>
      <c r="K10" s="1" t="inlineStr">
        <is>
          <t>Spent Budget %</t>
        </is>
      </c>
      <c r="L10" s="1" t="inlineStr">
        <is>
          <t>CPC</t>
        </is>
      </c>
      <c r="M10" s="1" t="inlineStr">
        <is>
          <t>CPV</t>
        </is>
      </c>
      <c r="N10" s="1" t="inlineStr">
        <is>
          <t>date</t>
        </is>
      </c>
      <c r="O10" s="1" t="inlineStr">
        <is>
          <t>budget</t>
        </is>
      </c>
      <c r="P10" s="1" t="inlineStr">
        <is>
          <t>impressions</t>
        </is>
      </c>
      <c r="Q10" s="1" t="inlineStr">
        <is>
          <t>clicks</t>
        </is>
      </c>
      <c r="R10" s="1" t="inlineStr">
        <is>
          <t>view</t>
        </is>
      </c>
      <c r="S10" s="1" t="inlineStr">
        <is>
          <t>percent_25</t>
        </is>
      </c>
      <c r="T10" s="1" t="inlineStr">
        <is>
          <t>percent_50</t>
        </is>
      </c>
      <c r="U10" s="1" t="inlineStr">
        <is>
          <t>percent_75</t>
        </is>
      </c>
      <c r="V10" s="1" t="inlineStr">
        <is>
          <t>percent_100</t>
        </is>
      </c>
      <c r="W10" s="1" t="inlineStr">
        <is>
          <t>CTR</t>
        </is>
      </c>
      <c r="X10" s="1" t="inlineStr">
        <is>
          <t>Spent Budget %</t>
        </is>
      </c>
      <c r="Y10" s="1" t="inlineStr">
        <is>
          <t>CPC</t>
        </is>
      </c>
      <c r="Z10" s="1" t="inlineStr">
        <is>
          <t>CPV</t>
        </is>
      </c>
      <c r="AA10" s="1" t="inlineStr">
        <is>
          <t>date</t>
        </is>
      </c>
      <c r="AB10" s="1" t="inlineStr">
        <is>
          <t>budget</t>
        </is>
      </c>
      <c r="AC10" s="1" t="inlineStr">
        <is>
          <t>impressions</t>
        </is>
      </c>
      <c r="AD10" s="1" t="inlineStr">
        <is>
          <t>clicks</t>
        </is>
      </c>
      <c r="AE10" s="1" t="inlineStr">
        <is>
          <t>view</t>
        </is>
      </c>
      <c r="AF10" s="1" t="inlineStr">
        <is>
          <t>percent_25</t>
        </is>
      </c>
      <c r="AG10" s="1" t="inlineStr">
        <is>
          <t>percent_50</t>
        </is>
      </c>
      <c r="AH10" s="1" t="inlineStr">
        <is>
          <t>percent_75</t>
        </is>
      </c>
      <c r="AI10" s="1" t="inlineStr">
        <is>
          <t>percent_100</t>
        </is>
      </c>
      <c r="AJ10" s="1" t="inlineStr">
        <is>
          <t>CTR</t>
        </is>
      </c>
      <c r="AK10" s="1" t="inlineStr">
        <is>
          <t>Spent Budget %</t>
        </is>
      </c>
      <c r="AL10" s="1" t="inlineStr">
        <is>
          <t>CPC</t>
        </is>
      </c>
      <c r="AM10" s="1" t="inlineStr">
        <is>
          <t>CPV</t>
        </is>
      </c>
      <c r="AN10" s="1" t="inlineStr">
        <is>
          <t>date</t>
        </is>
      </c>
      <c r="AO10" s="1" t="inlineStr">
        <is>
          <t>budget</t>
        </is>
      </c>
      <c r="AP10" s="1" t="inlineStr">
        <is>
          <t>impressions</t>
        </is>
      </c>
      <c r="AQ10" s="1" t="inlineStr">
        <is>
          <t>clicks</t>
        </is>
      </c>
      <c r="AR10" s="1" t="inlineStr">
        <is>
          <t>view</t>
        </is>
      </c>
      <c r="AS10" s="1" t="inlineStr">
        <is>
          <t>percent_25</t>
        </is>
      </c>
      <c r="AT10" s="1" t="inlineStr">
        <is>
          <t>percent_50</t>
        </is>
      </c>
      <c r="AU10" s="1" t="inlineStr">
        <is>
          <t>percent_75</t>
        </is>
      </c>
      <c r="AV10" s="1" t="inlineStr">
        <is>
          <t>percent_100</t>
        </is>
      </c>
      <c r="AW10" s="1" t="inlineStr">
        <is>
          <t>CTR</t>
        </is>
      </c>
      <c r="AX10" s="1" t="inlineStr">
        <is>
          <t>Spent Budget %</t>
        </is>
      </c>
      <c r="AY10" s="1" t="inlineStr">
        <is>
          <t>CPC</t>
        </is>
      </c>
      <c r="AZ10" s="1" t="inlineStr">
        <is>
          <t>CPV</t>
        </is>
      </c>
      <c r="BA10" s="1" t="inlineStr">
        <is>
          <t>date</t>
        </is>
      </c>
      <c r="BB10" s="1" t="inlineStr">
        <is>
          <t>budget</t>
        </is>
      </c>
      <c r="BC10" s="1" t="inlineStr">
        <is>
          <t>impressions</t>
        </is>
      </c>
      <c r="BD10" s="1" t="inlineStr">
        <is>
          <t>clicks</t>
        </is>
      </c>
      <c r="BE10" s="1" t="inlineStr">
        <is>
          <t>view</t>
        </is>
      </c>
      <c r="BF10" s="1" t="inlineStr">
        <is>
          <t>percent_25</t>
        </is>
      </c>
      <c r="BG10" s="1" t="inlineStr">
        <is>
          <t>percent_50</t>
        </is>
      </c>
      <c r="BH10" s="1" t="inlineStr">
        <is>
          <t>percent_75</t>
        </is>
      </c>
      <c r="BI10" s="1" t="inlineStr">
        <is>
          <t>percent_100</t>
        </is>
      </c>
      <c r="BJ10" s="1" t="inlineStr">
        <is>
          <t>CTR</t>
        </is>
      </c>
      <c r="BK10" s="1" t="inlineStr">
        <is>
          <t>Spent Budget %</t>
        </is>
      </c>
      <c r="BL10" s="1" t="inlineStr">
        <is>
          <t>CPC</t>
        </is>
      </c>
      <c r="BM10" s="1" t="inlineStr">
        <is>
          <t>CPV</t>
        </is>
      </c>
      <c r="BN10" s="1" t="inlineStr">
        <is>
          <t>date</t>
        </is>
      </c>
      <c r="BO10" s="1" t="inlineStr">
        <is>
          <t>budget</t>
        </is>
      </c>
      <c r="BP10" s="1" t="inlineStr">
        <is>
          <t>impressions</t>
        </is>
      </c>
      <c r="BQ10" s="1" t="inlineStr">
        <is>
          <t>clicks</t>
        </is>
      </c>
      <c r="BR10" s="1" t="inlineStr">
        <is>
          <t>view</t>
        </is>
      </c>
      <c r="BS10" s="1" t="inlineStr">
        <is>
          <t>percent_25</t>
        </is>
      </c>
      <c r="BT10" s="1" t="inlineStr">
        <is>
          <t>percent_50</t>
        </is>
      </c>
      <c r="BU10" s="1" t="inlineStr">
        <is>
          <t>percent_75</t>
        </is>
      </c>
      <c r="BV10" s="1" t="inlineStr">
        <is>
          <t>percent_100</t>
        </is>
      </c>
      <c r="BW10" s="1" t="inlineStr">
        <is>
          <t>CTR</t>
        </is>
      </c>
      <c r="BX10" s="1" t="inlineStr">
        <is>
          <t>Spent Budget %</t>
        </is>
      </c>
      <c r="BY10" s="1" t="inlineStr">
        <is>
          <t>CPC</t>
        </is>
      </c>
      <c r="BZ10" s="1" t="inlineStr">
        <is>
          <t>CPV</t>
        </is>
      </c>
      <c r="CA10" s="1" t="inlineStr">
        <is>
          <t>date</t>
        </is>
      </c>
      <c r="CB10" s="1" t="inlineStr">
        <is>
          <t>budget</t>
        </is>
      </c>
      <c r="CC10" s="1" t="inlineStr">
        <is>
          <t>impressions</t>
        </is>
      </c>
      <c r="CD10" s="1" t="inlineStr">
        <is>
          <t>clicks</t>
        </is>
      </c>
      <c r="CE10" s="1" t="inlineStr">
        <is>
          <t>view</t>
        </is>
      </c>
      <c r="CF10" s="1" t="inlineStr">
        <is>
          <t>percent_25</t>
        </is>
      </c>
      <c r="CG10" s="1" t="inlineStr">
        <is>
          <t>percent_50</t>
        </is>
      </c>
      <c r="CH10" s="1" t="inlineStr">
        <is>
          <t>percent_75</t>
        </is>
      </c>
      <c r="CI10" s="1" t="inlineStr">
        <is>
          <t>percent_100</t>
        </is>
      </c>
      <c r="CJ10" s="1" t="inlineStr">
        <is>
          <t>CTR</t>
        </is>
      </c>
      <c r="CK10" s="1" t="inlineStr">
        <is>
          <t>Spent Budget %</t>
        </is>
      </c>
      <c r="CL10" s="1" t="inlineStr">
        <is>
          <t>CPC</t>
        </is>
      </c>
      <c r="CM10" s="1" t="inlineStr">
        <is>
          <t>CPV</t>
        </is>
      </c>
      <c r="CN10" s="1" t="inlineStr">
        <is>
          <t>date</t>
        </is>
      </c>
      <c r="CO10" s="1" t="inlineStr">
        <is>
          <t>budget</t>
        </is>
      </c>
      <c r="CP10" s="1" t="inlineStr">
        <is>
          <t>impressions</t>
        </is>
      </c>
      <c r="CQ10" s="1" t="inlineStr">
        <is>
          <t>clicks</t>
        </is>
      </c>
      <c r="CR10" s="1" t="inlineStr">
        <is>
          <t>view</t>
        </is>
      </c>
      <c r="CS10" s="1" t="inlineStr">
        <is>
          <t>percent_25</t>
        </is>
      </c>
      <c r="CT10" s="1" t="inlineStr">
        <is>
          <t>percent_50</t>
        </is>
      </c>
      <c r="CU10" s="1" t="inlineStr">
        <is>
          <t>percent_75</t>
        </is>
      </c>
      <c r="CV10" s="1" t="inlineStr">
        <is>
          <t>percent_100</t>
        </is>
      </c>
      <c r="CW10" s="1" t="inlineStr">
        <is>
          <t>CTR</t>
        </is>
      </c>
      <c r="CX10" s="1" t="inlineStr">
        <is>
          <t>Spent Budget %</t>
        </is>
      </c>
      <c r="CY10" s="1" t="inlineStr">
        <is>
          <t>CPC</t>
        </is>
      </c>
      <c r="CZ10" s="1" t="inlineStr">
        <is>
          <t>CPV</t>
        </is>
      </c>
      <c r="DA10" s="1" t="inlineStr">
        <is>
          <t>date</t>
        </is>
      </c>
      <c r="DB10" s="1" t="inlineStr">
        <is>
          <t>budget</t>
        </is>
      </c>
      <c r="DC10" s="1" t="inlineStr">
        <is>
          <t>impressions</t>
        </is>
      </c>
      <c r="DD10" s="1" t="inlineStr">
        <is>
          <t>clicks</t>
        </is>
      </c>
      <c r="DE10" s="1" t="inlineStr">
        <is>
          <t>view</t>
        </is>
      </c>
      <c r="DF10" s="1" t="inlineStr">
        <is>
          <t>percent_25</t>
        </is>
      </c>
      <c r="DG10" s="1" t="inlineStr">
        <is>
          <t>percent_50</t>
        </is>
      </c>
      <c r="DH10" s="1" t="inlineStr">
        <is>
          <t>percent_75</t>
        </is>
      </c>
      <c r="DI10" s="1" t="inlineStr">
        <is>
          <t>percent_100</t>
        </is>
      </c>
      <c r="DJ10" s="1" t="inlineStr">
        <is>
          <t>CTR</t>
        </is>
      </c>
      <c r="DK10" s="1" t="inlineStr">
        <is>
          <t>Spent Budget %</t>
        </is>
      </c>
      <c r="DL10" s="1" t="inlineStr">
        <is>
          <t>CPC</t>
        </is>
      </c>
      <c r="DM10" s="1" t="inlineStr">
        <is>
          <t>CPV</t>
        </is>
      </c>
      <c r="DN10" s="1" t="inlineStr">
        <is>
          <t>date</t>
        </is>
      </c>
      <c r="DO10" s="1" t="inlineStr">
        <is>
          <t>budget</t>
        </is>
      </c>
      <c r="DP10" s="1" t="inlineStr">
        <is>
          <t>impressions</t>
        </is>
      </c>
      <c r="DQ10" s="1" t="inlineStr">
        <is>
          <t>clicks</t>
        </is>
      </c>
      <c r="DR10" s="1" t="inlineStr">
        <is>
          <t>view</t>
        </is>
      </c>
      <c r="DS10" s="1" t="inlineStr">
        <is>
          <t>percent_25</t>
        </is>
      </c>
      <c r="DT10" s="1" t="inlineStr">
        <is>
          <t>percent_50</t>
        </is>
      </c>
      <c r="DU10" s="1" t="inlineStr">
        <is>
          <t>percent_75</t>
        </is>
      </c>
      <c r="DV10" s="1" t="inlineStr">
        <is>
          <t>percent_100</t>
        </is>
      </c>
      <c r="DW10" s="1" t="inlineStr">
        <is>
          <t>CTR</t>
        </is>
      </c>
      <c r="DX10" s="1" t="inlineStr">
        <is>
          <t>Spent Budget %</t>
        </is>
      </c>
      <c r="DY10" s="1" t="inlineStr">
        <is>
          <t>CPC</t>
        </is>
      </c>
      <c r="DZ10" s="1" t="inlineStr">
        <is>
          <t>CPV</t>
        </is>
      </c>
      <c r="EA10" s="1" t="inlineStr">
        <is>
          <t>date</t>
        </is>
      </c>
      <c r="EB10" s="1" t="inlineStr">
        <is>
          <t>budget</t>
        </is>
      </c>
      <c r="EC10" s="1" t="inlineStr">
        <is>
          <t>impressions</t>
        </is>
      </c>
      <c r="ED10" s="1" t="inlineStr">
        <is>
          <t>clicks</t>
        </is>
      </c>
      <c r="EE10" s="1" t="inlineStr">
        <is>
          <t>view</t>
        </is>
      </c>
      <c r="EF10" s="1" t="inlineStr">
        <is>
          <t>percent_25</t>
        </is>
      </c>
      <c r="EG10" s="1" t="inlineStr">
        <is>
          <t>percent_50</t>
        </is>
      </c>
      <c r="EH10" s="1" t="inlineStr">
        <is>
          <t>percent_75</t>
        </is>
      </c>
      <c r="EI10" s="1" t="inlineStr">
        <is>
          <t>percent_100</t>
        </is>
      </c>
      <c r="EJ10" s="1" t="inlineStr">
        <is>
          <t>CTR</t>
        </is>
      </c>
      <c r="EK10" s="1" t="inlineStr">
        <is>
          <t>Spent Budget %</t>
        </is>
      </c>
      <c r="EL10" s="1" t="inlineStr">
        <is>
          <t>CPC</t>
        </is>
      </c>
      <c r="EM10" s="1" t="inlineStr">
        <is>
          <t>CPV</t>
        </is>
      </c>
      <c r="EN10" s="1" t="inlineStr">
        <is>
          <t>date</t>
        </is>
      </c>
      <c r="EO10" s="1" t="inlineStr">
        <is>
          <t>budget</t>
        </is>
      </c>
      <c r="EP10" s="1" t="inlineStr">
        <is>
          <t>impressions</t>
        </is>
      </c>
      <c r="EQ10" s="1" t="inlineStr">
        <is>
          <t>clicks</t>
        </is>
      </c>
      <c r="ER10" s="1" t="inlineStr">
        <is>
          <t>view</t>
        </is>
      </c>
      <c r="ES10" s="1" t="inlineStr">
        <is>
          <t>percent_25</t>
        </is>
      </c>
      <c r="ET10" s="1" t="inlineStr">
        <is>
          <t>percent_50</t>
        </is>
      </c>
      <c r="EU10" s="1" t="inlineStr">
        <is>
          <t>percent_75</t>
        </is>
      </c>
      <c r="EV10" s="1" t="inlineStr">
        <is>
          <t>percent_100</t>
        </is>
      </c>
      <c r="EW10" s="1" t="inlineStr">
        <is>
          <t>CTR</t>
        </is>
      </c>
      <c r="EX10" s="1" t="inlineStr">
        <is>
          <t>Spent Budget %</t>
        </is>
      </c>
      <c r="EY10" s="1" t="inlineStr">
        <is>
          <t>CPC</t>
        </is>
      </c>
      <c r="EZ10" s="1" t="inlineStr">
        <is>
          <t>CPV</t>
        </is>
      </c>
      <c r="FA10" s="1" t="inlineStr">
        <is>
          <t>date</t>
        </is>
      </c>
      <c r="FB10" s="1" t="inlineStr">
        <is>
          <t>budget</t>
        </is>
      </c>
      <c r="FC10" s="1" t="inlineStr">
        <is>
          <t>impressions</t>
        </is>
      </c>
      <c r="FD10" s="1" t="inlineStr">
        <is>
          <t>clicks</t>
        </is>
      </c>
      <c r="FE10" s="1" t="inlineStr">
        <is>
          <t>view</t>
        </is>
      </c>
      <c r="FF10" s="1" t="inlineStr">
        <is>
          <t>percent_25</t>
        </is>
      </c>
      <c r="FG10" s="1" t="inlineStr">
        <is>
          <t>percent_50</t>
        </is>
      </c>
      <c r="FH10" s="1" t="inlineStr">
        <is>
          <t>percent_75</t>
        </is>
      </c>
      <c r="FI10" s="1" t="inlineStr">
        <is>
          <t>percent_100</t>
        </is>
      </c>
      <c r="FJ10" s="1" t="inlineStr">
        <is>
          <t>CTR</t>
        </is>
      </c>
      <c r="FK10" s="1" t="inlineStr">
        <is>
          <t>Spent Budget %</t>
        </is>
      </c>
      <c r="FL10" s="1" t="inlineStr">
        <is>
          <t>CPC</t>
        </is>
      </c>
      <c r="FM10" s="1" t="inlineStr">
        <is>
          <t>CPV</t>
        </is>
      </c>
      <c r="FN10" s="1" t="inlineStr">
        <is>
          <t>date</t>
        </is>
      </c>
      <c r="FO10" s="1" t="inlineStr">
        <is>
          <t>budget</t>
        </is>
      </c>
      <c r="FP10" s="1" t="inlineStr">
        <is>
          <t>impressions</t>
        </is>
      </c>
      <c r="FQ10" s="1" t="inlineStr">
        <is>
          <t>clicks</t>
        </is>
      </c>
      <c r="FR10" s="1" t="inlineStr">
        <is>
          <t>view</t>
        </is>
      </c>
      <c r="FS10" s="1" t="inlineStr">
        <is>
          <t>percent_25</t>
        </is>
      </c>
      <c r="FT10" s="1" t="inlineStr">
        <is>
          <t>percent_50</t>
        </is>
      </c>
      <c r="FU10" s="1" t="inlineStr">
        <is>
          <t>percent_75</t>
        </is>
      </c>
      <c r="FV10" s="1" t="inlineStr">
        <is>
          <t>percent_100</t>
        </is>
      </c>
      <c r="FW10" s="1" t="inlineStr">
        <is>
          <t>CTR</t>
        </is>
      </c>
      <c r="FX10" s="1" t="inlineStr">
        <is>
          <t>Spent Budget %</t>
        </is>
      </c>
      <c r="FY10" s="1" t="inlineStr">
        <is>
          <t>CPC</t>
        </is>
      </c>
      <c r="FZ10" s="1" t="inlineStr">
        <is>
          <t>CPV</t>
        </is>
      </c>
      <c r="GA10" s="1" t="inlineStr">
        <is>
          <t>date</t>
        </is>
      </c>
      <c r="GB10" s="1" t="inlineStr">
        <is>
          <t>budget</t>
        </is>
      </c>
      <c r="GC10" s="1" t="inlineStr">
        <is>
          <t>impressions</t>
        </is>
      </c>
      <c r="GD10" s="1" t="inlineStr">
        <is>
          <t>clicks</t>
        </is>
      </c>
      <c r="GE10" s="1" t="inlineStr">
        <is>
          <t>view</t>
        </is>
      </c>
      <c r="GF10" s="1" t="inlineStr">
        <is>
          <t>percent_25</t>
        </is>
      </c>
      <c r="GG10" s="1" t="inlineStr">
        <is>
          <t>percent_50</t>
        </is>
      </c>
      <c r="GH10" s="1" t="inlineStr">
        <is>
          <t>percent_75</t>
        </is>
      </c>
      <c r="GI10" s="1" t="inlineStr">
        <is>
          <t>percent_100</t>
        </is>
      </c>
      <c r="GJ10" s="1" t="inlineStr">
        <is>
          <t>CTR</t>
        </is>
      </c>
      <c r="GK10" s="1" t="inlineStr">
        <is>
          <t>Spent Budget %</t>
        </is>
      </c>
      <c r="GL10" s="1" t="inlineStr">
        <is>
          <t>CPC</t>
        </is>
      </c>
      <c r="GM10" s="1" t="inlineStr">
        <is>
          <t>CPV</t>
        </is>
      </c>
      <c r="GN10" s="1" t="inlineStr">
        <is>
          <t>date</t>
        </is>
      </c>
      <c r="GO10" s="1" t="inlineStr">
        <is>
          <t>budget</t>
        </is>
      </c>
      <c r="GP10" s="1" t="inlineStr">
        <is>
          <t>impressions</t>
        </is>
      </c>
      <c r="GQ10" s="1" t="inlineStr">
        <is>
          <t>clicks</t>
        </is>
      </c>
      <c r="GR10" s="1" t="inlineStr">
        <is>
          <t>view</t>
        </is>
      </c>
      <c r="GS10" s="1" t="inlineStr">
        <is>
          <t>percent_25</t>
        </is>
      </c>
      <c r="GT10" s="1" t="inlineStr">
        <is>
          <t>percent_50</t>
        </is>
      </c>
      <c r="GU10" s="1" t="inlineStr">
        <is>
          <t>percent_75</t>
        </is>
      </c>
      <c r="GV10" s="1" t="inlineStr">
        <is>
          <t>percent_100</t>
        </is>
      </c>
      <c r="GW10" s="1" t="inlineStr">
        <is>
          <t>CTR</t>
        </is>
      </c>
      <c r="GX10" s="1" t="inlineStr">
        <is>
          <t>Spent Budget %</t>
        </is>
      </c>
      <c r="GY10" s="1" t="inlineStr">
        <is>
          <t>CPC</t>
        </is>
      </c>
      <c r="GZ10" s="1" t="inlineStr">
        <is>
          <t>CPV</t>
        </is>
      </c>
      <c r="HA10" s="1" t="inlineStr">
        <is>
          <t>date</t>
        </is>
      </c>
      <c r="HB10" s="1" t="inlineStr">
        <is>
          <t>budget</t>
        </is>
      </c>
      <c r="HC10" s="1" t="inlineStr">
        <is>
          <t>impressions</t>
        </is>
      </c>
      <c r="HD10" s="1" t="inlineStr">
        <is>
          <t>clicks</t>
        </is>
      </c>
      <c r="HE10" s="1" t="inlineStr">
        <is>
          <t>view</t>
        </is>
      </c>
      <c r="HF10" s="1" t="inlineStr">
        <is>
          <t>percent_25</t>
        </is>
      </c>
      <c r="HG10" s="1" t="inlineStr">
        <is>
          <t>percent_50</t>
        </is>
      </c>
      <c r="HH10" s="1" t="inlineStr">
        <is>
          <t>percent_75</t>
        </is>
      </c>
      <c r="HI10" s="1" t="inlineStr">
        <is>
          <t>percent_100</t>
        </is>
      </c>
      <c r="HJ10" s="1" t="inlineStr">
        <is>
          <t>CTR</t>
        </is>
      </c>
      <c r="HK10" s="1" t="inlineStr">
        <is>
          <t>Spent Budget %</t>
        </is>
      </c>
      <c r="HL10" s="1" t="inlineStr">
        <is>
          <t>CPC</t>
        </is>
      </c>
      <c r="HM10" s="1" t="inlineStr">
        <is>
          <t>CPV</t>
        </is>
      </c>
      <c r="HN10" s="1" t="inlineStr">
        <is>
          <t>date</t>
        </is>
      </c>
      <c r="HO10" s="1" t="inlineStr">
        <is>
          <t>budget</t>
        </is>
      </c>
      <c r="HP10" s="1" t="inlineStr">
        <is>
          <t>impressions</t>
        </is>
      </c>
      <c r="HQ10" s="1" t="inlineStr">
        <is>
          <t>clicks</t>
        </is>
      </c>
      <c r="HR10" s="1" t="inlineStr">
        <is>
          <t>view</t>
        </is>
      </c>
      <c r="HS10" s="1" t="inlineStr">
        <is>
          <t>percent_25</t>
        </is>
      </c>
      <c r="HT10" s="1" t="inlineStr">
        <is>
          <t>percent_50</t>
        </is>
      </c>
      <c r="HU10" s="1" t="inlineStr">
        <is>
          <t>percent_75</t>
        </is>
      </c>
      <c r="HV10" s="1" t="inlineStr">
        <is>
          <t>percent_100</t>
        </is>
      </c>
      <c r="HW10" s="1" t="inlineStr">
        <is>
          <t>CTR</t>
        </is>
      </c>
      <c r="HX10" s="1" t="inlineStr">
        <is>
          <t>Spent Budget %</t>
        </is>
      </c>
      <c r="HY10" s="1" t="inlineStr">
        <is>
          <t>CPC</t>
        </is>
      </c>
      <c r="HZ10" s="1" t="inlineStr">
        <is>
          <t>CPV</t>
        </is>
      </c>
      <c r="IA10" s="1" t="inlineStr">
        <is>
          <t>date</t>
        </is>
      </c>
      <c r="IB10" s="1" t="inlineStr">
        <is>
          <t>budget</t>
        </is>
      </c>
      <c r="IC10" s="1" t="inlineStr">
        <is>
          <t>impressions</t>
        </is>
      </c>
      <c r="ID10" s="1" t="inlineStr">
        <is>
          <t>clicks</t>
        </is>
      </c>
      <c r="IE10" s="1" t="inlineStr">
        <is>
          <t>view</t>
        </is>
      </c>
      <c r="IF10" s="1" t="inlineStr">
        <is>
          <t>percent_25</t>
        </is>
      </c>
      <c r="IG10" s="1" t="inlineStr">
        <is>
          <t>percent_50</t>
        </is>
      </c>
      <c r="IH10" s="1" t="inlineStr">
        <is>
          <t>percent_75</t>
        </is>
      </c>
      <c r="II10" s="1" t="inlineStr">
        <is>
          <t>percent_100</t>
        </is>
      </c>
      <c r="IJ10" s="1" t="inlineStr">
        <is>
          <t>CTR</t>
        </is>
      </c>
      <c r="IK10" s="1" t="inlineStr">
        <is>
          <t>Spent Budget %</t>
        </is>
      </c>
      <c r="IL10" s="1" t="inlineStr">
        <is>
          <t>CPC</t>
        </is>
      </c>
      <c r="IM10" s="1" t="inlineStr">
        <is>
          <t>CPV</t>
        </is>
      </c>
      <c r="IN10" s="1" t="inlineStr">
        <is>
          <t>date</t>
        </is>
      </c>
      <c r="IO10" s="1" t="inlineStr">
        <is>
          <t>budget</t>
        </is>
      </c>
      <c r="IP10" s="1" t="inlineStr">
        <is>
          <t>impressions</t>
        </is>
      </c>
      <c r="IQ10" s="1" t="inlineStr">
        <is>
          <t>clicks</t>
        </is>
      </c>
      <c r="IR10" s="1" t="inlineStr">
        <is>
          <t>view</t>
        </is>
      </c>
      <c r="IS10" s="1" t="inlineStr">
        <is>
          <t>percent_25</t>
        </is>
      </c>
      <c r="IT10" s="1" t="inlineStr">
        <is>
          <t>percent_50</t>
        </is>
      </c>
      <c r="IU10" s="1" t="inlineStr">
        <is>
          <t>percent_75</t>
        </is>
      </c>
      <c r="IV10" s="1" t="inlineStr">
        <is>
          <t>percent_100</t>
        </is>
      </c>
      <c r="IW10" s="1" t="inlineStr">
        <is>
          <t>CTR</t>
        </is>
      </c>
      <c r="IX10" s="1" t="inlineStr">
        <is>
          <t>Spent Budget %</t>
        </is>
      </c>
      <c r="IY10" s="1" t="inlineStr">
        <is>
          <t>CPC</t>
        </is>
      </c>
      <c r="IZ10" s="1" t="inlineStr">
        <is>
          <t>CPV</t>
        </is>
      </c>
      <c r="JA10" s="1" t="inlineStr">
        <is>
          <t>date</t>
        </is>
      </c>
      <c r="JB10" s="1" t="inlineStr">
        <is>
          <t>budget</t>
        </is>
      </c>
      <c r="JC10" s="1" t="inlineStr">
        <is>
          <t>impressions</t>
        </is>
      </c>
      <c r="JD10" s="1" t="inlineStr">
        <is>
          <t>clicks</t>
        </is>
      </c>
      <c r="JE10" s="1" t="inlineStr">
        <is>
          <t>view</t>
        </is>
      </c>
      <c r="JF10" s="1" t="inlineStr">
        <is>
          <t>percent_25</t>
        </is>
      </c>
      <c r="JG10" s="1" t="inlineStr">
        <is>
          <t>percent_50</t>
        </is>
      </c>
      <c r="JH10" s="1" t="inlineStr">
        <is>
          <t>percent_75</t>
        </is>
      </c>
      <c r="JI10" s="1" t="inlineStr">
        <is>
          <t>percent_100</t>
        </is>
      </c>
      <c r="JJ10" s="1" t="inlineStr">
        <is>
          <t>CTR</t>
        </is>
      </c>
      <c r="JK10" s="1" t="inlineStr">
        <is>
          <t>Spent Budget %</t>
        </is>
      </c>
      <c r="JL10" s="1" t="inlineStr">
        <is>
          <t>CPC</t>
        </is>
      </c>
      <c r="JM10" s="1" t="inlineStr">
        <is>
          <t>CPV</t>
        </is>
      </c>
    </row>
    <row r="11">
      <c r="A11" s="2" t="inlineStr">
        <is>
          <t>2023-09-20</t>
        </is>
      </c>
      <c r="B11" s="5">
        <f>ROUND(0.0,2)</f>
        <v/>
      </c>
      <c r="C11" s="3">
        <f>ROUND(0.0,2)</f>
        <v/>
      </c>
      <c r="D11" s="3">
        <f>ROUND(0.0,2)</f>
        <v/>
      </c>
      <c r="E11" s="3">
        <f>ROUND(0.0,2)</f>
        <v/>
      </c>
      <c r="F11" s="3">
        <f>ROUND(0.0,2)</f>
        <v/>
      </c>
      <c r="G11" s="3">
        <f>ROUND(0.0,2)</f>
        <v/>
      </c>
      <c r="H11" s="3">
        <f>ROUND(0.0,2)</f>
        <v/>
      </c>
      <c r="I11" s="3">
        <f>ROUND(0.0,2)</f>
        <v/>
      </c>
      <c r="J11" s="4">
        <f>IFERROR((D11/C11),0)</f>
        <v/>
      </c>
      <c r="K11" s="4">
        <f>IFERROR(((0+B11)/T2),0)</f>
        <v/>
      </c>
      <c r="L11" s="5">
        <f>IFERROR(ROUND(B11/D11,2),0)</f>
        <v/>
      </c>
      <c r="M11" s="5">
        <f>IFERROR(ROUND(B11/E11,2),0)</f>
        <v/>
      </c>
      <c r="N11" s="2" t="inlineStr">
        <is>
          <t>2023-09-20</t>
        </is>
      </c>
      <c r="O11" s="5">
        <f>ROUND(0.0,2)</f>
        <v/>
      </c>
      <c r="P11" s="3">
        <f>ROUND(0.0,2)</f>
        <v/>
      </c>
      <c r="Q11" s="3">
        <f>ROUND(0.0,2)</f>
        <v/>
      </c>
      <c r="R11" s="3">
        <f>ROUND(0.0,2)</f>
        <v/>
      </c>
      <c r="S11" s="3">
        <f>ROUND(0.0,2)</f>
        <v/>
      </c>
      <c r="T11" s="3">
        <f>ROUND(0.0,2)</f>
        <v/>
      </c>
      <c r="U11" s="3">
        <f>ROUND(0.0,2)</f>
        <v/>
      </c>
      <c r="V11" s="3">
        <f>ROUND(0.0,2)</f>
        <v/>
      </c>
      <c r="W11" s="4">
        <f>IFERROR((Q11/P11),0)</f>
        <v/>
      </c>
      <c r="X11" s="4">
        <f>IFERROR(((0+O11)/T2),0)</f>
        <v/>
      </c>
      <c r="Y11" s="5">
        <f>IFERROR(ROUND(O11/Q11,2),0)</f>
        <v/>
      </c>
      <c r="Z11" s="5">
        <f>IFERROR(ROUND(O11/R11,2),0)</f>
        <v/>
      </c>
      <c r="AA11" s="2" t="inlineStr">
        <is>
          <t>2023-09-20</t>
        </is>
      </c>
      <c r="AB11" s="5">
        <f>ROUND(0.0,2)</f>
        <v/>
      </c>
      <c r="AC11" s="3">
        <f>ROUND(0.0,2)</f>
        <v/>
      </c>
      <c r="AD11" s="3">
        <f>ROUND(0.0,2)</f>
        <v/>
      </c>
      <c r="AE11" s="3">
        <f>ROUND(0.0,2)</f>
        <v/>
      </c>
      <c r="AF11" s="3">
        <f>ROUND(0.0,2)</f>
        <v/>
      </c>
      <c r="AG11" s="3">
        <f>ROUND(0.0,2)</f>
        <v/>
      </c>
      <c r="AH11" s="3">
        <f>ROUND(0.0,2)</f>
        <v/>
      </c>
      <c r="AI11" s="3">
        <f>ROUND(0.0,2)</f>
        <v/>
      </c>
      <c r="AJ11" s="4">
        <f>IFERROR((AD11/AC11),0)</f>
        <v/>
      </c>
      <c r="AK11" s="4">
        <f>IFERROR(((0+AB11)/T2),0)</f>
        <v/>
      </c>
      <c r="AL11" s="5">
        <f>IFERROR(ROUND(AB11/AD11,2),0)</f>
        <v/>
      </c>
      <c r="AM11" s="5">
        <f>IFERROR(ROUND(AB11/AE11,2),0)</f>
        <v/>
      </c>
      <c r="AN11" s="2" t="inlineStr">
        <is>
          <t>2023-09-20</t>
        </is>
      </c>
      <c r="AO11" s="5">
        <f>ROUND(0.0,2)</f>
        <v/>
      </c>
      <c r="AP11" s="3">
        <f>ROUND(0.0,2)</f>
        <v/>
      </c>
      <c r="AQ11" s="3">
        <f>ROUND(0.0,2)</f>
        <v/>
      </c>
      <c r="AR11" s="3">
        <f>ROUND(0.0,2)</f>
        <v/>
      </c>
      <c r="AS11" s="3">
        <f>ROUND(0.0,2)</f>
        <v/>
      </c>
      <c r="AT11" s="3">
        <f>ROUND(0.0,2)</f>
        <v/>
      </c>
      <c r="AU11" s="3">
        <f>ROUND(0.0,2)</f>
        <v/>
      </c>
      <c r="AV11" s="3">
        <f>ROUND(0.0,2)</f>
        <v/>
      </c>
      <c r="AW11" s="4">
        <f>IFERROR((AQ11/AP11),0)</f>
        <v/>
      </c>
      <c r="AX11" s="4">
        <f>IFERROR(((0+AO11)/T2),0)</f>
        <v/>
      </c>
      <c r="AY11" s="5">
        <f>IFERROR(ROUND(AO11/AQ11,2),0)</f>
        <v/>
      </c>
      <c r="AZ11" s="5">
        <f>IFERROR(ROUND(AO11/AR11,2),0)</f>
        <v/>
      </c>
      <c r="BA11" s="2" t="inlineStr">
        <is>
          <t>2023-09-20</t>
        </is>
      </c>
      <c r="BB11" s="5">
        <f>ROUND(0.0,2)</f>
        <v/>
      </c>
      <c r="BC11" s="3">
        <f>ROUND(0.0,2)</f>
        <v/>
      </c>
      <c r="BD11" s="3">
        <f>ROUND(0.0,2)</f>
        <v/>
      </c>
      <c r="BE11" s="3">
        <f>ROUND(0.0,2)</f>
        <v/>
      </c>
      <c r="BF11" s="3">
        <f>ROUND(0.0,2)</f>
        <v/>
      </c>
      <c r="BG11" s="3">
        <f>ROUND(0.0,2)</f>
        <v/>
      </c>
      <c r="BH11" s="3">
        <f>ROUND(0.0,2)</f>
        <v/>
      </c>
      <c r="BI11" s="3">
        <f>ROUND(0.0,2)</f>
        <v/>
      </c>
      <c r="BJ11" s="4">
        <f>IFERROR((BD11/BC11),0)</f>
        <v/>
      </c>
      <c r="BK11" s="4">
        <f>IFERROR(((0+BB11)/T2),0)</f>
        <v/>
      </c>
      <c r="BL11" s="5">
        <f>IFERROR(ROUND(BB11/BD11,2),0)</f>
        <v/>
      </c>
      <c r="BM11" s="5">
        <f>IFERROR(ROUND(BB11/BE11,2),0)</f>
        <v/>
      </c>
      <c r="BN11" s="2" t="inlineStr">
        <is>
          <t>2023-09-20</t>
        </is>
      </c>
      <c r="BO11" s="5">
        <f>ROUND(0.0,2)</f>
        <v/>
      </c>
      <c r="BP11" s="3">
        <f>ROUND(0.0,2)</f>
        <v/>
      </c>
      <c r="BQ11" s="3">
        <f>ROUND(0.0,2)</f>
        <v/>
      </c>
      <c r="BR11" s="3">
        <f>ROUND(0.0,2)</f>
        <v/>
      </c>
      <c r="BS11" s="3">
        <f>ROUND(0.0,2)</f>
        <v/>
      </c>
      <c r="BT11" s="3">
        <f>ROUND(0.0,2)</f>
        <v/>
      </c>
      <c r="BU11" s="3">
        <f>ROUND(0.0,2)</f>
        <v/>
      </c>
      <c r="BV11" s="3">
        <f>ROUND(0.0,2)</f>
        <v/>
      </c>
      <c r="BW11" s="4">
        <f>IFERROR((BQ11/BP11),0)</f>
        <v/>
      </c>
      <c r="BX11" s="4">
        <f>IFERROR(((0+BO11)/T2),0)</f>
        <v/>
      </c>
      <c r="BY11" s="5">
        <f>IFERROR(ROUND(BO11/BQ11,2),0)</f>
        <v/>
      </c>
      <c r="BZ11" s="5">
        <f>IFERROR(ROUND(BO11/BR11,2),0)</f>
        <v/>
      </c>
      <c r="CA11" s="2" t="inlineStr">
        <is>
          <t>2023-09-20</t>
        </is>
      </c>
      <c r="CB11" s="5">
        <f>ROUND(0.0,2)</f>
        <v/>
      </c>
      <c r="CC11" s="3">
        <f>ROUND(0.0,2)</f>
        <v/>
      </c>
      <c r="CD11" s="3">
        <f>ROUND(0.0,2)</f>
        <v/>
      </c>
      <c r="CE11" s="3">
        <f>ROUND(0.0,2)</f>
        <v/>
      </c>
      <c r="CF11" s="3">
        <f>ROUND(0.0,2)</f>
        <v/>
      </c>
      <c r="CG11" s="3">
        <f>ROUND(0.0,2)</f>
        <v/>
      </c>
      <c r="CH11" s="3">
        <f>ROUND(0.0,2)</f>
        <v/>
      </c>
      <c r="CI11" s="3">
        <f>ROUND(0.0,2)</f>
        <v/>
      </c>
      <c r="CJ11" s="4">
        <f>IFERROR((CD11/CC11),0)</f>
        <v/>
      </c>
      <c r="CK11" s="4">
        <f>IFERROR(((0+CB11)/T2),0)</f>
        <v/>
      </c>
      <c r="CL11" s="5">
        <f>IFERROR(ROUND(CB11/CD11,2),0)</f>
        <v/>
      </c>
      <c r="CM11" s="5">
        <f>IFERROR(ROUND(CB11/CE11,2),0)</f>
        <v/>
      </c>
      <c r="CN11" s="2" t="inlineStr">
        <is>
          <t>2023-09-20</t>
        </is>
      </c>
      <c r="CO11" s="5">
        <f>ROUND(0.0,2)</f>
        <v/>
      </c>
      <c r="CP11" s="3">
        <f>ROUND(0.0,2)</f>
        <v/>
      </c>
      <c r="CQ11" s="3">
        <f>ROUND(0.0,2)</f>
        <v/>
      </c>
      <c r="CR11" s="3">
        <f>ROUND(0.0,2)</f>
        <v/>
      </c>
      <c r="CS11" s="3">
        <f>ROUND(0.0,2)</f>
        <v/>
      </c>
      <c r="CT11" s="3">
        <f>ROUND(0.0,2)</f>
        <v/>
      </c>
      <c r="CU11" s="3">
        <f>ROUND(0.0,2)</f>
        <v/>
      </c>
      <c r="CV11" s="3">
        <f>ROUND(0.0,2)</f>
        <v/>
      </c>
      <c r="CW11" s="4">
        <f>IFERROR((CQ11/CP11),0)</f>
        <v/>
      </c>
      <c r="CX11" s="4">
        <f>IFERROR(((0+CO11)/T2),0)</f>
        <v/>
      </c>
      <c r="CY11" s="5">
        <f>IFERROR(ROUND(CO11/CQ11,2),0)</f>
        <v/>
      </c>
      <c r="CZ11" s="5">
        <f>IFERROR(ROUND(CO11/CR11,2),0)</f>
        <v/>
      </c>
      <c r="DA11" s="2" t="inlineStr">
        <is>
          <t>2023-09-20</t>
        </is>
      </c>
      <c r="DB11" s="5">
        <f>ROUND(0.0,2)</f>
        <v/>
      </c>
      <c r="DC11" s="3">
        <f>ROUND(0.0,2)</f>
        <v/>
      </c>
      <c r="DD11" s="3">
        <f>ROUND(0.0,2)</f>
        <v/>
      </c>
      <c r="DE11" s="3">
        <f>ROUND(0.0,2)</f>
        <v/>
      </c>
      <c r="DF11" s="3">
        <f>ROUND(0.0,2)</f>
        <v/>
      </c>
      <c r="DG11" s="3">
        <f>ROUND(0.0,2)</f>
        <v/>
      </c>
      <c r="DH11" s="3">
        <f>ROUND(0.0,2)</f>
        <v/>
      </c>
      <c r="DI11" s="3">
        <f>ROUND(0.0,2)</f>
        <v/>
      </c>
      <c r="DJ11" s="4">
        <f>IFERROR((DD11/DC11),0)</f>
        <v/>
      </c>
      <c r="DK11" s="4">
        <f>IFERROR(((0+DB11)/T2),0)</f>
        <v/>
      </c>
      <c r="DL11" s="5">
        <f>IFERROR(ROUND(DB11/DD11,2),0)</f>
        <v/>
      </c>
      <c r="DM11" s="5">
        <f>IFERROR(ROUND(DB11/DE11,2),0)</f>
        <v/>
      </c>
      <c r="DN11" s="2" t="inlineStr">
        <is>
          <t>2023-09-20</t>
        </is>
      </c>
      <c r="DO11" s="5">
        <f>ROUND(0.0,2)</f>
        <v/>
      </c>
      <c r="DP11" s="3">
        <f>ROUND(0.0,2)</f>
        <v/>
      </c>
      <c r="DQ11" s="3">
        <f>ROUND(0.0,2)</f>
        <v/>
      </c>
      <c r="DR11" s="3">
        <f>ROUND(0.0,2)</f>
        <v/>
      </c>
      <c r="DS11" s="3">
        <f>ROUND(0.0,2)</f>
        <v/>
      </c>
      <c r="DT11" s="3">
        <f>ROUND(0.0,2)</f>
        <v/>
      </c>
      <c r="DU11" s="3">
        <f>ROUND(0.0,2)</f>
        <v/>
      </c>
      <c r="DV11" s="3">
        <f>ROUND(0.0,2)</f>
        <v/>
      </c>
      <c r="DW11" s="4">
        <f>IFERROR((DQ11/DP11),0)</f>
        <v/>
      </c>
      <c r="DX11" s="4">
        <f>IFERROR(((0+DO11)/T2),0)</f>
        <v/>
      </c>
      <c r="DY11" s="5">
        <f>IFERROR(ROUND(DO11/DQ11,2),0)</f>
        <v/>
      </c>
      <c r="DZ11" s="5">
        <f>IFERROR(ROUND(DO11/DR11,2),0)</f>
        <v/>
      </c>
      <c r="EA11" s="2" t="inlineStr">
        <is>
          <t>2023-09-20</t>
        </is>
      </c>
      <c r="EB11" s="5">
        <f>ROUND(0.0,2)</f>
        <v/>
      </c>
      <c r="EC11" s="3">
        <f>ROUND(0.0,2)</f>
        <v/>
      </c>
      <c r="ED11" s="3">
        <f>ROUND(0.0,2)</f>
        <v/>
      </c>
      <c r="EE11" s="3">
        <f>ROUND(0.0,2)</f>
        <v/>
      </c>
      <c r="EF11" s="3">
        <f>ROUND(0.0,2)</f>
        <v/>
      </c>
      <c r="EG11" s="3">
        <f>ROUND(0.0,2)</f>
        <v/>
      </c>
      <c r="EH11" s="3">
        <f>ROUND(0.0,2)</f>
        <v/>
      </c>
      <c r="EI11" s="3">
        <f>ROUND(0.0,2)</f>
        <v/>
      </c>
      <c r="EJ11" s="4">
        <f>IFERROR((ED11/EC11),0)</f>
        <v/>
      </c>
      <c r="EK11" s="4">
        <f>IFERROR(((0+EB11)/T2),0)</f>
        <v/>
      </c>
      <c r="EL11" s="5">
        <f>IFERROR(ROUND(EB11/ED11,2),0)</f>
        <v/>
      </c>
      <c r="EM11" s="5">
        <f>IFERROR(ROUND(EB11/EE11,2),0)</f>
        <v/>
      </c>
      <c r="EN11" s="2" t="inlineStr">
        <is>
          <t>2023-09-20</t>
        </is>
      </c>
      <c r="EO11" s="5">
        <f>ROUND(0.0,2)</f>
        <v/>
      </c>
      <c r="EP11" s="3">
        <f>ROUND(0.0,2)</f>
        <v/>
      </c>
      <c r="EQ11" s="3">
        <f>ROUND(0.0,2)</f>
        <v/>
      </c>
      <c r="ER11" s="3">
        <f>ROUND(0.0,2)</f>
        <v/>
      </c>
      <c r="ES11" s="3">
        <f>ROUND(0.0,2)</f>
        <v/>
      </c>
      <c r="ET11" s="3">
        <f>ROUND(0.0,2)</f>
        <v/>
      </c>
      <c r="EU11" s="3">
        <f>ROUND(0.0,2)</f>
        <v/>
      </c>
      <c r="EV11" s="3">
        <f>ROUND(0.0,2)</f>
        <v/>
      </c>
      <c r="EW11" s="4">
        <f>IFERROR((EQ11/EP11),0)</f>
        <v/>
      </c>
      <c r="EX11" s="4">
        <f>IFERROR(((0+EO11)/T2),0)</f>
        <v/>
      </c>
      <c r="EY11" s="5">
        <f>IFERROR(ROUND(EO11/EQ11,2),0)</f>
        <v/>
      </c>
      <c r="EZ11" s="5">
        <f>IFERROR(ROUND(EO11/ER11,2),0)</f>
        <v/>
      </c>
      <c r="FA11" s="2" t="inlineStr">
        <is>
          <t>2023-09-20</t>
        </is>
      </c>
      <c r="FB11" s="5">
        <f>ROUND(0.0,2)</f>
        <v/>
      </c>
      <c r="FC11" s="3">
        <f>ROUND(0.0,2)</f>
        <v/>
      </c>
      <c r="FD11" s="3">
        <f>ROUND(0.0,2)</f>
        <v/>
      </c>
      <c r="FE11" s="3">
        <f>ROUND(0.0,2)</f>
        <v/>
      </c>
      <c r="FF11" s="3">
        <f>ROUND(0.0,2)</f>
        <v/>
      </c>
      <c r="FG11" s="3">
        <f>ROUND(0.0,2)</f>
        <v/>
      </c>
      <c r="FH11" s="3">
        <f>ROUND(0.0,2)</f>
        <v/>
      </c>
      <c r="FI11" s="3">
        <f>ROUND(0.0,2)</f>
        <v/>
      </c>
      <c r="FJ11" s="4">
        <f>IFERROR((FD11/FC11),0)</f>
        <v/>
      </c>
      <c r="FK11" s="4">
        <f>IFERROR(((0+FB11)/T2),0)</f>
        <v/>
      </c>
      <c r="FL11" s="5">
        <f>IFERROR(ROUND(FB11/FD11,2),0)</f>
        <v/>
      </c>
      <c r="FM11" s="5">
        <f>IFERROR(ROUND(FB11/FE11,2),0)</f>
        <v/>
      </c>
      <c r="FN11" s="2" t="inlineStr">
        <is>
          <t>2023-09-20</t>
        </is>
      </c>
      <c r="FO11" s="5">
        <f>ROUND(0.0,2)</f>
        <v/>
      </c>
      <c r="FP11" s="3">
        <f>ROUND(0.0,2)</f>
        <v/>
      </c>
      <c r="FQ11" s="3">
        <f>ROUND(0.0,2)</f>
        <v/>
      </c>
      <c r="FR11" s="3">
        <f>ROUND(0.0,2)</f>
        <v/>
      </c>
      <c r="FS11" s="3">
        <f>ROUND(0.0,2)</f>
        <v/>
      </c>
      <c r="FT11" s="3">
        <f>ROUND(0.0,2)</f>
        <v/>
      </c>
      <c r="FU11" s="3">
        <f>ROUND(0.0,2)</f>
        <v/>
      </c>
      <c r="FV11" s="3">
        <f>ROUND(0.0,2)</f>
        <v/>
      </c>
      <c r="FW11" s="4">
        <f>IFERROR((FQ11/FP11),0)</f>
        <v/>
      </c>
      <c r="FX11" s="4">
        <f>IFERROR(((0+FO11)/T2),0)</f>
        <v/>
      </c>
      <c r="FY11" s="5">
        <f>IFERROR(ROUND(FO11/FQ11,2),0)</f>
        <v/>
      </c>
      <c r="FZ11" s="5">
        <f>IFERROR(ROUND(FO11/FR11,2),0)</f>
        <v/>
      </c>
      <c r="GA11" s="2" t="inlineStr">
        <is>
          <t>2023-09-20</t>
        </is>
      </c>
      <c r="GB11" s="5">
        <f>ROUND(0.0,2)</f>
        <v/>
      </c>
      <c r="GC11" s="3">
        <f>ROUND(0.0,2)</f>
        <v/>
      </c>
      <c r="GD11" s="3">
        <f>ROUND(0.0,2)</f>
        <v/>
      </c>
      <c r="GE11" s="3">
        <f>ROUND(0.0,2)</f>
        <v/>
      </c>
      <c r="GF11" s="3">
        <f>ROUND(0.0,2)</f>
        <v/>
      </c>
      <c r="GG11" s="3">
        <f>ROUND(0.0,2)</f>
        <v/>
      </c>
      <c r="GH11" s="3">
        <f>ROUND(0.0,2)</f>
        <v/>
      </c>
      <c r="GI11" s="3">
        <f>ROUND(0.0,2)</f>
        <v/>
      </c>
      <c r="GJ11" s="4">
        <f>IFERROR((GD11/GC11),0)</f>
        <v/>
      </c>
      <c r="GK11" s="4">
        <f>IFERROR(((0+GB11)/T2),0)</f>
        <v/>
      </c>
      <c r="GL11" s="5">
        <f>IFERROR(ROUND(GB11/GD11,2),0)</f>
        <v/>
      </c>
      <c r="GM11" s="5">
        <f>IFERROR(ROUND(GB11/GE11,2),0)</f>
        <v/>
      </c>
      <c r="GN11" s="2" t="inlineStr">
        <is>
          <t>2023-09-20</t>
        </is>
      </c>
      <c r="GO11" s="5">
        <f>ROUND(0.0,2)</f>
        <v/>
      </c>
      <c r="GP11" s="3">
        <f>ROUND(0.0,2)</f>
        <v/>
      </c>
      <c r="GQ11" s="3">
        <f>ROUND(0.0,2)</f>
        <v/>
      </c>
      <c r="GR11" s="3">
        <f>ROUND(0.0,2)</f>
        <v/>
      </c>
      <c r="GS11" s="3">
        <f>ROUND(0.0,2)</f>
        <v/>
      </c>
      <c r="GT11" s="3">
        <f>ROUND(0.0,2)</f>
        <v/>
      </c>
      <c r="GU11" s="3">
        <f>ROUND(0.0,2)</f>
        <v/>
      </c>
      <c r="GV11" s="3">
        <f>ROUND(0.0,2)</f>
        <v/>
      </c>
      <c r="GW11" s="4">
        <f>IFERROR((GQ11/GP11),0)</f>
        <v/>
      </c>
      <c r="GX11" s="4">
        <f>IFERROR(((0+GO11)/T2),0)</f>
        <v/>
      </c>
      <c r="GY11" s="5">
        <f>IFERROR(ROUND(GO11/GQ11,2),0)</f>
        <v/>
      </c>
      <c r="GZ11" s="5">
        <f>IFERROR(ROUND(GO11/GR11,2),0)</f>
        <v/>
      </c>
      <c r="HA11" s="2" t="inlineStr">
        <is>
          <t>2023-09-20</t>
        </is>
      </c>
      <c r="HB11" s="5">
        <f>ROUND(0.0,2)</f>
        <v/>
      </c>
      <c r="HC11" s="3">
        <f>ROUND(0.0,2)</f>
        <v/>
      </c>
      <c r="HD11" s="3">
        <f>ROUND(0.0,2)</f>
        <v/>
      </c>
      <c r="HE11" s="3">
        <f>ROUND(0.0,2)</f>
        <v/>
      </c>
      <c r="HF11" s="3">
        <f>ROUND(0.0,2)</f>
        <v/>
      </c>
      <c r="HG11" s="3">
        <f>ROUND(0.0,2)</f>
        <v/>
      </c>
      <c r="HH11" s="3">
        <f>ROUND(0.0,2)</f>
        <v/>
      </c>
      <c r="HI11" s="3">
        <f>ROUND(0.0,2)</f>
        <v/>
      </c>
      <c r="HJ11" s="4">
        <f>IFERROR((HD11/HC11),0)</f>
        <v/>
      </c>
      <c r="HK11" s="4">
        <f>IFERROR(((0+HB11)/T2),0)</f>
        <v/>
      </c>
      <c r="HL11" s="5">
        <f>IFERROR(ROUND(HB11/HD11,2),0)</f>
        <v/>
      </c>
      <c r="HM11" s="5">
        <f>IFERROR(ROUND(HB11/HE11,2),0)</f>
        <v/>
      </c>
      <c r="HN11" s="2" t="inlineStr">
        <is>
          <t>2023-09-20</t>
        </is>
      </c>
      <c r="HO11" s="5">
        <f>ROUND(0.0,2)</f>
        <v/>
      </c>
      <c r="HP11" s="3">
        <f>ROUND(0.0,2)</f>
        <v/>
      </c>
      <c r="HQ11" s="3">
        <f>ROUND(0.0,2)</f>
        <v/>
      </c>
      <c r="HR11" s="3">
        <f>ROUND(0.0,2)</f>
        <v/>
      </c>
      <c r="HS11" s="3">
        <f>ROUND(0.0,2)</f>
        <v/>
      </c>
      <c r="HT11" s="3">
        <f>ROUND(0.0,2)</f>
        <v/>
      </c>
      <c r="HU11" s="3">
        <f>ROUND(0.0,2)</f>
        <v/>
      </c>
      <c r="HV11" s="3">
        <f>ROUND(0.0,2)</f>
        <v/>
      </c>
      <c r="HW11" s="4">
        <f>IFERROR((HQ11/HP11),0)</f>
        <v/>
      </c>
      <c r="HX11" s="4">
        <f>IFERROR(((0+HO11)/T2),0)</f>
        <v/>
      </c>
      <c r="HY11" s="5">
        <f>IFERROR(ROUND(HO11/HQ11,2),0)</f>
        <v/>
      </c>
      <c r="HZ11" s="5">
        <f>IFERROR(ROUND(HO11/HR11,2),0)</f>
        <v/>
      </c>
      <c r="IA11" s="2" t="inlineStr">
        <is>
          <t>2023-09-20</t>
        </is>
      </c>
      <c r="IB11" s="5">
        <f>ROUND(0.0,2)</f>
        <v/>
      </c>
      <c r="IC11" s="3">
        <f>ROUND(0.0,2)</f>
        <v/>
      </c>
      <c r="ID11" s="3">
        <f>ROUND(0.0,2)</f>
        <v/>
      </c>
      <c r="IE11" s="3">
        <f>ROUND(0.0,2)</f>
        <v/>
      </c>
      <c r="IF11" s="3">
        <f>ROUND(0.0,2)</f>
        <v/>
      </c>
      <c r="IG11" s="3">
        <f>ROUND(0.0,2)</f>
        <v/>
      </c>
      <c r="IH11" s="3">
        <f>ROUND(0.0,2)</f>
        <v/>
      </c>
      <c r="II11" s="3">
        <f>ROUND(0.0,2)</f>
        <v/>
      </c>
      <c r="IJ11" s="4">
        <f>IFERROR((ID11/IC11),0)</f>
        <v/>
      </c>
      <c r="IK11" s="4">
        <f>IFERROR(((0+IB11)/T2),0)</f>
        <v/>
      </c>
      <c r="IL11" s="5">
        <f>IFERROR(ROUND(IB11/ID11,2),0)</f>
        <v/>
      </c>
      <c r="IM11" s="5">
        <f>IFERROR(ROUND(IB11/IE11,2),0)</f>
        <v/>
      </c>
      <c r="IN11" s="2" t="inlineStr">
        <is>
          <t>2023-09-20</t>
        </is>
      </c>
      <c r="IO11" s="5">
        <f>ROUND(0.0,2)</f>
        <v/>
      </c>
      <c r="IP11" s="3">
        <f>ROUND(0.0,2)</f>
        <v/>
      </c>
      <c r="IQ11" s="3">
        <f>ROUND(0.0,2)</f>
        <v/>
      </c>
      <c r="IR11" s="3">
        <f>ROUND(0.0,2)</f>
        <v/>
      </c>
      <c r="IS11" s="3">
        <f>ROUND(0.0,2)</f>
        <v/>
      </c>
      <c r="IT11" s="3">
        <f>ROUND(0.0,2)</f>
        <v/>
      </c>
      <c r="IU11" s="3">
        <f>ROUND(0.0,2)</f>
        <v/>
      </c>
      <c r="IV11" s="3">
        <f>ROUND(0.0,2)</f>
        <v/>
      </c>
      <c r="IW11" s="4">
        <f>IFERROR((IQ11/IP11),0)</f>
        <v/>
      </c>
      <c r="IX11" s="4">
        <f>IFERROR(((0+IO11)/T2),0)</f>
        <v/>
      </c>
      <c r="IY11" s="5">
        <f>IFERROR(ROUND(IO11/IQ11,2),0)</f>
        <v/>
      </c>
      <c r="IZ11" s="5">
        <f>IFERROR(ROUND(IO11/IR11,2),0)</f>
        <v/>
      </c>
      <c r="JA11" s="2" t="inlineStr">
        <is>
          <t>2023-09-20</t>
        </is>
      </c>
      <c r="JB11" s="5">
        <f>ROUND(0.0,2)</f>
        <v/>
      </c>
      <c r="JC11" s="3">
        <f>ROUND(0.0,2)</f>
        <v/>
      </c>
      <c r="JD11" s="3">
        <f>ROUND(0.0,2)</f>
        <v/>
      </c>
      <c r="JE11" s="3">
        <f>ROUND(0.0,2)</f>
        <v/>
      </c>
      <c r="JF11" s="3">
        <f>ROUND(0.0,2)</f>
        <v/>
      </c>
      <c r="JG11" s="3">
        <f>ROUND(0.0,2)</f>
        <v/>
      </c>
      <c r="JH11" s="3">
        <f>ROUND(0.0,2)</f>
        <v/>
      </c>
      <c r="JI11" s="3">
        <f>ROUND(0.0,2)</f>
        <v/>
      </c>
      <c r="JJ11" s="4">
        <f>IFERROR((JD11/JC11),0)</f>
        <v/>
      </c>
      <c r="JK11" s="4">
        <f>IFERROR(((0+JB11)/T2),0)</f>
        <v/>
      </c>
      <c r="JL11" s="5">
        <f>IFERROR(ROUND(JB11/JD11,2),0)</f>
        <v/>
      </c>
      <c r="JM11" s="5">
        <f>IFERROR(ROUND(JB11/JE11,2),0)</f>
        <v/>
      </c>
    </row>
    <row r="12">
      <c r="A12" s="2" t="inlineStr">
        <is>
          <t>2023-09-21</t>
        </is>
      </c>
      <c r="B12" s="5">
        <f>ROUND(22.12,2)</f>
        <v/>
      </c>
      <c r="C12" s="3">
        <f>ROUND(8038.0,2)</f>
        <v/>
      </c>
      <c r="D12" s="3">
        <f>ROUND(79.0,2)</f>
        <v/>
      </c>
      <c r="E12" s="3">
        <f>ROUND(886.0,2)</f>
        <v/>
      </c>
      <c r="F12" s="3">
        <f>ROUND(696.0,2)</f>
        <v/>
      </c>
      <c r="G12" s="3">
        <f>ROUND(320.0,2)</f>
        <v/>
      </c>
      <c r="H12" s="3">
        <f>ROUND(225.0,2)</f>
        <v/>
      </c>
      <c r="I12" s="3">
        <f>ROUND(163.0,2)</f>
        <v/>
      </c>
      <c r="J12" s="4">
        <f>IFERROR((D12/C12),0)</f>
        <v/>
      </c>
      <c r="K12" s="4">
        <f>IFERROR(((0+B11+B12)/T2),0)</f>
        <v/>
      </c>
      <c r="L12" s="5">
        <f>IFERROR(ROUND(B12/D12,2),0)</f>
        <v/>
      </c>
      <c r="M12" s="5">
        <f>IFERROR(ROUND(B12/E12,2),0)</f>
        <v/>
      </c>
      <c r="N12" s="2" t="inlineStr">
        <is>
          <t>2023-09-21</t>
        </is>
      </c>
      <c r="O12" s="5">
        <f>ROUND(2.8000000000000003,2)</f>
        <v/>
      </c>
      <c r="P12" s="3">
        <f>ROUND(931.0,2)</f>
        <v/>
      </c>
      <c r="Q12" s="3">
        <f>ROUND(10.0,2)</f>
        <v/>
      </c>
      <c r="R12" s="3">
        <f>ROUND(64.0,2)</f>
        <v/>
      </c>
      <c r="S12" s="3">
        <f>ROUND(39.0,2)</f>
        <v/>
      </c>
      <c r="T12" s="3">
        <f>ROUND(19.0,2)</f>
        <v/>
      </c>
      <c r="U12" s="3">
        <f>ROUND(15.0,2)</f>
        <v/>
      </c>
      <c r="V12" s="3">
        <f>ROUND(12.0,2)</f>
        <v/>
      </c>
      <c r="W12" s="4">
        <f>IFERROR((Q12/P12),0)</f>
        <v/>
      </c>
      <c r="X12" s="4">
        <f>IFERROR(((0+O11+O12)/T2),0)</f>
        <v/>
      </c>
      <c r="Y12" s="5">
        <f>IFERROR(ROUND(O12/Q12,2),0)</f>
        <v/>
      </c>
      <c r="Z12" s="5">
        <f>IFERROR(ROUND(O12/R12,2),0)</f>
        <v/>
      </c>
      <c r="AA12" s="2" t="inlineStr">
        <is>
          <t>2023-09-21</t>
        </is>
      </c>
      <c r="AB12" s="5">
        <f>ROUND(3.08,2)</f>
        <v/>
      </c>
      <c r="AC12" s="3">
        <f>ROUND(690.0,2)</f>
        <v/>
      </c>
      <c r="AD12" s="3">
        <f>ROUND(11.0,2)</f>
        <v/>
      </c>
      <c r="AE12" s="3">
        <f>ROUND(61.0,2)</f>
        <v/>
      </c>
      <c r="AF12" s="3">
        <f>ROUND(44.0,2)</f>
        <v/>
      </c>
      <c r="AG12" s="3">
        <f>ROUND(17.0,2)</f>
        <v/>
      </c>
      <c r="AH12" s="3">
        <f>ROUND(11.0,2)</f>
        <v/>
      </c>
      <c r="AI12" s="3">
        <f>ROUND(8.0,2)</f>
        <v/>
      </c>
      <c r="AJ12" s="4">
        <f>IFERROR((AD12/AC12),0)</f>
        <v/>
      </c>
      <c r="AK12" s="4">
        <f>IFERROR(((0+AB11+AB12)/T2),0)</f>
        <v/>
      </c>
      <c r="AL12" s="5">
        <f>IFERROR(ROUND(AB12/AD12,2),0)</f>
        <v/>
      </c>
      <c r="AM12" s="5">
        <f>IFERROR(ROUND(AB12/AE12,2),0)</f>
        <v/>
      </c>
      <c r="AN12" s="2" t="inlineStr">
        <is>
          <t>2023-09-21</t>
        </is>
      </c>
      <c r="AO12" s="5">
        <f>ROUND(3.6400000000000006,2)</f>
        <v/>
      </c>
      <c r="AP12" s="3">
        <f>ROUND(1462.0,2)</f>
        <v/>
      </c>
      <c r="AQ12" s="3">
        <f>ROUND(13.0,2)</f>
        <v/>
      </c>
      <c r="AR12" s="3">
        <f>ROUND(173.0,2)</f>
        <v/>
      </c>
      <c r="AS12" s="3">
        <f>ROUND(148.0,2)</f>
        <v/>
      </c>
      <c r="AT12" s="3">
        <f>ROUND(62.0,2)</f>
        <v/>
      </c>
      <c r="AU12" s="3">
        <f>ROUND(33.0,2)</f>
        <v/>
      </c>
      <c r="AV12" s="3">
        <f>ROUND(21.0,2)</f>
        <v/>
      </c>
      <c r="AW12" s="4">
        <f>IFERROR((AQ12/AP12),0)</f>
        <v/>
      </c>
      <c r="AX12" s="4">
        <f>IFERROR(((0+AO11+AO12)/T2),0)</f>
        <v/>
      </c>
      <c r="AY12" s="5">
        <f>IFERROR(ROUND(AO12/AQ12,2),0)</f>
        <v/>
      </c>
      <c r="AZ12" s="5">
        <f>IFERROR(ROUND(AO12/AR12,2),0)</f>
        <v/>
      </c>
      <c r="BA12" s="2" t="inlineStr">
        <is>
          <t>2023-09-21</t>
        </is>
      </c>
      <c r="BB12" s="5">
        <f>ROUND(3.3600000000000003,2)</f>
        <v/>
      </c>
      <c r="BC12" s="3">
        <f>ROUND(742.0,2)</f>
        <v/>
      </c>
      <c r="BD12" s="3">
        <f>ROUND(12.0,2)</f>
        <v/>
      </c>
      <c r="BE12" s="3">
        <f>ROUND(58.0,2)</f>
        <v/>
      </c>
      <c r="BF12" s="3">
        <f>ROUND(47.0,2)</f>
        <v/>
      </c>
      <c r="BG12" s="3">
        <f>ROUND(20.0,2)</f>
        <v/>
      </c>
      <c r="BH12" s="3">
        <f>ROUND(10.0,2)</f>
        <v/>
      </c>
      <c r="BI12" s="3">
        <f>ROUND(7.0,2)</f>
        <v/>
      </c>
      <c r="BJ12" s="4">
        <f>IFERROR((BD12/BC12),0)</f>
        <v/>
      </c>
      <c r="BK12" s="4">
        <f>IFERROR(((0+BB11+BB12)/T2),0)</f>
        <v/>
      </c>
      <c r="BL12" s="5">
        <f>IFERROR(ROUND(BB12/BD12,2),0)</f>
        <v/>
      </c>
      <c r="BM12" s="5">
        <f>IFERROR(ROUND(BB12/BE12,2),0)</f>
        <v/>
      </c>
      <c r="BN12" s="2" t="inlineStr">
        <is>
          <t>2023-09-21</t>
        </is>
      </c>
      <c r="BO12" s="5">
        <f>ROUND(4.760000000000001,2)</f>
        <v/>
      </c>
      <c r="BP12" s="3">
        <f>ROUND(1698.0,2)</f>
        <v/>
      </c>
      <c r="BQ12" s="3">
        <f>ROUND(17.0,2)</f>
        <v/>
      </c>
      <c r="BR12" s="3">
        <f>ROUND(212.0,2)</f>
        <v/>
      </c>
      <c r="BS12" s="3">
        <f>ROUND(171.0,2)</f>
        <v/>
      </c>
      <c r="BT12" s="3">
        <f>ROUND(81.0,2)</f>
        <v/>
      </c>
      <c r="BU12" s="3">
        <f>ROUND(65.0,2)</f>
        <v/>
      </c>
      <c r="BV12" s="3">
        <f>ROUND(49.0,2)</f>
        <v/>
      </c>
      <c r="BW12" s="4">
        <f>IFERROR((BQ12/BP12),0)</f>
        <v/>
      </c>
      <c r="BX12" s="4">
        <f>IFERROR(((0+BO11+BO12)/T2),0)</f>
        <v/>
      </c>
      <c r="BY12" s="5">
        <f>IFERROR(ROUND(BO12/BQ12,2),0)</f>
        <v/>
      </c>
      <c r="BZ12" s="5">
        <f>IFERROR(ROUND(BO12/BR12,2),0)</f>
        <v/>
      </c>
      <c r="CA12" s="2" t="inlineStr">
        <is>
          <t>2023-09-21</t>
        </is>
      </c>
      <c r="CB12" s="5">
        <f>ROUND(1.6800000000000002,2)</f>
        <v/>
      </c>
      <c r="CC12" s="3">
        <f>ROUND(615.0,2)</f>
        <v/>
      </c>
      <c r="CD12" s="3">
        <f>ROUND(6.0,2)</f>
        <v/>
      </c>
      <c r="CE12" s="3">
        <f>ROUND(56.0,2)</f>
        <v/>
      </c>
      <c r="CF12" s="3">
        <f>ROUND(40.0,2)</f>
        <v/>
      </c>
      <c r="CG12" s="3">
        <f>ROUND(15.0,2)</f>
        <v/>
      </c>
      <c r="CH12" s="3">
        <f>ROUND(11.0,2)</f>
        <v/>
      </c>
      <c r="CI12" s="3">
        <f>ROUND(8.0,2)</f>
        <v/>
      </c>
      <c r="CJ12" s="4">
        <f>IFERROR((CD12/CC12),0)</f>
        <v/>
      </c>
      <c r="CK12" s="4">
        <f>IFERROR(((0+CB11+CB12)/T2),0)</f>
        <v/>
      </c>
      <c r="CL12" s="5">
        <f>IFERROR(ROUND(CB12/CD12,2),0)</f>
        <v/>
      </c>
      <c r="CM12" s="5">
        <f>IFERROR(ROUND(CB12/CE12,2),0)</f>
        <v/>
      </c>
      <c r="CN12" s="2" t="inlineStr">
        <is>
          <t>2023-09-21</t>
        </is>
      </c>
      <c r="CO12" s="5">
        <f>ROUND(0.56,2)</f>
        <v/>
      </c>
      <c r="CP12" s="3">
        <f>ROUND(602.0,2)</f>
        <v/>
      </c>
      <c r="CQ12" s="3">
        <f>ROUND(2.0,2)</f>
        <v/>
      </c>
      <c r="CR12" s="3">
        <f>ROUND(57.0,2)</f>
        <v/>
      </c>
      <c r="CS12" s="3">
        <f>ROUND(39.0,2)</f>
        <v/>
      </c>
      <c r="CT12" s="3">
        <f>ROUND(18.0,2)</f>
        <v/>
      </c>
      <c r="CU12" s="3">
        <f>ROUND(14.0,2)</f>
        <v/>
      </c>
      <c r="CV12" s="3">
        <f>ROUND(9.0,2)</f>
        <v/>
      </c>
      <c r="CW12" s="4">
        <f>IFERROR((CQ12/CP12),0)</f>
        <v/>
      </c>
      <c r="CX12" s="4">
        <f>IFERROR(((0+CO11+CO12)/T2),0)</f>
        <v/>
      </c>
      <c r="CY12" s="5">
        <f>IFERROR(ROUND(CO12/CQ12,2),0)</f>
        <v/>
      </c>
      <c r="CZ12" s="5">
        <f>IFERROR(ROUND(CO12/CR12,2),0)</f>
        <v/>
      </c>
      <c r="DA12" s="2" t="inlineStr">
        <is>
          <t>2023-09-21</t>
        </is>
      </c>
      <c r="DB12" s="5">
        <f>ROUND(2.24,2)</f>
        <v/>
      </c>
      <c r="DC12" s="3">
        <f>ROUND(654.0,2)</f>
        <v/>
      </c>
      <c r="DD12" s="3">
        <f>ROUND(8.0,2)</f>
        <v/>
      </c>
      <c r="DE12" s="3">
        <f>ROUND(101.0,2)</f>
        <v/>
      </c>
      <c r="DF12" s="3">
        <f>ROUND(84.0,2)</f>
        <v/>
      </c>
      <c r="DG12" s="3">
        <f>ROUND(40.0,2)</f>
        <v/>
      </c>
      <c r="DH12" s="3">
        <f>ROUND(30.0,2)</f>
        <v/>
      </c>
      <c r="DI12" s="3">
        <f>ROUND(20.0,2)</f>
        <v/>
      </c>
      <c r="DJ12" s="4">
        <f>IFERROR((DD12/DC12),0)</f>
        <v/>
      </c>
      <c r="DK12" s="4">
        <f>IFERROR(((0+DB11+DB12)/T2),0)</f>
        <v/>
      </c>
      <c r="DL12" s="5">
        <f>IFERROR(ROUND(DB12/DD12,2),0)</f>
        <v/>
      </c>
      <c r="DM12" s="5">
        <f>IFERROR(ROUND(DB12/DE12,2),0)</f>
        <v/>
      </c>
      <c r="DN12" s="2" t="inlineStr">
        <is>
          <t>2023-09-21</t>
        </is>
      </c>
      <c r="DO12" s="5">
        <f>ROUND(0.0,2)</f>
        <v/>
      </c>
      <c r="DP12" s="3">
        <f>ROUND(644.0,2)</f>
        <v/>
      </c>
      <c r="DQ12" s="3">
        <f>ROUND(0.0,2)</f>
        <v/>
      </c>
      <c r="DR12" s="3">
        <f>ROUND(104.0,2)</f>
        <v/>
      </c>
      <c r="DS12" s="3">
        <f>ROUND(84.0,2)</f>
        <v/>
      </c>
      <c r="DT12" s="3">
        <f>ROUND(48.0,2)</f>
        <v/>
      </c>
      <c r="DU12" s="3">
        <f>ROUND(36.0,2)</f>
        <v/>
      </c>
      <c r="DV12" s="3">
        <f>ROUND(29.0,2)</f>
        <v/>
      </c>
      <c r="DW12" s="4">
        <f>IFERROR((DQ12/DP12),0)</f>
        <v/>
      </c>
      <c r="DX12" s="4">
        <f>IFERROR(((0+DO11+DO12)/T2),0)</f>
        <v/>
      </c>
      <c r="DY12" s="5">
        <f>IFERROR(ROUND(DO12/DQ12,2),0)</f>
        <v/>
      </c>
      <c r="DZ12" s="5">
        <f>IFERROR(ROUND(DO12/DR12,2),0)</f>
        <v/>
      </c>
      <c r="EA12" s="2" t="inlineStr">
        <is>
          <t>2023-09-21</t>
        </is>
      </c>
      <c r="EB12" s="5">
        <f>ROUND(0.0,2)</f>
        <v/>
      </c>
      <c r="EC12" s="3">
        <f>ROUND(0.0,2)</f>
        <v/>
      </c>
      <c r="ED12" s="3">
        <f>ROUND(0.0,2)</f>
        <v/>
      </c>
      <c r="EE12" s="3">
        <f>ROUND(0.0,2)</f>
        <v/>
      </c>
      <c r="EF12" s="3">
        <f>ROUND(0.0,2)</f>
        <v/>
      </c>
      <c r="EG12" s="3">
        <f>ROUND(0.0,2)</f>
        <v/>
      </c>
      <c r="EH12" s="3">
        <f>ROUND(0.0,2)</f>
        <v/>
      </c>
      <c r="EI12" s="3">
        <f>ROUND(0.0,2)</f>
        <v/>
      </c>
      <c r="EJ12" s="4">
        <f>IFERROR((ED12/EC12),0)</f>
        <v/>
      </c>
      <c r="EK12" s="4">
        <f>IFERROR(((0+EB11+EB12)/T2),0)</f>
        <v/>
      </c>
      <c r="EL12" s="5">
        <f>IFERROR(ROUND(EB12/ED12,2),0)</f>
        <v/>
      </c>
      <c r="EM12" s="5">
        <f>IFERROR(ROUND(EB12/EE12,2),0)</f>
        <v/>
      </c>
      <c r="EN12" s="2" t="inlineStr">
        <is>
          <t>2023-09-21</t>
        </is>
      </c>
      <c r="EO12" s="5">
        <f>ROUND(0.0,2)</f>
        <v/>
      </c>
      <c r="EP12" s="3">
        <f>ROUND(0.0,2)</f>
        <v/>
      </c>
      <c r="EQ12" s="3">
        <f>ROUND(0.0,2)</f>
        <v/>
      </c>
      <c r="ER12" s="3">
        <f>ROUND(0.0,2)</f>
        <v/>
      </c>
      <c r="ES12" s="3">
        <f>ROUND(0.0,2)</f>
        <v/>
      </c>
      <c r="ET12" s="3">
        <f>ROUND(0.0,2)</f>
        <v/>
      </c>
      <c r="EU12" s="3">
        <f>ROUND(0.0,2)</f>
        <v/>
      </c>
      <c r="EV12" s="3">
        <f>ROUND(0.0,2)</f>
        <v/>
      </c>
      <c r="EW12" s="4">
        <f>IFERROR((EQ12/EP12),0)</f>
        <v/>
      </c>
      <c r="EX12" s="4">
        <f>IFERROR(((0+EO11+EO12)/T2),0)</f>
        <v/>
      </c>
      <c r="EY12" s="5">
        <f>IFERROR(ROUND(EO12/EQ12,2),0)</f>
        <v/>
      </c>
      <c r="EZ12" s="5">
        <f>IFERROR(ROUND(EO12/ER12,2),0)</f>
        <v/>
      </c>
      <c r="FA12" s="2" t="inlineStr">
        <is>
          <t>2023-09-21</t>
        </is>
      </c>
      <c r="FB12" s="5">
        <f>ROUND(0.0,2)</f>
        <v/>
      </c>
      <c r="FC12" s="3">
        <f>ROUND(0.0,2)</f>
        <v/>
      </c>
      <c r="FD12" s="3">
        <f>ROUND(0.0,2)</f>
        <v/>
      </c>
      <c r="FE12" s="3">
        <f>ROUND(0.0,2)</f>
        <v/>
      </c>
      <c r="FF12" s="3">
        <f>ROUND(0.0,2)</f>
        <v/>
      </c>
      <c r="FG12" s="3">
        <f>ROUND(0.0,2)</f>
        <v/>
      </c>
      <c r="FH12" s="3">
        <f>ROUND(0.0,2)</f>
        <v/>
      </c>
      <c r="FI12" s="3">
        <f>ROUND(0.0,2)</f>
        <v/>
      </c>
      <c r="FJ12" s="4">
        <f>IFERROR((FD12/FC12),0)</f>
        <v/>
      </c>
      <c r="FK12" s="4">
        <f>IFERROR(((0+FB11+FB12)/T2),0)</f>
        <v/>
      </c>
      <c r="FL12" s="5">
        <f>IFERROR(ROUND(FB12/FD12,2),0)</f>
        <v/>
      </c>
      <c r="FM12" s="5">
        <f>IFERROR(ROUND(FB12/FE12,2),0)</f>
        <v/>
      </c>
      <c r="FN12" s="2" t="inlineStr">
        <is>
          <t>2023-09-21</t>
        </is>
      </c>
      <c r="FO12" s="5">
        <f>ROUND(0.0,2)</f>
        <v/>
      </c>
      <c r="FP12" s="3">
        <f>ROUND(0.0,2)</f>
        <v/>
      </c>
      <c r="FQ12" s="3">
        <f>ROUND(0.0,2)</f>
        <v/>
      </c>
      <c r="FR12" s="3">
        <f>ROUND(0.0,2)</f>
        <v/>
      </c>
      <c r="FS12" s="3">
        <f>ROUND(0.0,2)</f>
        <v/>
      </c>
      <c r="FT12" s="3">
        <f>ROUND(0.0,2)</f>
        <v/>
      </c>
      <c r="FU12" s="3">
        <f>ROUND(0.0,2)</f>
        <v/>
      </c>
      <c r="FV12" s="3">
        <f>ROUND(0.0,2)</f>
        <v/>
      </c>
      <c r="FW12" s="4">
        <f>IFERROR((FQ12/FP12),0)</f>
        <v/>
      </c>
      <c r="FX12" s="4">
        <f>IFERROR(((0+FO11+FO12)/T2),0)</f>
        <v/>
      </c>
      <c r="FY12" s="5">
        <f>IFERROR(ROUND(FO12/FQ12,2),0)</f>
        <v/>
      </c>
      <c r="FZ12" s="5">
        <f>IFERROR(ROUND(FO12/FR12,2),0)</f>
        <v/>
      </c>
      <c r="GA12" s="2" t="inlineStr">
        <is>
          <t>2023-09-21</t>
        </is>
      </c>
      <c r="GB12" s="5">
        <f>ROUND(0.0,2)</f>
        <v/>
      </c>
      <c r="GC12" s="3">
        <f>ROUND(0.0,2)</f>
        <v/>
      </c>
      <c r="GD12" s="3">
        <f>ROUND(0.0,2)</f>
        <v/>
      </c>
      <c r="GE12" s="3">
        <f>ROUND(0.0,2)</f>
        <v/>
      </c>
      <c r="GF12" s="3">
        <f>ROUND(0.0,2)</f>
        <v/>
      </c>
      <c r="GG12" s="3">
        <f>ROUND(0.0,2)</f>
        <v/>
      </c>
      <c r="GH12" s="3">
        <f>ROUND(0.0,2)</f>
        <v/>
      </c>
      <c r="GI12" s="3">
        <f>ROUND(0.0,2)</f>
        <v/>
      </c>
      <c r="GJ12" s="4">
        <f>IFERROR((GD12/GC12),0)</f>
        <v/>
      </c>
      <c r="GK12" s="4">
        <f>IFERROR(((0+GB11+GB12)/T2),0)</f>
        <v/>
      </c>
      <c r="GL12" s="5">
        <f>IFERROR(ROUND(GB12/GD12,2),0)</f>
        <v/>
      </c>
      <c r="GM12" s="5">
        <f>IFERROR(ROUND(GB12/GE12,2),0)</f>
        <v/>
      </c>
      <c r="GN12" s="2" t="inlineStr">
        <is>
          <t>2023-09-21</t>
        </is>
      </c>
      <c r="GO12" s="5">
        <f>ROUND(0.0,2)</f>
        <v/>
      </c>
      <c r="GP12" s="3">
        <f>ROUND(0.0,2)</f>
        <v/>
      </c>
      <c r="GQ12" s="3">
        <f>ROUND(0.0,2)</f>
        <v/>
      </c>
      <c r="GR12" s="3">
        <f>ROUND(0.0,2)</f>
        <v/>
      </c>
      <c r="GS12" s="3">
        <f>ROUND(0.0,2)</f>
        <v/>
      </c>
      <c r="GT12" s="3">
        <f>ROUND(0.0,2)</f>
        <v/>
      </c>
      <c r="GU12" s="3">
        <f>ROUND(0.0,2)</f>
        <v/>
      </c>
      <c r="GV12" s="3">
        <f>ROUND(0.0,2)</f>
        <v/>
      </c>
      <c r="GW12" s="4">
        <f>IFERROR((GQ12/GP12),0)</f>
        <v/>
      </c>
      <c r="GX12" s="4">
        <f>IFERROR(((0+GO11+GO12)/T2),0)</f>
        <v/>
      </c>
      <c r="GY12" s="5">
        <f>IFERROR(ROUND(GO12/GQ12,2),0)</f>
        <v/>
      </c>
      <c r="GZ12" s="5">
        <f>IFERROR(ROUND(GO12/GR12,2),0)</f>
        <v/>
      </c>
      <c r="HA12" s="2" t="inlineStr">
        <is>
          <t>2023-09-21</t>
        </is>
      </c>
      <c r="HB12" s="5">
        <f>ROUND(0.0,2)</f>
        <v/>
      </c>
      <c r="HC12" s="3">
        <f>ROUND(0.0,2)</f>
        <v/>
      </c>
      <c r="HD12" s="3">
        <f>ROUND(0.0,2)</f>
        <v/>
      </c>
      <c r="HE12" s="3">
        <f>ROUND(0.0,2)</f>
        <v/>
      </c>
      <c r="HF12" s="3">
        <f>ROUND(0.0,2)</f>
        <v/>
      </c>
      <c r="HG12" s="3">
        <f>ROUND(0.0,2)</f>
        <v/>
      </c>
      <c r="HH12" s="3">
        <f>ROUND(0.0,2)</f>
        <v/>
      </c>
      <c r="HI12" s="3">
        <f>ROUND(0.0,2)</f>
        <v/>
      </c>
      <c r="HJ12" s="4">
        <f>IFERROR((HD12/HC12),0)</f>
        <v/>
      </c>
      <c r="HK12" s="4">
        <f>IFERROR(((0+HB11+HB12)/T2),0)</f>
        <v/>
      </c>
      <c r="HL12" s="5">
        <f>IFERROR(ROUND(HB12/HD12,2),0)</f>
        <v/>
      </c>
      <c r="HM12" s="5">
        <f>IFERROR(ROUND(HB12/HE12,2),0)</f>
        <v/>
      </c>
      <c r="HN12" s="2" t="inlineStr">
        <is>
          <t>2023-09-21</t>
        </is>
      </c>
      <c r="HO12" s="5">
        <f>ROUND(0.0,2)</f>
        <v/>
      </c>
      <c r="HP12" s="3">
        <f>ROUND(0.0,2)</f>
        <v/>
      </c>
      <c r="HQ12" s="3">
        <f>ROUND(0.0,2)</f>
        <v/>
      </c>
      <c r="HR12" s="3">
        <f>ROUND(0.0,2)</f>
        <v/>
      </c>
      <c r="HS12" s="3">
        <f>ROUND(0.0,2)</f>
        <v/>
      </c>
      <c r="HT12" s="3">
        <f>ROUND(0.0,2)</f>
        <v/>
      </c>
      <c r="HU12" s="3">
        <f>ROUND(0.0,2)</f>
        <v/>
      </c>
      <c r="HV12" s="3">
        <f>ROUND(0.0,2)</f>
        <v/>
      </c>
      <c r="HW12" s="4">
        <f>IFERROR((HQ12/HP12),0)</f>
        <v/>
      </c>
      <c r="HX12" s="4">
        <f>IFERROR(((0+HO11+HO12)/T2),0)</f>
        <v/>
      </c>
      <c r="HY12" s="5">
        <f>IFERROR(ROUND(HO12/HQ12,2),0)</f>
        <v/>
      </c>
      <c r="HZ12" s="5">
        <f>IFERROR(ROUND(HO12/HR12,2),0)</f>
        <v/>
      </c>
      <c r="IA12" s="2" t="inlineStr">
        <is>
          <t>2023-09-21</t>
        </is>
      </c>
      <c r="IB12" s="5">
        <f>ROUND(0.0,2)</f>
        <v/>
      </c>
      <c r="IC12" s="3">
        <f>ROUND(0.0,2)</f>
        <v/>
      </c>
      <c r="ID12" s="3">
        <f>ROUND(0.0,2)</f>
        <v/>
      </c>
      <c r="IE12" s="3">
        <f>ROUND(0.0,2)</f>
        <v/>
      </c>
      <c r="IF12" s="3">
        <f>ROUND(0.0,2)</f>
        <v/>
      </c>
      <c r="IG12" s="3">
        <f>ROUND(0.0,2)</f>
        <v/>
      </c>
      <c r="IH12" s="3">
        <f>ROUND(0.0,2)</f>
        <v/>
      </c>
      <c r="II12" s="3">
        <f>ROUND(0.0,2)</f>
        <v/>
      </c>
      <c r="IJ12" s="4">
        <f>IFERROR((ID12/IC12),0)</f>
        <v/>
      </c>
      <c r="IK12" s="4">
        <f>IFERROR(((0+IB11+IB12)/T2),0)</f>
        <v/>
      </c>
      <c r="IL12" s="5">
        <f>IFERROR(ROUND(IB12/ID12,2),0)</f>
        <v/>
      </c>
      <c r="IM12" s="5">
        <f>IFERROR(ROUND(IB12/IE12,2),0)</f>
        <v/>
      </c>
      <c r="IN12" s="2" t="inlineStr">
        <is>
          <t>2023-09-21</t>
        </is>
      </c>
      <c r="IO12" s="5">
        <f>ROUND(0.0,2)</f>
        <v/>
      </c>
      <c r="IP12" s="3">
        <f>ROUND(0.0,2)</f>
        <v/>
      </c>
      <c r="IQ12" s="3">
        <f>ROUND(0.0,2)</f>
        <v/>
      </c>
      <c r="IR12" s="3">
        <f>ROUND(0.0,2)</f>
        <v/>
      </c>
      <c r="IS12" s="3">
        <f>ROUND(0.0,2)</f>
        <v/>
      </c>
      <c r="IT12" s="3">
        <f>ROUND(0.0,2)</f>
        <v/>
      </c>
      <c r="IU12" s="3">
        <f>ROUND(0.0,2)</f>
        <v/>
      </c>
      <c r="IV12" s="3">
        <f>ROUND(0.0,2)</f>
        <v/>
      </c>
      <c r="IW12" s="4">
        <f>IFERROR((IQ12/IP12),0)</f>
        <v/>
      </c>
      <c r="IX12" s="4">
        <f>IFERROR(((0+IO11+IO12)/T2),0)</f>
        <v/>
      </c>
      <c r="IY12" s="5">
        <f>IFERROR(ROUND(IO12/IQ12,2),0)</f>
        <v/>
      </c>
      <c r="IZ12" s="5">
        <f>IFERROR(ROUND(IO12/IR12,2),0)</f>
        <v/>
      </c>
      <c r="JA12" s="2" t="inlineStr">
        <is>
          <t>2023-09-21</t>
        </is>
      </c>
      <c r="JB12" s="5">
        <f>ROUND(0.0,2)</f>
        <v/>
      </c>
      <c r="JC12" s="3">
        <f>ROUND(0.0,2)</f>
        <v/>
      </c>
      <c r="JD12" s="3">
        <f>ROUND(0.0,2)</f>
        <v/>
      </c>
      <c r="JE12" s="3">
        <f>ROUND(0.0,2)</f>
        <v/>
      </c>
      <c r="JF12" s="3">
        <f>ROUND(0.0,2)</f>
        <v/>
      </c>
      <c r="JG12" s="3">
        <f>ROUND(0.0,2)</f>
        <v/>
      </c>
      <c r="JH12" s="3">
        <f>ROUND(0.0,2)</f>
        <v/>
      </c>
      <c r="JI12" s="3">
        <f>ROUND(0.0,2)</f>
        <v/>
      </c>
      <c r="JJ12" s="4">
        <f>IFERROR((JD12/JC12),0)</f>
        <v/>
      </c>
      <c r="JK12" s="4">
        <f>IFERROR(((0+JB11+JB12)/T2),0)</f>
        <v/>
      </c>
      <c r="JL12" s="5">
        <f>IFERROR(ROUND(JB12/JD12,2),0)</f>
        <v/>
      </c>
      <c r="JM12" s="5">
        <f>IFERROR(ROUND(JB12/JE12,2),0)</f>
        <v/>
      </c>
    </row>
    <row r="13">
      <c r="A13" s="2" t="inlineStr">
        <is>
          <t>2023-09-22</t>
        </is>
      </c>
      <c r="B13" s="5">
        <f>ROUND(203.56000000000003,2)</f>
        <v/>
      </c>
      <c r="C13" s="3">
        <f>ROUND(34885.0,2)</f>
        <v/>
      </c>
      <c r="D13" s="3">
        <f>ROUND(727.0,2)</f>
        <v/>
      </c>
      <c r="E13" s="3">
        <f>ROUND(1789.0,2)</f>
        <v/>
      </c>
      <c r="F13" s="3">
        <f>ROUND(1133.0,2)</f>
        <v/>
      </c>
      <c r="G13" s="3">
        <f>ROUND(584.0,2)</f>
        <v/>
      </c>
      <c r="H13" s="3">
        <f>ROUND(453.0,2)</f>
        <v/>
      </c>
      <c r="I13" s="3">
        <f>ROUND(363.0,2)</f>
        <v/>
      </c>
      <c r="J13" s="4">
        <f>IFERROR((D13/C13),0)</f>
        <v/>
      </c>
      <c r="K13" s="4">
        <f>IFERROR(((0+B11+B12+B13)/T2),0)</f>
        <v/>
      </c>
      <c r="L13" s="5">
        <f>IFERROR(ROUND(B13/D13,2),0)</f>
        <v/>
      </c>
      <c r="M13" s="5">
        <f>IFERROR(ROUND(B13/E13,2),0)</f>
        <v/>
      </c>
      <c r="N13" s="2" t="inlineStr">
        <is>
          <t>2023-09-22</t>
        </is>
      </c>
      <c r="O13" s="5">
        <f>ROUND(8.96,2)</f>
        <v/>
      </c>
      <c r="P13" s="3">
        <f>ROUND(3283.0,2)</f>
        <v/>
      </c>
      <c r="Q13" s="3">
        <f>ROUND(32.0,2)</f>
        <v/>
      </c>
      <c r="R13" s="3">
        <f>ROUND(606.0,2)</f>
        <v/>
      </c>
      <c r="S13" s="3">
        <f>ROUND(279.0,2)</f>
        <v/>
      </c>
      <c r="T13" s="3">
        <f>ROUND(175.0,2)</f>
        <v/>
      </c>
      <c r="U13" s="3">
        <f>ROUND(149.0,2)</f>
        <v/>
      </c>
      <c r="V13" s="3">
        <f>ROUND(119.0,2)</f>
        <v/>
      </c>
      <c r="W13" s="4">
        <f>IFERROR((Q13/P13),0)</f>
        <v/>
      </c>
      <c r="X13" s="4">
        <f>IFERROR(((0+O11+O12+O13)/T2),0)</f>
        <v/>
      </c>
      <c r="Y13" s="5">
        <f>IFERROR(ROUND(O13/Q13,2),0)</f>
        <v/>
      </c>
      <c r="Z13" s="5">
        <f>IFERROR(ROUND(O13/R13,2),0)</f>
        <v/>
      </c>
      <c r="AA13" s="2" t="inlineStr">
        <is>
          <t>2023-09-22</t>
        </is>
      </c>
      <c r="AB13" s="5">
        <f>ROUND(17.360000000000003,2)</f>
        <v/>
      </c>
      <c r="AC13" s="3">
        <f>ROUND(2508.0,2)</f>
        <v/>
      </c>
      <c r="AD13" s="3">
        <f>ROUND(62.0,2)</f>
        <v/>
      </c>
      <c r="AE13" s="3">
        <f>ROUND(70.0,2)</f>
        <v/>
      </c>
      <c r="AF13" s="3">
        <f>ROUND(52.0,2)</f>
        <v/>
      </c>
      <c r="AG13" s="3">
        <f>ROUND(34.0,2)</f>
        <v/>
      </c>
      <c r="AH13" s="3">
        <f>ROUND(27.0,2)</f>
        <v/>
      </c>
      <c r="AI13" s="3">
        <f>ROUND(22.0,2)</f>
        <v/>
      </c>
      <c r="AJ13" s="4">
        <f>IFERROR((AD13/AC13),0)</f>
        <v/>
      </c>
      <c r="AK13" s="4">
        <f>IFERROR(((0+AB11+AB12+AB13)/T2),0)</f>
        <v/>
      </c>
      <c r="AL13" s="5">
        <f>IFERROR(ROUND(AB13/AD13,2),0)</f>
        <v/>
      </c>
      <c r="AM13" s="5">
        <f>IFERROR(ROUND(AB13/AE13,2),0)</f>
        <v/>
      </c>
      <c r="AN13" s="2" t="inlineStr">
        <is>
          <t>2023-09-22</t>
        </is>
      </c>
      <c r="AO13" s="5">
        <f>ROUND(2.8000000000000003,2)</f>
        <v/>
      </c>
      <c r="AP13" s="3">
        <f>ROUND(837.0,2)</f>
        <v/>
      </c>
      <c r="AQ13" s="3">
        <f>ROUND(10.0,2)</f>
        <v/>
      </c>
      <c r="AR13" s="3">
        <f>ROUND(72.0,2)</f>
        <v/>
      </c>
      <c r="AS13" s="3">
        <f>ROUND(62.0,2)</f>
        <v/>
      </c>
      <c r="AT13" s="3">
        <f>ROUND(27.0,2)</f>
        <v/>
      </c>
      <c r="AU13" s="3">
        <f>ROUND(13.0,2)</f>
        <v/>
      </c>
      <c r="AV13" s="3">
        <f>ROUND(9.0,2)</f>
        <v/>
      </c>
      <c r="AW13" s="4">
        <f>IFERROR((AQ13/AP13),0)</f>
        <v/>
      </c>
      <c r="AX13" s="4">
        <f>IFERROR(((0+AO11+AO12+AO13)/T2),0)</f>
        <v/>
      </c>
      <c r="AY13" s="5">
        <f>IFERROR(ROUND(AO13/AQ13,2),0)</f>
        <v/>
      </c>
      <c r="AZ13" s="5">
        <f>IFERROR(ROUND(AO13/AR13,2),0)</f>
        <v/>
      </c>
      <c r="BA13" s="2" t="inlineStr">
        <is>
          <t>2023-09-22</t>
        </is>
      </c>
      <c r="BB13" s="5">
        <f>ROUND(4.48,2)</f>
        <v/>
      </c>
      <c r="BC13" s="3">
        <f>ROUND(535.0,2)</f>
        <v/>
      </c>
      <c r="BD13" s="3">
        <f>ROUND(16.0,2)</f>
        <v/>
      </c>
      <c r="BE13" s="3">
        <f>ROUND(42.0,2)</f>
        <v/>
      </c>
      <c r="BF13" s="3">
        <f>ROUND(36.0,2)</f>
        <v/>
      </c>
      <c r="BG13" s="3">
        <f>ROUND(16.0,2)</f>
        <v/>
      </c>
      <c r="BH13" s="3">
        <f>ROUND(10.0,2)</f>
        <v/>
      </c>
      <c r="BI13" s="3">
        <f>ROUND(7.0,2)</f>
        <v/>
      </c>
      <c r="BJ13" s="4">
        <f>IFERROR((BD13/BC13),0)</f>
        <v/>
      </c>
      <c r="BK13" s="4">
        <f>IFERROR(((0+BB11+BB12+BB13)/T2),0)</f>
        <v/>
      </c>
      <c r="BL13" s="5">
        <f>IFERROR(ROUND(BB13/BD13,2),0)</f>
        <v/>
      </c>
      <c r="BM13" s="5">
        <f>IFERROR(ROUND(BB13/BE13,2),0)</f>
        <v/>
      </c>
      <c r="BN13" s="2" t="inlineStr">
        <is>
          <t>2023-09-22</t>
        </is>
      </c>
      <c r="BO13" s="5">
        <f>ROUND(59.92000000000001,2)</f>
        <v/>
      </c>
      <c r="BP13" s="3">
        <f>ROUND(11280.0,2)</f>
        <v/>
      </c>
      <c r="BQ13" s="3">
        <f>ROUND(214.0,2)</f>
        <v/>
      </c>
      <c r="BR13" s="3">
        <f>ROUND(279.0,2)</f>
        <v/>
      </c>
      <c r="BS13" s="3">
        <f>ROUND(184.0,2)</f>
        <v/>
      </c>
      <c r="BT13" s="3">
        <f>ROUND(84.0,2)</f>
        <v/>
      </c>
      <c r="BU13" s="3">
        <f>ROUND(69.0,2)</f>
        <v/>
      </c>
      <c r="BV13" s="3">
        <f>ROUND(58.0,2)</f>
        <v/>
      </c>
      <c r="BW13" s="4">
        <f>IFERROR((BQ13/BP13),0)</f>
        <v/>
      </c>
      <c r="BX13" s="4">
        <f>IFERROR(((0+BO11+BO12+BO13)/T2),0)</f>
        <v/>
      </c>
      <c r="BY13" s="5">
        <f>IFERROR(ROUND(BO13/BQ13,2),0)</f>
        <v/>
      </c>
      <c r="BZ13" s="5">
        <f>IFERROR(ROUND(BO13/BR13,2),0)</f>
        <v/>
      </c>
      <c r="CA13" s="2" t="inlineStr">
        <is>
          <t>2023-09-22</t>
        </is>
      </c>
      <c r="CB13" s="5">
        <f>ROUND(60.20000000000001,2)</f>
        <v/>
      </c>
      <c r="CC13" s="3">
        <f>ROUND(9395.0,2)</f>
        <v/>
      </c>
      <c r="CD13" s="3">
        <f>ROUND(215.0,2)</f>
        <v/>
      </c>
      <c r="CE13" s="3">
        <f>ROUND(386.0,2)</f>
        <v/>
      </c>
      <c r="CF13" s="3">
        <f>ROUND(263.0,2)</f>
        <v/>
      </c>
      <c r="CG13" s="3">
        <f>ROUND(115.0,2)</f>
        <v/>
      </c>
      <c r="CH13" s="3">
        <f>ROUND(85.0,2)</f>
        <v/>
      </c>
      <c r="CI13" s="3">
        <f>ROUND(66.0,2)</f>
        <v/>
      </c>
      <c r="CJ13" s="4">
        <f>IFERROR((CD13/CC13),0)</f>
        <v/>
      </c>
      <c r="CK13" s="4">
        <f>IFERROR(((0+CB11+CB12+CB13)/T2),0)</f>
        <v/>
      </c>
      <c r="CL13" s="5">
        <f>IFERROR(ROUND(CB13/CD13,2),0)</f>
        <v/>
      </c>
      <c r="CM13" s="5">
        <f>IFERROR(ROUND(CB13/CE13,2),0)</f>
        <v/>
      </c>
      <c r="CN13" s="2" t="inlineStr">
        <is>
          <t>2023-09-22</t>
        </is>
      </c>
      <c r="CO13" s="5">
        <f>ROUND(10.080000000000002,2)</f>
        <v/>
      </c>
      <c r="CP13" s="3">
        <f>ROUND(1894.0,2)</f>
        <v/>
      </c>
      <c r="CQ13" s="3">
        <f>ROUND(36.0,2)</f>
        <v/>
      </c>
      <c r="CR13" s="3">
        <f>ROUND(69.0,2)</f>
        <v/>
      </c>
      <c r="CS13" s="3">
        <f>ROUND(52.0,2)</f>
        <v/>
      </c>
      <c r="CT13" s="3">
        <f>ROUND(29.0,2)</f>
        <v/>
      </c>
      <c r="CU13" s="3">
        <f>ROUND(20.0,2)</f>
        <v/>
      </c>
      <c r="CV13" s="3">
        <f>ROUND(16.0,2)</f>
        <v/>
      </c>
      <c r="CW13" s="4">
        <f>IFERROR((CQ13/CP13),0)</f>
        <v/>
      </c>
      <c r="CX13" s="4">
        <f>IFERROR(((0+CO11+CO12+CO13)/T2),0)</f>
        <v/>
      </c>
      <c r="CY13" s="5">
        <f>IFERROR(ROUND(CO13/CQ13,2),0)</f>
        <v/>
      </c>
      <c r="CZ13" s="5">
        <f>IFERROR(ROUND(CO13/CR13,2),0)</f>
        <v/>
      </c>
      <c r="DA13" s="2" t="inlineStr">
        <is>
          <t>2023-09-22</t>
        </is>
      </c>
      <c r="DB13" s="5">
        <f>ROUND(7.840000000000001,2)</f>
        <v/>
      </c>
      <c r="DC13" s="3">
        <f>ROUND(1050.0,2)</f>
        <v/>
      </c>
      <c r="DD13" s="3">
        <f>ROUND(28.0,2)</f>
        <v/>
      </c>
      <c r="DE13" s="3">
        <f>ROUND(53.0,2)</f>
        <v/>
      </c>
      <c r="DF13" s="3">
        <f>ROUND(40.0,2)</f>
        <v/>
      </c>
      <c r="DG13" s="3">
        <f>ROUND(21.0,2)</f>
        <v/>
      </c>
      <c r="DH13" s="3">
        <f>ROUND(15.0,2)</f>
        <v/>
      </c>
      <c r="DI13" s="3">
        <f>ROUND(10.0,2)</f>
        <v/>
      </c>
      <c r="DJ13" s="4">
        <f>IFERROR((DD13/DC13),0)</f>
        <v/>
      </c>
      <c r="DK13" s="4">
        <f>IFERROR(((0+DB11+DB12+DB13)/T2),0)</f>
        <v/>
      </c>
      <c r="DL13" s="5">
        <f>IFERROR(ROUND(DB13/DD13,2),0)</f>
        <v/>
      </c>
      <c r="DM13" s="5">
        <f>IFERROR(ROUND(DB13/DE13,2),0)</f>
        <v/>
      </c>
      <c r="DN13" s="2" t="inlineStr">
        <is>
          <t>2023-09-22</t>
        </is>
      </c>
      <c r="DO13" s="5">
        <f>ROUND(1.12,2)</f>
        <v/>
      </c>
      <c r="DP13" s="3">
        <f>ROUND(330.0,2)</f>
        <v/>
      </c>
      <c r="DQ13" s="3">
        <f>ROUND(4.0,2)</f>
        <v/>
      </c>
      <c r="DR13" s="3">
        <f>ROUND(28.0,2)</f>
        <v/>
      </c>
      <c r="DS13" s="3">
        <f>ROUND(19.0,2)</f>
        <v/>
      </c>
      <c r="DT13" s="3">
        <f>ROUND(10.0,2)</f>
        <v/>
      </c>
      <c r="DU13" s="3">
        <f>ROUND(8.0,2)</f>
        <v/>
      </c>
      <c r="DV13" s="3">
        <f>ROUND(6.0,2)</f>
        <v/>
      </c>
      <c r="DW13" s="4">
        <f>IFERROR((DQ13/DP13),0)</f>
        <v/>
      </c>
      <c r="DX13" s="4">
        <f>IFERROR(((0+DO11+DO12+DO13)/T2),0)</f>
        <v/>
      </c>
      <c r="DY13" s="5">
        <f>IFERROR(ROUND(DO13/DQ13,2),0)</f>
        <v/>
      </c>
      <c r="DZ13" s="5">
        <f>IFERROR(ROUND(DO13/DR13,2),0)</f>
        <v/>
      </c>
      <c r="EA13" s="2" t="inlineStr">
        <is>
          <t>2023-09-22</t>
        </is>
      </c>
      <c r="EB13" s="5">
        <f>ROUND(30.800000000000004,2)</f>
        <v/>
      </c>
      <c r="EC13" s="3">
        <f>ROUND(3773.0,2)</f>
        <v/>
      </c>
      <c r="ED13" s="3">
        <f>ROUND(110.0,2)</f>
        <v/>
      </c>
      <c r="EE13" s="3">
        <f>ROUND(184.0,2)</f>
        <v/>
      </c>
      <c r="EF13" s="3">
        <f>ROUND(146.0,2)</f>
        <v/>
      </c>
      <c r="EG13" s="3">
        <f>ROUND(73.0,2)</f>
        <v/>
      </c>
      <c r="EH13" s="3">
        <f>ROUND(57.0,2)</f>
        <v/>
      </c>
      <c r="EI13" s="3">
        <f>ROUND(50.0,2)</f>
        <v/>
      </c>
      <c r="EJ13" s="4">
        <f>IFERROR((ED13/EC13),0)</f>
        <v/>
      </c>
      <c r="EK13" s="4">
        <f>IFERROR(((0+EB11+EB12+EB13)/T2),0)</f>
        <v/>
      </c>
      <c r="EL13" s="5">
        <f>IFERROR(ROUND(EB13/ED13,2),0)</f>
        <v/>
      </c>
      <c r="EM13" s="5">
        <f>IFERROR(ROUND(EB13/EE13,2),0)</f>
        <v/>
      </c>
      <c r="EN13" s="2" t="inlineStr">
        <is>
          <t>2023-09-22</t>
        </is>
      </c>
      <c r="EO13" s="5">
        <f>ROUND(0.0,2)</f>
        <v/>
      </c>
      <c r="EP13" s="3">
        <f>ROUND(0.0,2)</f>
        <v/>
      </c>
      <c r="EQ13" s="3">
        <f>ROUND(0.0,2)</f>
        <v/>
      </c>
      <c r="ER13" s="3">
        <f>ROUND(0.0,2)</f>
        <v/>
      </c>
      <c r="ES13" s="3">
        <f>ROUND(0.0,2)</f>
        <v/>
      </c>
      <c r="ET13" s="3">
        <f>ROUND(0.0,2)</f>
        <v/>
      </c>
      <c r="EU13" s="3">
        <f>ROUND(0.0,2)</f>
        <v/>
      </c>
      <c r="EV13" s="3">
        <f>ROUND(0.0,2)</f>
        <v/>
      </c>
      <c r="EW13" s="4">
        <f>IFERROR((EQ13/EP13),0)</f>
        <v/>
      </c>
      <c r="EX13" s="4">
        <f>IFERROR(((0+EO11+EO12+EO13)/T2),0)</f>
        <v/>
      </c>
      <c r="EY13" s="5">
        <f>IFERROR(ROUND(EO13/EQ13,2),0)</f>
        <v/>
      </c>
      <c r="EZ13" s="5">
        <f>IFERROR(ROUND(EO13/ER13,2),0)</f>
        <v/>
      </c>
      <c r="FA13" s="2" t="inlineStr">
        <is>
          <t>2023-09-22</t>
        </is>
      </c>
      <c r="FB13" s="5">
        <f>ROUND(0.0,2)</f>
        <v/>
      </c>
      <c r="FC13" s="3">
        <f>ROUND(0.0,2)</f>
        <v/>
      </c>
      <c r="FD13" s="3">
        <f>ROUND(0.0,2)</f>
        <v/>
      </c>
      <c r="FE13" s="3">
        <f>ROUND(0.0,2)</f>
        <v/>
      </c>
      <c r="FF13" s="3">
        <f>ROUND(0.0,2)</f>
        <v/>
      </c>
      <c r="FG13" s="3">
        <f>ROUND(0.0,2)</f>
        <v/>
      </c>
      <c r="FH13" s="3">
        <f>ROUND(0.0,2)</f>
        <v/>
      </c>
      <c r="FI13" s="3">
        <f>ROUND(0.0,2)</f>
        <v/>
      </c>
      <c r="FJ13" s="4">
        <f>IFERROR((FD13/FC13),0)</f>
        <v/>
      </c>
      <c r="FK13" s="4">
        <f>IFERROR(((0+FB11+FB12+FB13)/T2),0)</f>
        <v/>
      </c>
      <c r="FL13" s="5">
        <f>IFERROR(ROUND(FB13/FD13,2),0)</f>
        <v/>
      </c>
      <c r="FM13" s="5">
        <f>IFERROR(ROUND(FB13/FE13,2),0)</f>
        <v/>
      </c>
      <c r="FN13" s="2" t="inlineStr">
        <is>
          <t>2023-09-22</t>
        </is>
      </c>
      <c r="FO13" s="5">
        <f>ROUND(0.0,2)</f>
        <v/>
      </c>
      <c r="FP13" s="3">
        <f>ROUND(0.0,2)</f>
        <v/>
      </c>
      <c r="FQ13" s="3">
        <f>ROUND(0.0,2)</f>
        <v/>
      </c>
      <c r="FR13" s="3">
        <f>ROUND(0.0,2)</f>
        <v/>
      </c>
      <c r="FS13" s="3">
        <f>ROUND(0.0,2)</f>
        <v/>
      </c>
      <c r="FT13" s="3">
        <f>ROUND(0.0,2)</f>
        <v/>
      </c>
      <c r="FU13" s="3">
        <f>ROUND(0.0,2)</f>
        <v/>
      </c>
      <c r="FV13" s="3">
        <f>ROUND(0.0,2)</f>
        <v/>
      </c>
      <c r="FW13" s="4">
        <f>IFERROR((FQ13/FP13),0)</f>
        <v/>
      </c>
      <c r="FX13" s="4">
        <f>IFERROR(((0+FO11+FO12+FO13)/T2),0)</f>
        <v/>
      </c>
      <c r="FY13" s="5">
        <f>IFERROR(ROUND(FO13/FQ13,2),0)</f>
        <v/>
      </c>
      <c r="FZ13" s="5">
        <f>IFERROR(ROUND(FO13/FR13,2),0)</f>
        <v/>
      </c>
      <c r="GA13" s="2" t="inlineStr">
        <is>
          <t>2023-09-22</t>
        </is>
      </c>
      <c r="GB13" s="5">
        <f>ROUND(0.0,2)</f>
        <v/>
      </c>
      <c r="GC13" s="3">
        <f>ROUND(0.0,2)</f>
        <v/>
      </c>
      <c r="GD13" s="3">
        <f>ROUND(0.0,2)</f>
        <v/>
      </c>
      <c r="GE13" s="3">
        <f>ROUND(0.0,2)</f>
        <v/>
      </c>
      <c r="GF13" s="3">
        <f>ROUND(0.0,2)</f>
        <v/>
      </c>
      <c r="GG13" s="3">
        <f>ROUND(0.0,2)</f>
        <v/>
      </c>
      <c r="GH13" s="3">
        <f>ROUND(0.0,2)</f>
        <v/>
      </c>
      <c r="GI13" s="3">
        <f>ROUND(0.0,2)</f>
        <v/>
      </c>
      <c r="GJ13" s="4">
        <f>IFERROR((GD13/GC13),0)</f>
        <v/>
      </c>
      <c r="GK13" s="4">
        <f>IFERROR(((0+GB11+GB12+GB13)/T2),0)</f>
        <v/>
      </c>
      <c r="GL13" s="5">
        <f>IFERROR(ROUND(GB13/GD13,2),0)</f>
        <v/>
      </c>
      <c r="GM13" s="5">
        <f>IFERROR(ROUND(GB13/GE13,2),0)</f>
        <v/>
      </c>
      <c r="GN13" s="2" t="inlineStr">
        <is>
          <t>2023-09-22</t>
        </is>
      </c>
      <c r="GO13" s="5">
        <f>ROUND(0.0,2)</f>
        <v/>
      </c>
      <c r="GP13" s="3">
        <f>ROUND(0.0,2)</f>
        <v/>
      </c>
      <c r="GQ13" s="3">
        <f>ROUND(0.0,2)</f>
        <v/>
      </c>
      <c r="GR13" s="3">
        <f>ROUND(0.0,2)</f>
        <v/>
      </c>
      <c r="GS13" s="3">
        <f>ROUND(0.0,2)</f>
        <v/>
      </c>
      <c r="GT13" s="3">
        <f>ROUND(0.0,2)</f>
        <v/>
      </c>
      <c r="GU13" s="3">
        <f>ROUND(0.0,2)</f>
        <v/>
      </c>
      <c r="GV13" s="3">
        <f>ROUND(0.0,2)</f>
        <v/>
      </c>
      <c r="GW13" s="4">
        <f>IFERROR((GQ13/GP13),0)</f>
        <v/>
      </c>
      <c r="GX13" s="4">
        <f>IFERROR(((0+GO11+GO12+GO13)/T2),0)</f>
        <v/>
      </c>
      <c r="GY13" s="5">
        <f>IFERROR(ROUND(GO13/GQ13,2),0)</f>
        <v/>
      </c>
      <c r="GZ13" s="5">
        <f>IFERROR(ROUND(GO13/GR13,2),0)</f>
        <v/>
      </c>
      <c r="HA13" s="2" t="inlineStr">
        <is>
          <t>2023-09-22</t>
        </is>
      </c>
      <c r="HB13" s="5">
        <f>ROUND(0.0,2)</f>
        <v/>
      </c>
      <c r="HC13" s="3">
        <f>ROUND(0.0,2)</f>
        <v/>
      </c>
      <c r="HD13" s="3">
        <f>ROUND(0.0,2)</f>
        <v/>
      </c>
      <c r="HE13" s="3">
        <f>ROUND(0.0,2)</f>
        <v/>
      </c>
      <c r="HF13" s="3">
        <f>ROUND(0.0,2)</f>
        <v/>
      </c>
      <c r="HG13" s="3">
        <f>ROUND(0.0,2)</f>
        <v/>
      </c>
      <c r="HH13" s="3">
        <f>ROUND(0.0,2)</f>
        <v/>
      </c>
      <c r="HI13" s="3">
        <f>ROUND(0.0,2)</f>
        <v/>
      </c>
      <c r="HJ13" s="4">
        <f>IFERROR((HD13/HC13),0)</f>
        <v/>
      </c>
      <c r="HK13" s="4">
        <f>IFERROR(((0+HB11+HB12+HB13)/T2),0)</f>
        <v/>
      </c>
      <c r="HL13" s="5">
        <f>IFERROR(ROUND(HB13/HD13,2),0)</f>
        <v/>
      </c>
      <c r="HM13" s="5">
        <f>IFERROR(ROUND(HB13/HE13,2),0)</f>
        <v/>
      </c>
      <c r="HN13" s="2" t="inlineStr">
        <is>
          <t>2023-09-22</t>
        </is>
      </c>
      <c r="HO13" s="5">
        <f>ROUND(0.0,2)</f>
        <v/>
      </c>
      <c r="HP13" s="3">
        <f>ROUND(0.0,2)</f>
        <v/>
      </c>
      <c r="HQ13" s="3">
        <f>ROUND(0.0,2)</f>
        <v/>
      </c>
      <c r="HR13" s="3">
        <f>ROUND(0.0,2)</f>
        <v/>
      </c>
      <c r="HS13" s="3">
        <f>ROUND(0.0,2)</f>
        <v/>
      </c>
      <c r="HT13" s="3">
        <f>ROUND(0.0,2)</f>
        <v/>
      </c>
      <c r="HU13" s="3">
        <f>ROUND(0.0,2)</f>
        <v/>
      </c>
      <c r="HV13" s="3">
        <f>ROUND(0.0,2)</f>
        <v/>
      </c>
      <c r="HW13" s="4">
        <f>IFERROR((HQ13/HP13),0)</f>
        <v/>
      </c>
      <c r="HX13" s="4">
        <f>IFERROR(((0+HO11+HO12+HO13)/T2),0)</f>
        <v/>
      </c>
      <c r="HY13" s="5">
        <f>IFERROR(ROUND(HO13/HQ13,2),0)</f>
        <v/>
      </c>
      <c r="HZ13" s="5">
        <f>IFERROR(ROUND(HO13/HR13,2),0)</f>
        <v/>
      </c>
      <c r="IA13" s="2" t="inlineStr">
        <is>
          <t>2023-09-22</t>
        </is>
      </c>
      <c r="IB13" s="5">
        <f>ROUND(0.0,2)</f>
        <v/>
      </c>
      <c r="IC13" s="3">
        <f>ROUND(0.0,2)</f>
        <v/>
      </c>
      <c r="ID13" s="3">
        <f>ROUND(0.0,2)</f>
        <v/>
      </c>
      <c r="IE13" s="3">
        <f>ROUND(0.0,2)</f>
        <v/>
      </c>
      <c r="IF13" s="3">
        <f>ROUND(0.0,2)</f>
        <v/>
      </c>
      <c r="IG13" s="3">
        <f>ROUND(0.0,2)</f>
        <v/>
      </c>
      <c r="IH13" s="3">
        <f>ROUND(0.0,2)</f>
        <v/>
      </c>
      <c r="II13" s="3">
        <f>ROUND(0.0,2)</f>
        <v/>
      </c>
      <c r="IJ13" s="4">
        <f>IFERROR((ID13/IC13),0)</f>
        <v/>
      </c>
      <c r="IK13" s="4">
        <f>IFERROR(((0+IB11+IB12+IB13)/T2),0)</f>
        <v/>
      </c>
      <c r="IL13" s="5">
        <f>IFERROR(ROUND(IB13/ID13,2),0)</f>
        <v/>
      </c>
      <c r="IM13" s="5">
        <f>IFERROR(ROUND(IB13/IE13,2),0)</f>
        <v/>
      </c>
      <c r="IN13" s="2" t="inlineStr">
        <is>
          <t>2023-09-22</t>
        </is>
      </c>
      <c r="IO13" s="5">
        <f>ROUND(0.0,2)</f>
        <v/>
      </c>
      <c r="IP13" s="3">
        <f>ROUND(0.0,2)</f>
        <v/>
      </c>
      <c r="IQ13" s="3">
        <f>ROUND(0.0,2)</f>
        <v/>
      </c>
      <c r="IR13" s="3">
        <f>ROUND(0.0,2)</f>
        <v/>
      </c>
      <c r="IS13" s="3">
        <f>ROUND(0.0,2)</f>
        <v/>
      </c>
      <c r="IT13" s="3">
        <f>ROUND(0.0,2)</f>
        <v/>
      </c>
      <c r="IU13" s="3">
        <f>ROUND(0.0,2)</f>
        <v/>
      </c>
      <c r="IV13" s="3">
        <f>ROUND(0.0,2)</f>
        <v/>
      </c>
      <c r="IW13" s="4">
        <f>IFERROR((IQ13/IP13),0)</f>
        <v/>
      </c>
      <c r="IX13" s="4">
        <f>IFERROR(((0+IO11+IO12+IO13)/T2),0)</f>
        <v/>
      </c>
      <c r="IY13" s="5">
        <f>IFERROR(ROUND(IO13/IQ13,2),0)</f>
        <v/>
      </c>
      <c r="IZ13" s="5">
        <f>IFERROR(ROUND(IO13/IR13,2),0)</f>
        <v/>
      </c>
      <c r="JA13" s="2" t="inlineStr">
        <is>
          <t>2023-09-22</t>
        </is>
      </c>
      <c r="JB13" s="5">
        <f>ROUND(0.0,2)</f>
        <v/>
      </c>
      <c r="JC13" s="3">
        <f>ROUND(0.0,2)</f>
        <v/>
      </c>
      <c r="JD13" s="3">
        <f>ROUND(0.0,2)</f>
        <v/>
      </c>
      <c r="JE13" s="3">
        <f>ROUND(0.0,2)</f>
        <v/>
      </c>
      <c r="JF13" s="3">
        <f>ROUND(0.0,2)</f>
        <v/>
      </c>
      <c r="JG13" s="3">
        <f>ROUND(0.0,2)</f>
        <v/>
      </c>
      <c r="JH13" s="3">
        <f>ROUND(0.0,2)</f>
        <v/>
      </c>
      <c r="JI13" s="3">
        <f>ROUND(0.0,2)</f>
        <v/>
      </c>
      <c r="JJ13" s="4">
        <f>IFERROR((JD13/JC13),0)</f>
        <v/>
      </c>
      <c r="JK13" s="4">
        <f>IFERROR(((0+JB11+JB12+JB13)/T2),0)</f>
        <v/>
      </c>
      <c r="JL13" s="5">
        <f>IFERROR(ROUND(JB13/JD13,2),0)</f>
        <v/>
      </c>
      <c r="JM13" s="5">
        <f>IFERROR(ROUND(JB13/JE13,2),0)</f>
        <v/>
      </c>
    </row>
    <row r="14">
      <c r="A14" s="2" t="inlineStr">
        <is>
          <t>2023-09-23</t>
        </is>
      </c>
      <c r="B14" s="5">
        <f>ROUND(20.720000000000002,2)</f>
        <v/>
      </c>
      <c r="C14" s="3">
        <f>ROUND(1798.0,2)</f>
        <v/>
      </c>
      <c r="D14" s="3">
        <f>ROUND(74.0,2)</f>
        <v/>
      </c>
      <c r="E14" s="3">
        <f>ROUND(206.0,2)</f>
        <v/>
      </c>
      <c r="F14" s="3">
        <f>ROUND(169.0,2)</f>
        <v/>
      </c>
      <c r="G14" s="3">
        <f>ROUND(58.0,2)</f>
        <v/>
      </c>
      <c r="H14" s="3">
        <f>ROUND(37.0,2)</f>
        <v/>
      </c>
      <c r="I14" s="3">
        <f>ROUND(25.0,2)</f>
        <v/>
      </c>
      <c r="J14" s="4">
        <f>IFERROR((D14/C14),0)</f>
        <v/>
      </c>
      <c r="K14" s="4">
        <f>IFERROR(((0+B11+B12+B13+B14)/T2),0)</f>
        <v/>
      </c>
      <c r="L14" s="5">
        <f>IFERROR(ROUND(B14/D14,2),0)</f>
        <v/>
      </c>
      <c r="M14" s="5">
        <f>IFERROR(ROUND(B14/E14,2),0)</f>
        <v/>
      </c>
      <c r="N14" s="2" t="inlineStr">
        <is>
          <t>2023-09-23</t>
        </is>
      </c>
      <c r="O14" s="5">
        <f>ROUND(1.9600000000000002,2)</f>
        <v/>
      </c>
      <c r="P14" s="3">
        <f>ROUND(100.0,2)</f>
        <v/>
      </c>
      <c r="Q14" s="3">
        <f>ROUND(7.0,2)</f>
        <v/>
      </c>
      <c r="R14" s="3">
        <f>ROUND(15.0,2)</f>
        <v/>
      </c>
      <c r="S14" s="3">
        <f>ROUND(11.0,2)</f>
        <v/>
      </c>
      <c r="T14" s="3">
        <f>ROUND(5.0,2)</f>
        <v/>
      </c>
      <c r="U14" s="3">
        <f>ROUND(4.0,2)</f>
        <v/>
      </c>
      <c r="V14" s="3">
        <f>ROUND(3.0,2)</f>
        <v/>
      </c>
      <c r="W14" s="4">
        <f>IFERROR((Q14/P14),0)</f>
        <v/>
      </c>
      <c r="X14" s="4">
        <f>IFERROR(((0+O11+O12+O13+O14)/T2),0)</f>
        <v/>
      </c>
      <c r="Y14" s="5">
        <f>IFERROR(ROUND(O14/Q14,2),0)</f>
        <v/>
      </c>
      <c r="Z14" s="5">
        <f>IFERROR(ROUND(O14/R14,2),0)</f>
        <v/>
      </c>
      <c r="AA14" s="2" t="inlineStr">
        <is>
          <t>2023-09-23</t>
        </is>
      </c>
      <c r="AB14" s="5">
        <f>ROUND(0.28,2)</f>
        <v/>
      </c>
      <c r="AC14" s="3">
        <f>ROUND(8.0,2)</f>
        <v/>
      </c>
      <c r="AD14" s="3">
        <f>ROUND(1.0,2)</f>
        <v/>
      </c>
      <c r="AE14" s="3">
        <f>ROUND(2.0,2)</f>
        <v/>
      </c>
      <c r="AF14" s="3">
        <f>ROUND(2.0,2)</f>
        <v/>
      </c>
      <c r="AG14" s="3">
        <f>ROUND(1.0,2)</f>
        <v/>
      </c>
      <c r="AH14" s="3">
        <f>ROUND(1.0,2)</f>
        <v/>
      </c>
      <c r="AI14" s="3">
        <f>ROUND(1.0,2)</f>
        <v/>
      </c>
      <c r="AJ14" s="4">
        <f>IFERROR((AD14/AC14),0)</f>
        <v/>
      </c>
      <c r="AK14" s="4">
        <f>IFERROR(((0+AB11+AB12+AB13+AB14)/T2),0)</f>
        <v/>
      </c>
      <c r="AL14" s="5">
        <f>IFERROR(ROUND(AB14/AD14,2),0)</f>
        <v/>
      </c>
      <c r="AM14" s="5">
        <f>IFERROR(ROUND(AB14/AE14,2),0)</f>
        <v/>
      </c>
      <c r="AN14" s="2" t="inlineStr">
        <is>
          <t>2023-09-23</t>
        </is>
      </c>
      <c r="AO14" s="5">
        <f>ROUND(0.28,2)</f>
        <v/>
      </c>
      <c r="AP14" s="3">
        <f>ROUND(8.0,2)</f>
        <v/>
      </c>
      <c r="AQ14" s="3">
        <f>ROUND(1.0,2)</f>
        <v/>
      </c>
      <c r="AR14" s="3">
        <f>ROUND(1.0,2)</f>
        <v/>
      </c>
      <c r="AS14" s="3">
        <f>ROUND(1.0,2)</f>
        <v/>
      </c>
      <c r="AT14" s="3">
        <f>ROUND(1.0,2)</f>
        <v/>
      </c>
      <c r="AU14" s="3">
        <f>ROUND(1.0,2)</f>
        <v/>
      </c>
      <c r="AV14" s="3">
        <f>ROUND(1.0,2)</f>
        <v/>
      </c>
      <c r="AW14" s="4">
        <f>IFERROR((AQ14/AP14),0)</f>
        <v/>
      </c>
      <c r="AX14" s="4">
        <f>IFERROR(((0+AO11+AO12+AO13+AO14)/T2),0)</f>
        <v/>
      </c>
      <c r="AY14" s="5">
        <f>IFERROR(ROUND(AO14/AQ14,2),0)</f>
        <v/>
      </c>
      <c r="AZ14" s="5">
        <f>IFERROR(ROUND(AO14/AR14,2),0)</f>
        <v/>
      </c>
      <c r="BA14" s="2" t="inlineStr">
        <is>
          <t>2023-09-23</t>
        </is>
      </c>
      <c r="BB14" s="5">
        <f>ROUND(8.120000000000001,2)</f>
        <v/>
      </c>
      <c r="BC14" s="3">
        <f>ROUND(553.0,2)</f>
        <v/>
      </c>
      <c r="BD14" s="3">
        <f>ROUND(29.0,2)</f>
        <v/>
      </c>
      <c r="BE14" s="3">
        <f>ROUND(79.0,2)</f>
        <v/>
      </c>
      <c r="BF14" s="3">
        <f>ROUND(66.0,2)</f>
        <v/>
      </c>
      <c r="BG14" s="3">
        <f>ROUND(25.0,2)</f>
        <v/>
      </c>
      <c r="BH14" s="3">
        <f>ROUND(13.0,2)</f>
        <v/>
      </c>
      <c r="BI14" s="3">
        <f>ROUND(8.0,2)</f>
        <v/>
      </c>
      <c r="BJ14" s="4">
        <f>IFERROR((BD14/BC14),0)</f>
        <v/>
      </c>
      <c r="BK14" s="4">
        <f>IFERROR(((0+BB11+BB12+BB13+BB14)/T2),0)</f>
        <v/>
      </c>
      <c r="BL14" s="5">
        <f>IFERROR(ROUND(BB14/BD14,2),0)</f>
        <v/>
      </c>
      <c r="BM14" s="5">
        <f>IFERROR(ROUND(BB14/BE14,2),0)</f>
        <v/>
      </c>
      <c r="BN14" s="2" t="inlineStr">
        <is>
          <t>2023-09-23</t>
        </is>
      </c>
      <c r="BO14" s="5">
        <f>ROUND(5.6000000000000005,2)</f>
        <v/>
      </c>
      <c r="BP14" s="3">
        <f>ROUND(640.0,2)</f>
        <v/>
      </c>
      <c r="BQ14" s="3">
        <f>ROUND(20.0,2)</f>
        <v/>
      </c>
      <c r="BR14" s="3">
        <f>ROUND(56.0,2)</f>
        <v/>
      </c>
      <c r="BS14" s="3">
        <f>ROUND(43.0,2)</f>
        <v/>
      </c>
      <c r="BT14" s="3">
        <f>ROUND(11.0,2)</f>
        <v/>
      </c>
      <c r="BU14" s="3">
        <f>ROUND(8.0,2)</f>
        <v/>
      </c>
      <c r="BV14" s="3">
        <f>ROUND(5.0,2)</f>
        <v/>
      </c>
      <c r="BW14" s="4">
        <f>IFERROR((BQ14/BP14),0)</f>
        <v/>
      </c>
      <c r="BX14" s="4">
        <f>IFERROR(((0+BO11+BO12+BO13+BO14)/T2),0)</f>
        <v/>
      </c>
      <c r="BY14" s="5">
        <f>IFERROR(ROUND(BO14/BQ14,2),0)</f>
        <v/>
      </c>
      <c r="BZ14" s="5">
        <f>IFERROR(ROUND(BO14/BR14,2),0)</f>
        <v/>
      </c>
      <c r="CA14" s="2" t="inlineStr">
        <is>
          <t>2023-09-23</t>
        </is>
      </c>
      <c r="CB14" s="5">
        <f>ROUND(2.5200000000000005,2)</f>
        <v/>
      </c>
      <c r="CC14" s="3">
        <f>ROUND(290.0,2)</f>
        <v/>
      </c>
      <c r="CD14" s="3">
        <f>ROUND(9.0,2)</f>
        <v/>
      </c>
      <c r="CE14" s="3">
        <f>ROUND(34.0,2)</f>
        <v/>
      </c>
      <c r="CF14" s="3">
        <f>ROUND(30.0,2)</f>
        <v/>
      </c>
      <c r="CG14" s="3">
        <f>ROUND(10.0,2)</f>
        <v/>
      </c>
      <c r="CH14" s="3">
        <f>ROUND(6.0,2)</f>
        <v/>
      </c>
      <c r="CI14" s="3">
        <f>ROUND(4.0,2)</f>
        <v/>
      </c>
      <c r="CJ14" s="4">
        <f>IFERROR((CD14/CC14),0)</f>
        <v/>
      </c>
      <c r="CK14" s="4">
        <f>IFERROR(((0+CB11+CB12+CB13+CB14)/T2),0)</f>
        <v/>
      </c>
      <c r="CL14" s="5">
        <f>IFERROR(ROUND(CB14/CD14,2),0)</f>
        <v/>
      </c>
      <c r="CM14" s="5">
        <f>IFERROR(ROUND(CB14/CE14,2),0)</f>
        <v/>
      </c>
      <c r="CN14" s="2" t="inlineStr">
        <is>
          <t>2023-09-23</t>
        </is>
      </c>
      <c r="CO14" s="5">
        <f>ROUND(0.0,2)</f>
        <v/>
      </c>
      <c r="CP14" s="3">
        <f>ROUND(30.0,2)</f>
        <v/>
      </c>
      <c r="CQ14" s="3">
        <f>ROUND(0.0,2)</f>
        <v/>
      </c>
      <c r="CR14" s="3">
        <f>ROUND(1.0,2)</f>
        <v/>
      </c>
      <c r="CS14" s="3">
        <f>ROUND(1.0,2)</f>
        <v/>
      </c>
      <c r="CT14" s="3">
        <f>ROUND(0.0,2)</f>
        <v/>
      </c>
      <c r="CU14" s="3">
        <f>ROUND(0.0,2)</f>
        <v/>
      </c>
      <c r="CV14" s="3">
        <f>ROUND(0.0,2)</f>
        <v/>
      </c>
      <c r="CW14" s="4">
        <f>IFERROR((CQ14/CP14),0)</f>
        <v/>
      </c>
      <c r="CX14" s="4">
        <f>IFERROR(((0+CO11+CO12+CO13+CO14)/T2),0)</f>
        <v/>
      </c>
      <c r="CY14" s="5">
        <f>IFERROR(ROUND(CO14/CQ14,2),0)</f>
        <v/>
      </c>
      <c r="CZ14" s="5">
        <f>IFERROR(ROUND(CO14/CR14,2),0)</f>
        <v/>
      </c>
      <c r="DA14" s="2" t="inlineStr">
        <is>
          <t>2023-09-23</t>
        </is>
      </c>
      <c r="DB14" s="5">
        <f>ROUND(1.9600000000000002,2)</f>
        <v/>
      </c>
      <c r="DC14" s="3">
        <f>ROUND(86.0,2)</f>
        <v/>
      </c>
      <c r="DD14" s="3">
        <f>ROUND(7.0,2)</f>
        <v/>
      </c>
      <c r="DE14" s="3">
        <f>ROUND(17.0,2)</f>
        <v/>
      </c>
      <c r="DF14" s="3">
        <f>ROUND(14.0,2)</f>
        <v/>
      </c>
      <c r="DG14" s="3">
        <f>ROUND(5.0,2)</f>
        <v/>
      </c>
      <c r="DH14" s="3">
        <f>ROUND(4.0,2)</f>
        <v/>
      </c>
      <c r="DI14" s="3">
        <f>ROUND(3.0,2)</f>
        <v/>
      </c>
      <c r="DJ14" s="4">
        <f>IFERROR((DD14/DC14),0)</f>
        <v/>
      </c>
      <c r="DK14" s="4">
        <f>IFERROR(((0+DB11+DB12+DB13+DB14)/T2),0)</f>
        <v/>
      </c>
      <c r="DL14" s="5">
        <f>IFERROR(ROUND(DB14/DD14,2),0)</f>
        <v/>
      </c>
      <c r="DM14" s="5">
        <f>IFERROR(ROUND(DB14/DE14,2),0)</f>
        <v/>
      </c>
      <c r="DN14" s="2" t="inlineStr">
        <is>
          <t>2023-09-23</t>
        </is>
      </c>
      <c r="DO14" s="5">
        <f>ROUND(0.0,2)</f>
        <v/>
      </c>
      <c r="DP14" s="3">
        <f>ROUND(12.0,2)</f>
        <v/>
      </c>
      <c r="DQ14" s="3">
        <f>ROUND(0.0,2)</f>
        <v/>
      </c>
      <c r="DR14" s="3">
        <f>ROUND(0.0,2)</f>
        <v/>
      </c>
      <c r="DS14" s="3">
        <f>ROUND(0.0,2)</f>
        <v/>
      </c>
      <c r="DT14" s="3">
        <f>ROUND(0.0,2)</f>
        <v/>
      </c>
      <c r="DU14" s="3">
        <f>ROUND(0.0,2)</f>
        <v/>
      </c>
      <c r="DV14" s="3">
        <f>ROUND(0.0,2)</f>
        <v/>
      </c>
      <c r="DW14" s="4">
        <f>IFERROR((DQ14/DP14),0)</f>
        <v/>
      </c>
      <c r="DX14" s="4">
        <f>IFERROR(((0+DO11+DO12+DO13+DO14)/T2),0)</f>
        <v/>
      </c>
      <c r="DY14" s="5">
        <f>IFERROR(ROUND(DO14/DQ14,2),0)</f>
        <v/>
      </c>
      <c r="DZ14" s="5">
        <f>IFERROR(ROUND(DO14/DR14,2),0)</f>
        <v/>
      </c>
      <c r="EA14" s="2" t="inlineStr">
        <is>
          <t>2023-09-23</t>
        </is>
      </c>
      <c r="EB14" s="5">
        <f>ROUND(0.0,2)</f>
        <v/>
      </c>
      <c r="EC14" s="3">
        <f>ROUND(71.0,2)</f>
        <v/>
      </c>
      <c r="ED14" s="3">
        <f>ROUND(0.0,2)</f>
        <v/>
      </c>
      <c r="EE14" s="3">
        <f>ROUND(1.0,2)</f>
        <v/>
      </c>
      <c r="EF14" s="3">
        <f>ROUND(1.0,2)</f>
        <v/>
      </c>
      <c r="EG14" s="3">
        <f>ROUND(0.0,2)</f>
        <v/>
      </c>
      <c r="EH14" s="3">
        <f>ROUND(0.0,2)</f>
        <v/>
      </c>
      <c r="EI14" s="3">
        <f>ROUND(0.0,2)</f>
        <v/>
      </c>
      <c r="EJ14" s="4">
        <f>IFERROR((ED14/EC14),0)</f>
        <v/>
      </c>
      <c r="EK14" s="4">
        <f>IFERROR(((0+EB11+EB12+EB13+EB14)/T2),0)</f>
        <v/>
      </c>
      <c r="EL14" s="5">
        <f>IFERROR(ROUND(EB14/ED14,2),0)</f>
        <v/>
      </c>
      <c r="EM14" s="5">
        <f>IFERROR(ROUND(EB14/EE14,2),0)</f>
        <v/>
      </c>
      <c r="EN14" s="2" t="inlineStr">
        <is>
          <t>2023-09-23</t>
        </is>
      </c>
      <c r="EO14" s="5">
        <f>ROUND(0.0,2)</f>
        <v/>
      </c>
      <c r="EP14" s="3">
        <f>ROUND(0.0,2)</f>
        <v/>
      </c>
      <c r="EQ14" s="3">
        <f>ROUND(0.0,2)</f>
        <v/>
      </c>
      <c r="ER14" s="3">
        <f>ROUND(0.0,2)</f>
        <v/>
      </c>
      <c r="ES14" s="3">
        <f>ROUND(0.0,2)</f>
        <v/>
      </c>
      <c r="ET14" s="3">
        <f>ROUND(0.0,2)</f>
        <v/>
      </c>
      <c r="EU14" s="3">
        <f>ROUND(0.0,2)</f>
        <v/>
      </c>
      <c r="EV14" s="3">
        <f>ROUND(0.0,2)</f>
        <v/>
      </c>
      <c r="EW14" s="4">
        <f>IFERROR((EQ14/EP14),0)</f>
        <v/>
      </c>
      <c r="EX14" s="4">
        <f>IFERROR(((0+EO11+EO12+EO13+EO14)/T2),0)</f>
        <v/>
      </c>
      <c r="EY14" s="5">
        <f>IFERROR(ROUND(EO14/EQ14,2),0)</f>
        <v/>
      </c>
      <c r="EZ14" s="5">
        <f>IFERROR(ROUND(EO14/ER14,2),0)</f>
        <v/>
      </c>
      <c r="FA14" s="2" t="inlineStr">
        <is>
          <t>2023-09-23</t>
        </is>
      </c>
      <c r="FB14" s="5">
        <f>ROUND(0.0,2)</f>
        <v/>
      </c>
      <c r="FC14" s="3">
        <f>ROUND(0.0,2)</f>
        <v/>
      </c>
      <c r="FD14" s="3">
        <f>ROUND(0.0,2)</f>
        <v/>
      </c>
      <c r="FE14" s="3">
        <f>ROUND(0.0,2)</f>
        <v/>
      </c>
      <c r="FF14" s="3">
        <f>ROUND(0.0,2)</f>
        <v/>
      </c>
      <c r="FG14" s="3">
        <f>ROUND(0.0,2)</f>
        <v/>
      </c>
      <c r="FH14" s="3">
        <f>ROUND(0.0,2)</f>
        <v/>
      </c>
      <c r="FI14" s="3">
        <f>ROUND(0.0,2)</f>
        <v/>
      </c>
      <c r="FJ14" s="4">
        <f>IFERROR((FD14/FC14),0)</f>
        <v/>
      </c>
      <c r="FK14" s="4">
        <f>IFERROR(((0+FB11+FB12+FB13+FB14)/T2),0)</f>
        <v/>
      </c>
      <c r="FL14" s="5">
        <f>IFERROR(ROUND(FB14/FD14,2),0)</f>
        <v/>
      </c>
      <c r="FM14" s="5">
        <f>IFERROR(ROUND(FB14/FE14,2),0)</f>
        <v/>
      </c>
      <c r="FN14" s="2" t="inlineStr">
        <is>
          <t>2023-09-23</t>
        </is>
      </c>
      <c r="FO14" s="5">
        <f>ROUND(0.0,2)</f>
        <v/>
      </c>
      <c r="FP14" s="3">
        <f>ROUND(0.0,2)</f>
        <v/>
      </c>
      <c r="FQ14" s="3">
        <f>ROUND(0.0,2)</f>
        <v/>
      </c>
      <c r="FR14" s="3">
        <f>ROUND(0.0,2)</f>
        <v/>
      </c>
      <c r="FS14" s="3">
        <f>ROUND(0.0,2)</f>
        <v/>
      </c>
      <c r="FT14" s="3">
        <f>ROUND(0.0,2)</f>
        <v/>
      </c>
      <c r="FU14" s="3">
        <f>ROUND(0.0,2)</f>
        <v/>
      </c>
      <c r="FV14" s="3">
        <f>ROUND(0.0,2)</f>
        <v/>
      </c>
      <c r="FW14" s="4">
        <f>IFERROR((FQ14/FP14),0)</f>
        <v/>
      </c>
      <c r="FX14" s="4">
        <f>IFERROR(((0+FO11+FO12+FO13+FO14)/T2),0)</f>
        <v/>
      </c>
      <c r="FY14" s="5">
        <f>IFERROR(ROUND(FO14/FQ14,2),0)</f>
        <v/>
      </c>
      <c r="FZ14" s="5">
        <f>IFERROR(ROUND(FO14/FR14,2),0)</f>
        <v/>
      </c>
      <c r="GA14" s="2" t="inlineStr">
        <is>
          <t>2023-09-23</t>
        </is>
      </c>
      <c r="GB14" s="5">
        <f>ROUND(0.0,2)</f>
        <v/>
      </c>
      <c r="GC14" s="3">
        <f>ROUND(0.0,2)</f>
        <v/>
      </c>
      <c r="GD14" s="3">
        <f>ROUND(0.0,2)</f>
        <v/>
      </c>
      <c r="GE14" s="3">
        <f>ROUND(0.0,2)</f>
        <v/>
      </c>
      <c r="GF14" s="3">
        <f>ROUND(0.0,2)</f>
        <v/>
      </c>
      <c r="GG14" s="3">
        <f>ROUND(0.0,2)</f>
        <v/>
      </c>
      <c r="GH14" s="3">
        <f>ROUND(0.0,2)</f>
        <v/>
      </c>
      <c r="GI14" s="3">
        <f>ROUND(0.0,2)</f>
        <v/>
      </c>
      <c r="GJ14" s="4">
        <f>IFERROR((GD14/GC14),0)</f>
        <v/>
      </c>
      <c r="GK14" s="4">
        <f>IFERROR(((0+GB11+GB12+GB13+GB14)/T2),0)</f>
        <v/>
      </c>
      <c r="GL14" s="5">
        <f>IFERROR(ROUND(GB14/GD14,2),0)</f>
        <v/>
      </c>
      <c r="GM14" s="5">
        <f>IFERROR(ROUND(GB14/GE14,2),0)</f>
        <v/>
      </c>
      <c r="GN14" s="2" t="inlineStr">
        <is>
          <t>2023-09-23</t>
        </is>
      </c>
      <c r="GO14" s="5">
        <f>ROUND(0.0,2)</f>
        <v/>
      </c>
      <c r="GP14" s="3">
        <f>ROUND(0.0,2)</f>
        <v/>
      </c>
      <c r="GQ14" s="3">
        <f>ROUND(0.0,2)</f>
        <v/>
      </c>
      <c r="GR14" s="3">
        <f>ROUND(0.0,2)</f>
        <v/>
      </c>
      <c r="GS14" s="3">
        <f>ROUND(0.0,2)</f>
        <v/>
      </c>
      <c r="GT14" s="3">
        <f>ROUND(0.0,2)</f>
        <v/>
      </c>
      <c r="GU14" s="3">
        <f>ROUND(0.0,2)</f>
        <v/>
      </c>
      <c r="GV14" s="3">
        <f>ROUND(0.0,2)</f>
        <v/>
      </c>
      <c r="GW14" s="4">
        <f>IFERROR((GQ14/GP14),0)</f>
        <v/>
      </c>
      <c r="GX14" s="4">
        <f>IFERROR(((0+GO11+GO12+GO13+GO14)/T2),0)</f>
        <v/>
      </c>
      <c r="GY14" s="5">
        <f>IFERROR(ROUND(GO14/GQ14,2),0)</f>
        <v/>
      </c>
      <c r="GZ14" s="5">
        <f>IFERROR(ROUND(GO14/GR14,2),0)</f>
        <v/>
      </c>
      <c r="HA14" s="2" t="inlineStr">
        <is>
          <t>2023-09-23</t>
        </is>
      </c>
      <c r="HB14" s="5">
        <f>ROUND(0.0,2)</f>
        <v/>
      </c>
      <c r="HC14" s="3">
        <f>ROUND(0.0,2)</f>
        <v/>
      </c>
      <c r="HD14" s="3">
        <f>ROUND(0.0,2)</f>
        <v/>
      </c>
      <c r="HE14" s="3">
        <f>ROUND(0.0,2)</f>
        <v/>
      </c>
      <c r="HF14" s="3">
        <f>ROUND(0.0,2)</f>
        <v/>
      </c>
      <c r="HG14" s="3">
        <f>ROUND(0.0,2)</f>
        <v/>
      </c>
      <c r="HH14" s="3">
        <f>ROUND(0.0,2)</f>
        <v/>
      </c>
      <c r="HI14" s="3">
        <f>ROUND(0.0,2)</f>
        <v/>
      </c>
      <c r="HJ14" s="4">
        <f>IFERROR((HD14/HC14),0)</f>
        <v/>
      </c>
      <c r="HK14" s="4">
        <f>IFERROR(((0+HB11+HB12+HB13+HB14)/T2),0)</f>
        <v/>
      </c>
      <c r="HL14" s="5">
        <f>IFERROR(ROUND(HB14/HD14,2),0)</f>
        <v/>
      </c>
      <c r="HM14" s="5">
        <f>IFERROR(ROUND(HB14/HE14,2),0)</f>
        <v/>
      </c>
      <c r="HN14" s="2" t="inlineStr">
        <is>
          <t>2023-09-23</t>
        </is>
      </c>
      <c r="HO14" s="5">
        <f>ROUND(0.0,2)</f>
        <v/>
      </c>
      <c r="HP14" s="3">
        <f>ROUND(0.0,2)</f>
        <v/>
      </c>
      <c r="HQ14" s="3">
        <f>ROUND(0.0,2)</f>
        <v/>
      </c>
      <c r="HR14" s="3">
        <f>ROUND(0.0,2)</f>
        <v/>
      </c>
      <c r="HS14" s="3">
        <f>ROUND(0.0,2)</f>
        <v/>
      </c>
      <c r="HT14" s="3">
        <f>ROUND(0.0,2)</f>
        <v/>
      </c>
      <c r="HU14" s="3">
        <f>ROUND(0.0,2)</f>
        <v/>
      </c>
      <c r="HV14" s="3">
        <f>ROUND(0.0,2)</f>
        <v/>
      </c>
      <c r="HW14" s="4">
        <f>IFERROR((HQ14/HP14),0)</f>
        <v/>
      </c>
      <c r="HX14" s="4">
        <f>IFERROR(((0+HO11+HO12+HO13+HO14)/T2),0)</f>
        <v/>
      </c>
      <c r="HY14" s="5">
        <f>IFERROR(ROUND(HO14/HQ14,2),0)</f>
        <v/>
      </c>
      <c r="HZ14" s="5">
        <f>IFERROR(ROUND(HO14/HR14,2),0)</f>
        <v/>
      </c>
      <c r="IA14" s="2" t="inlineStr">
        <is>
          <t>2023-09-23</t>
        </is>
      </c>
      <c r="IB14" s="5">
        <f>ROUND(0.0,2)</f>
        <v/>
      </c>
      <c r="IC14" s="3">
        <f>ROUND(0.0,2)</f>
        <v/>
      </c>
      <c r="ID14" s="3">
        <f>ROUND(0.0,2)</f>
        <v/>
      </c>
      <c r="IE14" s="3">
        <f>ROUND(0.0,2)</f>
        <v/>
      </c>
      <c r="IF14" s="3">
        <f>ROUND(0.0,2)</f>
        <v/>
      </c>
      <c r="IG14" s="3">
        <f>ROUND(0.0,2)</f>
        <v/>
      </c>
      <c r="IH14" s="3">
        <f>ROUND(0.0,2)</f>
        <v/>
      </c>
      <c r="II14" s="3">
        <f>ROUND(0.0,2)</f>
        <v/>
      </c>
      <c r="IJ14" s="4">
        <f>IFERROR((ID14/IC14),0)</f>
        <v/>
      </c>
      <c r="IK14" s="4">
        <f>IFERROR(((0+IB11+IB12+IB13+IB14)/T2),0)</f>
        <v/>
      </c>
      <c r="IL14" s="5">
        <f>IFERROR(ROUND(IB14/ID14,2),0)</f>
        <v/>
      </c>
      <c r="IM14" s="5">
        <f>IFERROR(ROUND(IB14/IE14,2),0)</f>
        <v/>
      </c>
      <c r="IN14" s="2" t="inlineStr">
        <is>
          <t>2023-09-23</t>
        </is>
      </c>
      <c r="IO14" s="5">
        <f>ROUND(0.0,2)</f>
        <v/>
      </c>
      <c r="IP14" s="3">
        <f>ROUND(0.0,2)</f>
        <v/>
      </c>
      <c r="IQ14" s="3">
        <f>ROUND(0.0,2)</f>
        <v/>
      </c>
      <c r="IR14" s="3">
        <f>ROUND(0.0,2)</f>
        <v/>
      </c>
      <c r="IS14" s="3">
        <f>ROUND(0.0,2)</f>
        <v/>
      </c>
      <c r="IT14" s="3">
        <f>ROUND(0.0,2)</f>
        <v/>
      </c>
      <c r="IU14" s="3">
        <f>ROUND(0.0,2)</f>
        <v/>
      </c>
      <c r="IV14" s="3">
        <f>ROUND(0.0,2)</f>
        <v/>
      </c>
      <c r="IW14" s="4">
        <f>IFERROR((IQ14/IP14),0)</f>
        <v/>
      </c>
      <c r="IX14" s="4">
        <f>IFERROR(((0+IO11+IO12+IO13+IO14)/T2),0)</f>
        <v/>
      </c>
      <c r="IY14" s="5">
        <f>IFERROR(ROUND(IO14/IQ14,2),0)</f>
        <v/>
      </c>
      <c r="IZ14" s="5">
        <f>IFERROR(ROUND(IO14/IR14,2),0)</f>
        <v/>
      </c>
      <c r="JA14" s="2" t="inlineStr">
        <is>
          <t>2023-09-23</t>
        </is>
      </c>
      <c r="JB14" s="5">
        <f>ROUND(0.0,2)</f>
        <v/>
      </c>
      <c r="JC14" s="3">
        <f>ROUND(0.0,2)</f>
        <v/>
      </c>
      <c r="JD14" s="3">
        <f>ROUND(0.0,2)</f>
        <v/>
      </c>
      <c r="JE14" s="3">
        <f>ROUND(0.0,2)</f>
        <v/>
      </c>
      <c r="JF14" s="3">
        <f>ROUND(0.0,2)</f>
        <v/>
      </c>
      <c r="JG14" s="3">
        <f>ROUND(0.0,2)</f>
        <v/>
      </c>
      <c r="JH14" s="3">
        <f>ROUND(0.0,2)</f>
        <v/>
      </c>
      <c r="JI14" s="3">
        <f>ROUND(0.0,2)</f>
        <v/>
      </c>
      <c r="JJ14" s="4">
        <f>IFERROR((JD14/JC14),0)</f>
        <v/>
      </c>
      <c r="JK14" s="4">
        <f>IFERROR(((0+JB11+JB12+JB13+JB14)/T2),0)</f>
        <v/>
      </c>
      <c r="JL14" s="5">
        <f>IFERROR(ROUND(JB14/JD14,2),0)</f>
        <v/>
      </c>
      <c r="JM14" s="5">
        <f>IFERROR(ROUND(JB14/JE14,2),0)</f>
        <v/>
      </c>
    </row>
    <row r="15">
      <c r="A15" s="2" t="inlineStr">
        <is>
          <t>2023-09-24</t>
        </is>
      </c>
      <c r="B15" s="5">
        <f>ROUND(7.5600000000000005,2)</f>
        <v/>
      </c>
      <c r="C15" s="3">
        <f>ROUND(882.0,2)</f>
        <v/>
      </c>
      <c r="D15" s="3">
        <f>ROUND(27.0,2)</f>
        <v/>
      </c>
      <c r="E15" s="3">
        <f>ROUND(93.0,2)</f>
        <v/>
      </c>
      <c r="F15" s="3">
        <f>ROUND(75.0,2)</f>
        <v/>
      </c>
      <c r="G15" s="3">
        <f>ROUND(29.0,2)</f>
        <v/>
      </c>
      <c r="H15" s="3">
        <f>ROUND(21.0,2)</f>
        <v/>
      </c>
      <c r="I15" s="3">
        <f>ROUND(16.0,2)</f>
        <v/>
      </c>
      <c r="J15" s="4">
        <f>IFERROR((D15/C15),0)</f>
        <v/>
      </c>
      <c r="K15" s="4">
        <f>IFERROR(((0+B11+B12+B13+B14+B15)/T2),0)</f>
        <v/>
      </c>
      <c r="L15" s="5">
        <f>IFERROR(ROUND(B15/D15,2),0)</f>
        <v/>
      </c>
      <c r="M15" s="5">
        <f>IFERROR(ROUND(B15/E15,2),0)</f>
        <v/>
      </c>
      <c r="N15" s="2" t="inlineStr">
        <is>
          <t>2023-09-24</t>
        </is>
      </c>
      <c r="O15" s="5">
        <f>ROUND(0.28,2)</f>
        <v/>
      </c>
      <c r="P15" s="3">
        <f>ROUND(69.0,2)</f>
        <v/>
      </c>
      <c r="Q15" s="3">
        <f>ROUND(1.0,2)</f>
        <v/>
      </c>
      <c r="R15" s="3">
        <f>ROUND(14.0,2)</f>
        <v/>
      </c>
      <c r="S15" s="3">
        <f>ROUND(9.0,2)</f>
        <v/>
      </c>
      <c r="T15" s="3">
        <f>ROUND(4.0,2)</f>
        <v/>
      </c>
      <c r="U15" s="3">
        <f>ROUND(4.0,2)</f>
        <v/>
      </c>
      <c r="V15" s="3">
        <f>ROUND(4.0,2)</f>
        <v/>
      </c>
      <c r="W15" s="4">
        <f>IFERROR((Q15/P15),0)</f>
        <v/>
      </c>
      <c r="X15" s="4">
        <f>IFERROR(((0+O11+O12+O13+O14+O15)/T2),0)</f>
        <v/>
      </c>
      <c r="Y15" s="5">
        <f>IFERROR(ROUND(O15/Q15,2),0)</f>
        <v/>
      </c>
      <c r="Z15" s="5">
        <f>IFERROR(ROUND(O15/R15,2),0)</f>
        <v/>
      </c>
      <c r="AA15" s="2" t="inlineStr">
        <is>
          <t>2023-09-24</t>
        </is>
      </c>
      <c r="AB15" s="5">
        <f>ROUND(0.0,2)</f>
        <v/>
      </c>
      <c r="AC15" s="3">
        <f>ROUND(9.0,2)</f>
        <v/>
      </c>
      <c r="AD15" s="3">
        <f>ROUND(0.0,2)</f>
        <v/>
      </c>
      <c r="AE15" s="3">
        <f>ROUND(0.0,2)</f>
        <v/>
      </c>
      <c r="AF15" s="3">
        <f>ROUND(0.0,2)</f>
        <v/>
      </c>
      <c r="AG15" s="3">
        <f>ROUND(0.0,2)</f>
        <v/>
      </c>
      <c r="AH15" s="3">
        <f>ROUND(0.0,2)</f>
        <v/>
      </c>
      <c r="AI15" s="3">
        <f>ROUND(0.0,2)</f>
        <v/>
      </c>
      <c r="AJ15" s="4">
        <f>IFERROR((AD15/AC15),0)</f>
        <v/>
      </c>
      <c r="AK15" s="4">
        <f>IFERROR(((0+AB11+AB12+AB13+AB14+AB15)/T2),0)</f>
        <v/>
      </c>
      <c r="AL15" s="5">
        <f>IFERROR(ROUND(AB15/AD15,2),0)</f>
        <v/>
      </c>
      <c r="AM15" s="5">
        <f>IFERROR(ROUND(AB15/AE15,2),0)</f>
        <v/>
      </c>
      <c r="AN15" s="2" t="inlineStr">
        <is>
          <t>2023-09-24</t>
        </is>
      </c>
      <c r="AO15" s="5">
        <f>ROUND(0.56,2)</f>
        <v/>
      </c>
      <c r="AP15" s="3">
        <f>ROUND(14.0,2)</f>
        <v/>
      </c>
      <c r="AQ15" s="3">
        <f>ROUND(2.0,2)</f>
        <v/>
      </c>
      <c r="AR15" s="3">
        <f>ROUND(2.0,2)</f>
        <v/>
      </c>
      <c r="AS15" s="3">
        <f>ROUND(2.0,2)</f>
        <v/>
      </c>
      <c r="AT15" s="3">
        <f>ROUND(1.0,2)</f>
        <v/>
      </c>
      <c r="AU15" s="3">
        <f>ROUND(0.0,2)</f>
        <v/>
      </c>
      <c r="AV15" s="3">
        <f>ROUND(0.0,2)</f>
        <v/>
      </c>
      <c r="AW15" s="4">
        <f>IFERROR((AQ15/AP15),0)</f>
        <v/>
      </c>
      <c r="AX15" s="4">
        <f>IFERROR(((0+AO11+AO12+AO13+AO14+AO15)/T2),0)</f>
        <v/>
      </c>
      <c r="AY15" s="5">
        <f>IFERROR(ROUND(AO15/AQ15,2),0)</f>
        <v/>
      </c>
      <c r="AZ15" s="5">
        <f>IFERROR(ROUND(AO15/AR15,2),0)</f>
        <v/>
      </c>
      <c r="BA15" s="2" t="inlineStr">
        <is>
          <t>2023-09-24</t>
        </is>
      </c>
      <c r="BB15" s="5">
        <f>ROUND(0.0,2)</f>
        <v/>
      </c>
      <c r="BC15" s="3">
        <f>ROUND(19.0,2)</f>
        <v/>
      </c>
      <c r="BD15" s="3">
        <f>ROUND(0.0,2)</f>
        <v/>
      </c>
      <c r="BE15" s="3">
        <f>ROUND(0.0,2)</f>
        <v/>
      </c>
      <c r="BF15" s="3">
        <f>ROUND(0.0,2)</f>
        <v/>
      </c>
      <c r="BG15" s="3">
        <f>ROUND(0.0,2)</f>
        <v/>
      </c>
      <c r="BH15" s="3">
        <f>ROUND(0.0,2)</f>
        <v/>
      </c>
      <c r="BI15" s="3">
        <f>ROUND(0.0,2)</f>
        <v/>
      </c>
      <c r="BJ15" s="4">
        <f>IFERROR((BD15/BC15),0)</f>
        <v/>
      </c>
      <c r="BK15" s="4">
        <f>IFERROR(((0+BB11+BB12+BB13+BB14+BB15)/T2),0)</f>
        <v/>
      </c>
      <c r="BL15" s="5">
        <f>IFERROR(ROUND(BB15/BD15,2),0)</f>
        <v/>
      </c>
      <c r="BM15" s="5">
        <f>IFERROR(ROUND(BB15/BE15,2),0)</f>
        <v/>
      </c>
      <c r="BN15" s="2" t="inlineStr">
        <is>
          <t>2023-09-24</t>
        </is>
      </c>
      <c r="BO15" s="5">
        <f>ROUND(0.56,2)</f>
        <v/>
      </c>
      <c r="BP15" s="3">
        <f>ROUND(51.0,2)</f>
        <v/>
      </c>
      <c r="BQ15" s="3">
        <f>ROUND(2.0,2)</f>
        <v/>
      </c>
      <c r="BR15" s="3">
        <f>ROUND(12.0,2)</f>
        <v/>
      </c>
      <c r="BS15" s="3">
        <f>ROUND(10.0,2)</f>
        <v/>
      </c>
      <c r="BT15" s="3">
        <f>ROUND(5.0,2)</f>
        <v/>
      </c>
      <c r="BU15" s="3">
        <f>ROUND(4.0,2)</f>
        <v/>
      </c>
      <c r="BV15" s="3">
        <f>ROUND(3.0,2)</f>
        <v/>
      </c>
      <c r="BW15" s="4">
        <f>IFERROR((BQ15/BP15),0)</f>
        <v/>
      </c>
      <c r="BX15" s="4">
        <f>IFERROR(((0+BO11+BO12+BO13+BO14+BO15)/T2),0)</f>
        <v/>
      </c>
      <c r="BY15" s="5">
        <f>IFERROR(ROUND(BO15/BQ15,2),0)</f>
        <v/>
      </c>
      <c r="BZ15" s="5">
        <f>IFERROR(ROUND(BO15/BR15,2),0)</f>
        <v/>
      </c>
      <c r="CA15" s="2" t="inlineStr">
        <is>
          <t>2023-09-24</t>
        </is>
      </c>
      <c r="CB15" s="5">
        <f>ROUND(1.12,2)</f>
        <v/>
      </c>
      <c r="CC15" s="3">
        <f>ROUND(113.0,2)</f>
        <v/>
      </c>
      <c r="CD15" s="3">
        <f>ROUND(4.0,2)</f>
        <v/>
      </c>
      <c r="CE15" s="3">
        <f>ROUND(13.0,2)</f>
        <v/>
      </c>
      <c r="CF15" s="3">
        <f>ROUND(9.0,2)</f>
        <v/>
      </c>
      <c r="CG15" s="3">
        <f>ROUND(3.0,2)</f>
        <v/>
      </c>
      <c r="CH15" s="3">
        <f>ROUND(2.0,2)</f>
        <v/>
      </c>
      <c r="CI15" s="3">
        <f>ROUND(1.0,2)</f>
        <v/>
      </c>
      <c r="CJ15" s="4">
        <f>IFERROR((CD15/CC15),0)</f>
        <v/>
      </c>
      <c r="CK15" s="4">
        <f>IFERROR(((0+CB11+CB12+CB13+CB14+CB15)/T2),0)</f>
        <v/>
      </c>
      <c r="CL15" s="5">
        <f>IFERROR(ROUND(CB15/CD15,2),0)</f>
        <v/>
      </c>
      <c r="CM15" s="5">
        <f>IFERROR(ROUND(CB15/CE15,2),0)</f>
        <v/>
      </c>
      <c r="CN15" s="2" t="inlineStr">
        <is>
          <t>2023-09-24</t>
        </is>
      </c>
      <c r="CO15" s="5">
        <f>ROUND(0.28,2)</f>
        <v/>
      </c>
      <c r="CP15" s="3">
        <f>ROUND(5.0,2)</f>
        <v/>
      </c>
      <c r="CQ15" s="3">
        <f>ROUND(1.0,2)</f>
        <v/>
      </c>
      <c r="CR15" s="3">
        <f>ROUND(2.0,2)</f>
        <v/>
      </c>
      <c r="CS15" s="3">
        <f>ROUND(2.0,2)</f>
        <v/>
      </c>
      <c r="CT15" s="3">
        <f>ROUND(1.0,2)</f>
        <v/>
      </c>
      <c r="CU15" s="3">
        <f>ROUND(1.0,2)</f>
        <v/>
      </c>
      <c r="CV15" s="3">
        <f>ROUND(1.0,2)</f>
        <v/>
      </c>
      <c r="CW15" s="4">
        <f>IFERROR((CQ15/CP15),0)</f>
        <v/>
      </c>
      <c r="CX15" s="4">
        <f>IFERROR(((0+CO11+CO12+CO13+CO14+CO15)/T2),0)</f>
        <v/>
      </c>
      <c r="CY15" s="5">
        <f>IFERROR(ROUND(CO15/CQ15,2),0)</f>
        <v/>
      </c>
      <c r="CZ15" s="5">
        <f>IFERROR(ROUND(CO15/CR15,2),0)</f>
        <v/>
      </c>
      <c r="DA15" s="2" t="inlineStr">
        <is>
          <t>2023-09-24</t>
        </is>
      </c>
      <c r="DB15" s="5">
        <f>ROUND(0.56,2)</f>
        <v/>
      </c>
      <c r="DC15" s="3">
        <f>ROUND(67.0,2)</f>
        <v/>
      </c>
      <c r="DD15" s="3">
        <f>ROUND(2.0,2)</f>
        <v/>
      </c>
      <c r="DE15" s="3">
        <f>ROUND(11.0,2)</f>
        <v/>
      </c>
      <c r="DF15" s="3">
        <f>ROUND(10.0,2)</f>
        <v/>
      </c>
      <c r="DG15" s="3">
        <f>ROUND(4.0,2)</f>
        <v/>
      </c>
      <c r="DH15" s="3">
        <f>ROUND(3.0,2)</f>
        <v/>
      </c>
      <c r="DI15" s="3">
        <f>ROUND(2.0,2)</f>
        <v/>
      </c>
      <c r="DJ15" s="4">
        <f>IFERROR((DD15/DC15),0)</f>
        <v/>
      </c>
      <c r="DK15" s="4">
        <f>IFERROR(((0+DB11+DB12+DB13+DB14+DB15)/T2),0)</f>
        <v/>
      </c>
      <c r="DL15" s="5">
        <f>IFERROR(ROUND(DB15/DD15,2),0)</f>
        <v/>
      </c>
      <c r="DM15" s="5">
        <f>IFERROR(ROUND(DB15/DE15,2),0)</f>
        <v/>
      </c>
      <c r="DN15" s="2" t="inlineStr">
        <is>
          <t>2023-09-24</t>
        </is>
      </c>
      <c r="DO15" s="5">
        <f>ROUND(0.28,2)</f>
        <v/>
      </c>
      <c r="DP15" s="3">
        <f>ROUND(7.0,2)</f>
        <v/>
      </c>
      <c r="DQ15" s="3">
        <f>ROUND(1.0,2)</f>
        <v/>
      </c>
      <c r="DR15" s="3">
        <f>ROUND(1.0,2)</f>
        <v/>
      </c>
      <c r="DS15" s="3">
        <f>ROUND(1.0,2)</f>
        <v/>
      </c>
      <c r="DT15" s="3">
        <f>ROUND(0.0,2)</f>
        <v/>
      </c>
      <c r="DU15" s="3">
        <f>ROUND(0.0,2)</f>
        <v/>
      </c>
      <c r="DV15" s="3">
        <f>ROUND(0.0,2)</f>
        <v/>
      </c>
      <c r="DW15" s="4">
        <f>IFERROR((DQ15/DP15),0)</f>
        <v/>
      </c>
      <c r="DX15" s="4">
        <f>IFERROR(((0+DO11+DO12+DO13+DO14+DO15)/T2),0)</f>
        <v/>
      </c>
      <c r="DY15" s="5">
        <f>IFERROR(ROUND(DO15/DQ15,2),0)</f>
        <v/>
      </c>
      <c r="DZ15" s="5">
        <f>IFERROR(ROUND(DO15/DR15,2),0)</f>
        <v/>
      </c>
      <c r="EA15" s="2" t="inlineStr">
        <is>
          <t>2023-09-24</t>
        </is>
      </c>
      <c r="EB15" s="5">
        <f>ROUND(3.9200000000000004,2)</f>
        <v/>
      </c>
      <c r="EC15" s="3">
        <f>ROUND(528.0,2)</f>
        <v/>
      </c>
      <c r="ED15" s="3">
        <f>ROUND(14.0,2)</f>
        <v/>
      </c>
      <c r="EE15" s="3">
        <f>ROUND(38.0,2)</f>
        <v/>
      </c>
      <c r="EF15" s="3">
        <f>ROUND(32.0,2)</f>
        <v/>
      </c>
      <c r="EG15" s="3">
        <f>ROUND(11.0,2)</f>
        <v/>
      </c>
      <c r="EH15" s="3">
        <f>ROUND(7.0,2)</f>
        <v/>
      </c>
      <c r="EI15" s="3">
        <f>ROUND(5.0,2)</f>
        <v/>
      </c>
      <c r="EJ15" s="4">
        <f>IFERROR((ED15/EC15),0)</f>
        <v/>
      </c>
      <c r="EK15" s="4">
        <f>IFERROR(((0+EB11+EB12+EB13+EB14+EB15)/T2),0)</f>
        <v/>
      </c>
      <c r="EL15" s="5">
        <f>IFERROR(ROUND(EB15/ED15,2),0)</f>
        <v/>
      </c>
      <c r="EM15" s="5">
        <f>IFERROR(ROUND(EB15/EE15,2),0)</f>
        <v/>
      </c>
      <c r="EN15" s="2" t="inlineStr">
        <is>
          <t>2023-09-24</t>
        </is>
      </c>
      <c r="EO15" s="5">
        <f>ROUND(0.0,2)</f>
        <v/>
      </c>
      <c r="EP15" s="3">
        <f>ROUND(0.0,2)</f>
        <v/>
      </c>
      <c r="EQ15" s="3">
        <f>ROUND(0.0,2)</f>
        <v/>
      </c>
      <c r="ER15" s="3">
        <f>ROUND(0.0,2)</f>
        <v/>
      </c>
      <c r="ES15" s="3">
        <f>ROUND(0.0,2)</f>
        <v/>
      </c>
      <c r="ET15" s="3">
        <f>ROUND(0.0,2)</f>
        <v/>
      </c>
      <c r="EU15" s="3">
        <f>ROUND(0.0,2)</f>
        <v/>
      </c>
      <c r="EV15" s="3">
        <f>ROUND(0.0,2)</f>
        <v/>
      </c>
      <c r="EW15" s="4">
        <f>IFERROR((EQ15/EP15),0)</f>
        <v/>
      </c>
      <c r="EX15" s="4">
        <f>IFERROR(((0+EO11+EO12+EO13+EO14+EO15)/T2),0)</f>
        <v/>
      </c>
      <c r="EY15" s="5">
        <f>IFERROR(ROUND(EO15/EQ15,2),0)</f>
        <v/>
      </c>
      <c r="EZ15" s="5">
        <f>IFERROR(ROUND(EO15/ER15,2),0)</f>
        <v/>
      </c>
      <c r="FA15" s="2" t="inlineStr">
        <is>
          <t>2023-09-24</t>
        </is>
      </c>
      <c r="FB15" s="5">
        <f>ROUND(0.0,2)</f>
        <v/>
      </c>
      <c r="FC15" s="3">
        <f>ROUND(0.0,2)</f>
        <v/>
      </c>
      <c r="FD15" s="3">
        <f>ROUND(0.0,2)</f>
        <v/>
      </c>
      <c r="FE15" s="3">
        <f>ROUND(0.0,2)</f>
        <v/>
      </c>
      <c r="FF15" s="3">
        <f>ROUND(0.0,2)</f>
        <v/>
      </c>
      <c r="FG15" s="3">
        <f>ROUND(0.0,2)</f>
        <v/>
      </c>
      <c r="FH15" s="3">
        <f>ROUND(0.0,2)</f>
        <v/>
      </c>
      <c r="FI15" s="3">
        <f>ROUND(0.0,2)</f>
        <v/>
      </c>
      <c r="FJ15" s="4">
        <f>IFERROR((FD15/FC15),0)</f>
        <v/>
      </c>
      <c r="FK15" s="4">
        <f>IFERROR(((0+FB11+FB12+FB13+FB14+FB15)/T2),0)</f>
        <v/>
      </c>
      <c r="FL15" s="5">
        <f>IFERROR(ROUND(FB15/FD15,2),0)</f>
        <v/>
      </c>
      <c r="FM15" s="5">
        <f>IFERROR(ROUND(FB15/FE15,2),0)</f>
        <v/>
      </c>
      <c r="FN15" s="2" t="inlineStr">
        <is>
          <t>2023-09-24</t>
        </is>
      </c>
      <c r="FO15" s="5">
        <f>ROUND(0.0,2)</f>
        <v/>
      </c>
      <c r="FP15" s="3">
        <f>ROUND(0.0,2)</f>
        <v/>
      </c>
      <c r="FQ15" s="3">
        <f>ROUND(0.0,2)</f>
        <v/>
      </c>
      <c r="FR15" s="3">
        <f>ROUND(0.0,2)</f>
        <v/>
      </c>
      <c r="FS15" s="3">
        <f>ROUND(0.0,2)</f>
        <v/>
      </c>
      <c r="FT15" s="3">
        <f>ROUND(0.0,2)</f>
        <v/>
      </c>
      <c r="FU15" s="3">
        <f>ROUND(0.0,2)</f>
        <v/>
      </c>
      <c r="FV15" s="3">
        <f>ROUND(0.0,2)</f>
        <v/>
      </c>
      <c r="FW15" s="4">
        <f>IFERROR((FQ15/FP15),0)</f>
        <v/>
      </c>
      <c r="FX15" s="4">
        <f>IFERROR(((0+FO11+FO12+FO13+FO14+FO15)/T2),0)</f>
        <v/>
      </c>
      <c r="FY15" s="5">
        <f>IFERROR(ROUND(FO15/FQ15,2),0)</f>
        <v/>
      </c>
      <c r="FZ15" s="5">
        <f>IFERROR(ROUND(FO15/FR15,2),0)</f>
        <v/>
      </c>
      <c r="GA15" s="2" t="inlineStr">
        <is>
          <t>2023-09-24</t>
        </is>
      </c>
      <c r="GB15" s="5">
        <f>ROUND(0.0,2)</f>
        <v/>
      </c>
      <c r="GC15" s="3">
        <f>ROUND(0.0,2)</f>
        <v/>
      </c>
      <c r="GD15" s="3">
        <f>ROUND(0.0,2)</f>
        <v/>
      </c>
      <c r="GE15" s="3">
        <f>ROUND(0.0,2)</f>
        <v/>
      </c>
      <c r="GF15" s="3">
        <f>ROUND(0.0,2)</f>
        <v/>
      </c>
      <c r="GG15" s="3">
        <f>ROUND(0.0,2)</f>
        <v/>
      </c>
      <c r="GH15" s="3">
        <f>ROUND(0.0,2)</f>
        <v/>
      </c>
      <c r="GI15" s="3">
        <f>ROUND(0.0,2)</f>
        <v/>
      </c>
      <c r="GJ15" s="4">
        <f>IFERROR((GD15/GC15),0)</f>
        <v/>
      </c>
      <c r="GK15" s="4">
        <f>IFERROR(((0+GB11+GB12+GB13+GB14+GB15)/T2),0)</f>
        <v/>
      </c>
      <c r="GL15" s="5">
        <f>IFERROR(ROUND(GB15/GD15,2),0)</f>
        <v/>
      </c>
      <c r="GM15" s="5">
        <f>IFERROR(ROUND(GB15/GE15,2),0)</f>
        <v/>
      </c>
      <c r="GN15" s="2" t="inlineStr">
        <is>
          <t>2023-09-24</t>
        </is>
      </c>
      <c r="GO15" s="5">
        <f>ROUND(0.0,2)</f>
        <v/>
      </c>
      <c r="GP15" s="3">
        <f>ROUND(0.0,2)</f>
        <v/>
      </c>
      <c r="GQ15" s="3">
        <f>ROUND(0.0,2)</f>
        <v/>
      </c>
      <c r="GR15" s="3">
        <f>ROUND(0.0,2)</f>
        <v/>
      </c>
      <c r="GS15" s="3">
        <f>ROUND(0.0,2)</f>
        <v/>
      </c>
      <c r="GT15" s="3">
        <f>ROUND(0.0,2)</f>
        <v/>
      </c>
      <c r="GU15" s="3">
        <f>ROUND(0.0,2)</f>
        <v/>
      </c>
      <c r="GV15" s="3">
        <f>ROUND(0.0,2)</f>
        <v/>
      </c>
      <c r="GW15" s="4">
        <f>IFERROR((GQ15/GP15),0)</f>
        <v/>
      </c>
      <c r="GX15" s="4">
        <f>IFERROR(((0+GO11+GO12+GO13+GO14+GO15)/T2),0)</f>
        <v/>
      </c>
      <c r="GY15" s="5">
        <f>IFERROR(ROUND(GO15/GQ15,2),0)</f>
        <v/>
      </c>
      <c r="GZ15" s="5">
        <f>IFERROR(ROUND(GO15/GR15,2),0)</f>
        <v/>
      </c>
      <c r="HA15" s="2" t="inlineStr">
        <is>
          <t>2023-09-24</t>
        </is>
      </c>
      <c r="HB15" s="5">
        <f>ROUND(0.0,2)</f>
        <v/>
      </c>
      <c r="HC15" s="3">
        <f>ROUND(0.0,2)</f>
        <v/>
      </c>
      <c r="HD15" s="3">
        <f>ROUND(0.0,2)</f>
        <v/>
      </c>
      <c r="HE15" s="3">
        <f>ROUND(0.0,2)</f>
        <v/>
      </c>
      <c r="HF15" s="3">
        <f>ROUND(0.0,2)</f>
        <v/>
      </c>
      <c r="HG15" s="3">
        <f>ROUND(0.0,2)</f>
        <v/>
      </c>
      <c r="HH15" s="3">
        <f>ROUND(0.0,2)</f>
        <v/>
      </c>
      <c r="HI15" s="3">
        <f>ROUND(0.0,2)</f>
        <v/>
      </c>
      <c r="HJ15" s="4">
        <f>IFERROR((HD15/HC15),0)</f>
        <v/>
      </c>
      <c r="HK15" s="4">
        <f>IFERROR(((0+HB11+HB12+HB13+HB14+HB15)/T2),0)</f>
        <v/>
      </c>
      <c r="HL15" s="5">
        <f>IFERROR(ROUND(HB15/HD15,2),0)</f>
        <v/>
      </c>
      <c r="HM15" s="5">
        <f>IFERROR(ROUND(HB15/HE15,2),0)</f>
        <v/>
      </c>
      <c r="HN15" s="2" t="inlineStr">
        <is>
          <t>2023-09-24</t>
        </is>
      </c>
      <c r="HO15" s="5">
        <f>ROUND(0.0,2)</f>
        <v/>
      </c>
      <c r="HP15" s="3">
        <f>ROUND(0.0,2)</f>
        <v/>
      </c>
      <c r="HQ15" s="3">
        <f>ROUND(0.0,2)</f>
        <v/>
      </c>
      <c r="HR15" s="3">
        <f>ROUND(0.0,2)</f>
        <v/>
      </c>
      <c r="HS15" s="3">
        <f>ROUND(0.0,2)</f>
        <v/>
      </c>
      <c r="HT15" s="3">
        <f>ROUND(0.0,2)</f>
        <v/>
      </c>
      <c r="HU15" s="3">
        <f>ROUND(0.0,2)</f>
        <v/>
      </c>
      <c r="HV15" s="3">
        <f>ROUND(0.0,2)</f>
        <v/>
      </c>
      <c r="HW15" s="4">
        <f>IFERROR((HQ15/HP15),0)</f>
        <v/>
      </c>
      <c r="HX15" s="4">
        <f>IFERROR(((0+HO11+HO12+HO13+HO14+HO15)/T2),0)</f>
        <v/>
      </c>
      <c r="HY15" s="5">
        <f>IFERROR(ROUND(HO15/HQ15,2),0)</f>
        <v/>
      </c>
      <c r="HZ15" s="5">
        <f>IFERROR(ROUND(HO15/HR15,2),0)</f>
        <v/>
      </c>
      <c r="IA15" s="2" t="inlineStr">
        <is>
          <t>2023-09-24</t>
        </is>
      </c>
      <c r="IB15" s="5">
        <f>ROUND(0.0,2)</f>
        <v/>
      </c>
      <c r="IC15" s="3">
        <f>ROUND(0.0,2)</f>
        <v/>
      </c>
      <c r="ID15" s="3">
        <f>ROUND(0.0,2)</f>
        <v/>
      </c>
      <c r="IE15" s="3">
        <f>ROUND(0.0,2)</f>
        <v/>
      </c>
      <c r="IF15" s="3">
        <f>ROUND(0.0,2)</f>
        <v/>
      </c>
      <c r="IG15" s="3">
        <f>ROUND(0.0,2)</f>
        <v/>
      </c>
      <c r="IH15" s="3">
        <f>ROUND(0.0,2)</f>
        <v/>
      </c>
      <c r="II15" s="3">
        <f>ROUND(0.0,2)</f>
        <v/>
      </c>
      <c r="IJ15" s="4">
        <f>IFERROR((ID15/IC15),0)</f>
        <v/>
      </c>
      <c r="IK15" s="4">
        <f>IFERROR(((0+IB11+IB12+IB13+IB14+IB15)/T2),0)</f>
        <v/>
      </c>
      <c r="IL15" s="5">
        <f>IFERROR(ROUND(IB15/ID15,2),0)</f>
        <v/>
      </c>
      <c r="IM15" s="5">
        <f>IFERROR(ROUND(IB15/IE15,2),0)</f>
        <v/>
      </c>
      <c r="IN15" s="2" t="inlineStr">
        <is>
          <t>2023-09-24</t>
        </is>
      </c>
      <c r="IO15" s="5">
        <f>ROUND(0.0,2)</f>
        <v/>
      </c>
      <c r="IP15" s="3">
        <f>ROUND(0.0,2)</f>
        <v/>
      </c>
      <c r="IQ15" s="3">
        <f>ROUND(0.0,2)</f>
        <v/>
      </c>
      <c r="IR15" s="3">
        <f>ROUND(0.0,2)</f>
        <v/>
      </c>
      <c r="IS15" s="3">
        <f>ROUND(0.0,2)</f>
        <v/>
      </c>
      <c r="IT15" s="3">
        <f>ROUND(0.0,2)</f>
        <v/>
      </c>
      <c r="IU15" s="3">
        <f>ROUND(0.0,2)</f>
        <v/>
      </c>
      <c r="IV15" s="3">
        <f>ROUND(0.0,2)</f>
        <v/>
      </c>
      <c r="IW15" s="4">
        <f>IFERROR((IQ15/IP15),0)</f>
        <v/>
      </c>
      <c r="IX15" s="4">
        <f>IFERROR(((0+IO11+IO12+IO13+IO14+IO15)/T2),0)</f>
        <v/>
      </c>
      <c r="IY15" s="5">
        <f>IFERROR(ROUND(IO15/IQ15,2),0)</f>
        <v/>
      </c>
      <c r="IZ15" s="5">
        <f>IFERROR(ROUND(IO15/IR15,2),0)</f>
        <v/>
      </c>
      <c r="JA15" s="2" t="inlineStr">
        <is>
          <t>2023-09-24</t>
        </is>
      </c>
      <c r="JB15" s="5">
        <f>ROUND(0.0,2)</f>
        <v/>
      </c>
      <c r="JC15" s="3">
        <f>ROUND(0.0,2)</f>
        <v/>
      </c>
      <c r="JD15" s="3">
        <f>ROUND(0.0,2)</f>
        <v/>
      </c>
      <c r="JE15" s="3">
        <f>ROUND(0.0,2)</f>
        <v/>
      </c>
      <c r="JF15" s="3">
        <f>ROUND(0.0,2)</f>
        <v/>
      </c>
      <c r="JG15" s="3">
        <f>ROUND(0.0,2)</f>
        <v/>
      </c>
      <c r="JH15" s="3">
        <f>ROUND(0.0,2)</f>
        <v/>
      </c>
      <c r="JI15" s="3">
        <f>ROUND(0.0,2)</f>
        <v/>
      </c>
      <c r="JJ15" s="4">
        <f>IFERROR((JD15/JC15),0)</f>
        <v/>
      </c>
      <c r="JK15" s="4">
        <f>IFERROR(((0+JB11+JB12+JB13+JB14+JB15)/T2),0)</f>
        <v/>
      </c>
      <c r="JL15" s="5">
        <f>IFERROR(ROUND(JB15/JD15,2),0)</f>
        <v/>
      </c>
      <c r="JM15" s="5">
        <f>IFERROR(ROUND(JB15/JE15,2),0)</f>
        <v/>
      </c>
    </row>
    <row r="16">
      <c r="A16" s="2" t="inlineStr">
        <is>
          <t>2023-09-25</t>
        </is>
      </c>
      <c r="B16" s="5">
        <f>ROUND(54.88000000000001,2)</f>
        <v/>
      </c>
      <c r="C16" s="3">
        <f>ROUND(6795.0,2)</f>
        <v/>
      </c>
      <c r="D16" s="3">
        <f>ROUND(196.0,2)</f>
        <v/>
      </c>
      <c r="E16" s="3">
        <f>ROUND(849.0,2)</f>
        <v/>
      </c>
      <c r="F16" s="3">
        <f>ROUND(704.0,2)</f>
        <v/>
      </c>
      <c r="G16" s="3">
        <f>ROUND(269.0,2)</f>
        <v/>
      </c>
      <c r="H16" s="3">
        <f>ROUND(174.0,2)</f>
        <v/>
      </c>
      <c r="I16" s="3">
        <f>ROUND(120.0,2)</f>
        <v/>
      </c>
      <c r="J16" s="4">
        <f>IFERROR((D16/C16),0)</f>
        <v/>
      </c>
      <c r="K16" s="4">
        <f>IFERROR(((0+B11+B12+B13+B14+B15+B16)/T2),0)</f>
        <v/>
      </c>
      <c r="L16" s="5">
        <f>IFERROR(ROUND(B16/D16,2),0)</f>
        <v/>
      </c>
      <c r="M16" s="5">
        <f>IFERROR(ROUND(B16/E16,2),0)</f>
        <v/>
      </c>
      <c r="N16" s="2" t="inlineStr">
        <is>
          <t>2023-09-25</t>
        </is>
      </c>
      <c r="O16" s="5">
        <f>ROUND(6.440000000000001,2)</f>
        <v/>
      </c>
      <c r="P16" s="3">
        <f>ROUND(870.0,2)</f>
        <v/>
      </c>
      <c r="Q16" s="3">
        <f>ROUND(23.0,2)</f>
        <v/>
      </c>
      <c r="R16" s="3">
        <f>ROUND(169.0,2)</f>
        <v/>
      </c>
      <c r="S16" s="3">
        <f>ROUND(129.0,2)</f>
        <v/>
      </c>
      <c r="T16" s="3">
        <f>ROUND(66.0,2)</f>
        <v/>
      </c>
      <c r="U16" s="3">
        <f>ROUND(48.0,2)</f>
        <v/>
      </c>
      <c r="V16" s="3">
        <f>ROUND(38.0,2)</f>
        <v/>
      </c>
      <c r="W16" s="4">
        <f>IFERROR((Q16/P16),0)</f>
        <v/>
      </c>
      <c r="X16" s="4">
        <f>IFERROR(((0+O11+O12+O13+O14+O15+O16)/T2),0)</f>
        <v/>
      </c>
      <c r="Y16" s="5">
        <f>IFERROR(ROUND(O16/Q16,2),0)</f>
        <v/>
      </c>
      <c r="Z16" s="5">
        <f>IFERROR(ROUND(O16/R16,2),0)</f>
        <v/>
      </c>
      <c r="AA16" s="2" t="inlineStr">
        <is>
          <t>2023-09-25</t>
        </is>
      </c>
      <c r="AB16" s="5">
        <f>ROUND(1.6800000000000002,2)</f>
        <v/>
      </c>
      <c r="AC16" s="3">
        <f>ROUND(260.0,2)</f>
        <v/>
      </c>
      <c r="AD16" s="3">
        <f>ROUND(6.0,2)</f>
        <v/>
      </c>
      <c r="AE16" s="3">
        <f>ROUND(12.0,2)</f>
        <v/>
      </c>
      <c r="AF16" s="3">
        <f>ROUND(8.0,2)</f>
        <v/>
      </c>
      <c r="AG16" s="3">
        <f>ROUND(3.0,2)</f>
        <v/>
      </c>
      <c r="AH16" s="3">
        <f>ROUND(3.0,2)</f>
        <v/>
      </c>
      <c r="AI16" s="3">
        <f>ROUND(2.0,2)</f>
        <v/>
      </c>
      <c r="AJ16" s="4">
        <f>IFERROR((AD16/AC16),0)</f>
        <v/>
      </c>
      <c r="AK16" s="4">
        <f>IFERROR(((0+AB11+AB12+AB13+AB14+AB15+AB16)/T2),0)</f>
        <v/>
      </c>
      <c r="AL16" s="5">
        <f>IFERROR(ROUND(AB16/AD16,2),0)</f>
        <v/>
      </c>
      <c r="AM16" s="5">
        <f>IFERROR(ROUND(AB16/AE16,2),0)</f>
        <v/>
      </c>
      <c r="AN16" s="2" t="inlineStr">
        <is>
          <t>2023-09-25</t>
        </is>
      </c>
      <c r="AO16" s="5">
        <f>ROUND(0.8400000000000001,2)</f>
        <v/>
      </c>
      <c r="AP16" s="3">
        <f>ROUND(110.0,2)</f>
        <v/>
      </c>
      <c r="AQ16" s="3">
        <f>ROUND(3.0,2)</f>
        <v/>
      </c>
      <c r="AR16" s="3">
        <f>ROUND(21.0,2)</f>
        <v/>
      </c>
      <c r="AS16" s="3">
        <f>ROUND(18.0,2)</f>
        <v/>
      </c>
      <c r="AT16" s="3">
        <f>ROUND(8.0,2)</f>
        <v/>
      </c>
      <c r="AU16" s="3">
        <f>ROUND(5.0,2)</f>
        <v/>
      </c>
      <c r="AV16" s="3">
        <f>ROUND(4.0,2)</f>
        <v/>
      </c>
      <c r="AW16" s="4">
        <f>IFERROR((AQ16/AP16),0)</f>
        <v/>
      </c>
      <c r="AX16" s="4">
        <f>IFERROR(((0+AO11+AO12+AO13+AO14+AO15+AO16)/T2),0)</f>
        <v/>
      </c>
      <c r="AY16" s="5">
        <f>IFERROR(ROUND(AO16/AQ16,2),0)</f>
        <v/>
      </c>
      <c r="AZ16" s="5">
        <f>IFERROR(ROUND(AO16/AR16,2),0)</f>
        <v/>
      </c>
      <c r="BA16" s="2" t="inlineStr">
        <is>
          <t>2023-09-25</t>
        </is>
      </c>
      <c r="BB16" s="5">
        <f>ROUND(0.8400000000000001,2)</f>
        <v/>
      </c>
      <c r="BC16" s="3">
        <f>ROUND(175.0,2)</f>
        <v/>
      </c>
      <c r="BD16" s="3">
        <f>ROUND(3.0,2)</f>
        <v/>
      </c>
      <c r="BE16" s="3">
        <f>ROUND(17.0,2)</f>
        <v/>
      </c>
      <c r="BF16" s="3">
        <f>ROUND(14.0,2)</f>
        <v/>
      </c>
      <c r="BG16" s="3">
        <f>ROUND(5.0,2)</f>
        <v/>
      </c>
      <c r="BH16" s="3">
        <f>ROUND(3.0,2)</f>
        <v/>
      </c>
      <c r="BI16" s="3">
        <f>ROUND(2.0,2)</f>
        <v/>
      </c>
      <c r="BJ16" s="4">
        <f>IFERROR((BD16/BC16),0)</f>
        <v/>
      </c>
      <c r="BK16" s="4">
        <f>IFERROR(((0+BB11+BB12+BB13+BB14+BB15+BB16)/T2),0)</f>
        <v/>
      </c>
      <c r="BL16" s="5">
        <f>IFERROR(ROUND(BB16/BD16,2),0)</f>
        <v/>
      </c>
      <c r="BM16" s="5">
        <f>IFERROR(ROUND(BB16/BE16,2),0)</f>
        <v/>
      </c>
      <c r="BN16" s="2" t="inlineStr">
        <is>
          <t>2023-09-25</t>
        </is>
      </c>
      <c r="BO16" s="5">
        <f>ROUND(2.8000000000000003,2)</f>
        <v/>
      </c>
      <c r="BP16" s="3">
        <f>ROUND(399.0,2)</f>
        <v/>
      </c>
      <c r="BQ16" s="3">
        <f>ROUND(10.0,2)</f>
        <v/>
      </c>
      <c r="BR16" s="3">
        <f>ROUND(38.0,2)</f>
        <v/>
      </c>
      <c r="BS16" s="3">
        <f>ROUND(30.0,2)</f>
        <v/>
      </c>
      <c r="BT16" s="3">
        <f>ROUND(14.0,2)</f>
        <v/>
      </c>
      <c r="BU16" s="3">
        <f>ROUND(10.0,2)</f>
        <v/>
      </c>
      <c r="BV16" s="3">
        <f>ROUND(8.0,2)</f>
        <v/>
      </c>
      <c r="BW16" s="4">
        <f>IFERROR((BQ16/BP16),0)</f>
        <v/>
      </c>
      <c r="BX16" s="4">
        <f>IFERROR(((0+BO11+BO12+BO13+BO14+BO15+BO16)/T2),0)</f>
        <v/>
      </c>
      <c r="BY16" s="5">
        <f>IFERROR(ROUND(BO16/BQ16,2),0)</f>
        <v/>
      </c>
      <c r="BZ16" s="5">
        <f>IFERROR(ROUND(BO16/BR16,2),0)</f>
        <v/>
      </c>
      <c r="CA16" s="2" t="inlineStr">
        <is>
          <t>2023-09-25</t>
        </is>
      </c>
      <c r="CB16" s="5">
        <f>ROUND(39.2,2)</f>
        <v/>
      </c>
      <c r="CC16" s="3">
        <f>ROUND(4274.0,2)</f>
        <v/>
      </c>
      <c r="CD16" s="3">
        <f>ROUND(140.0,2)</f>
        <v/>
      </c>
      <c r="CE16" s="3">
        <f>ROUND(522.0,2)</f>
        <v/>
      </c>
      <c r="CF16" s="3">
        <f>ROUND(448.0,2)</f>
        <v/>
      </c>
      <c r="CG16" s="3">
        <f>ROUND(144.0,2)</f>
        <v/>
      </c>
      <c r="CH16" s="3">
        <f>ROUND(82.0,2)</f>
        <v/>
      </c>
      <c r="CI16" s="3">
        <f>ROUND(49.0,2)</f>
        <v/>
      </c>
      <c r="CJ16" s="4">
        <f>IFERROR((CD16/CC16),0)</f>
        <v/>
      </c>
      <c r="CK16" s="4">
        <f>IFERROR(((0+CB11+CB12+CB13+CB14+CB15+CB16)/T2),0)</f>
        <v/>
      </c>
      <c r="CL16" s="5">
        <f>IFERROR(ROUND(CB16/CD16,2),0)</f>
        <v/>
      </c>
      <c r="CM16" s="5">
        <f>IFERROR(ROUND(CB16/CE16,2),0)</f>
        <v/>
      </c>
      <c r="CN16" s="2" t="inlineStr">
        <is>
          <t>2023-09-25</t>
        </is>
      </c>
      <c r="CO16" s="5">
        <f>ROUND(0.56,2)</f>
        <v/>
      </c>
      <c r="CP16" s="3">
        <f>ROUND(92.0,2)</f>
        <v/>
      </c>
      <c r="CQ16" s="3">
        <f>ROUND(2.0,2)</f>
        <v/>
      </c>
      <c r="CR16" s="3">
        <f>ROUND(7.0,2)</f>
        <v/>
      </c>
      <c r="CS16" s="3">
        <f>ROUND(5.0,2)</f>
        <v/>
      </c>
      <c r="CT16" s="3">
        <f>ROUND(3.0,2)</f>
        <v/>
      </c>
      <c r="CU16" s="3">
        <f>ROUND(3.0,2)</f>
        <v/>
      </c>
      <c r="CV16" s="3">
        <f>ROUND(1.0,2)</f>
        <v/>
      </c>
      <c r="CW16" s="4">
        <f>IFERROR((CQ16/CP16),0)</f>
        <v/>
      </c>
      <c r="CX16" s="4">
        <f>IFERROR(((0+CO11+CO12+CO13+CO14+CO15+CO16)/T2),0)</f>
        <v/>
      </c>
      <c r="CY16" s="5">
        <f>IFERROR(ROUND(CO16/CQ16,2),0)</f>
        <v/>
      </c>
      <c r="CZ16" s="5">
        <f>IFERROR(ROUND(CO16/CR16,2),0)</f>
        <v/>
      </c>
      <c r="DA16" s="2" t="inlineStr">
        <is>
          <t>2023-09-25</t>
        </is>
      </c>
      <c r="DB16" s="5">
        <f>ROUND(0.56,2)</f>
        <v/>
      </c>
      <c r="DC16" s="3">
        <f>ROUND(128.0,2)</f>
        <v/>
      </c>
      <c r="DD16" s="3">
        <f>ROUND(2.0,2)</f>
        <v/>
      </c>
      <c r="DE16" s="3">
        <f>ROUND(18.0,2)</f>
        <v/>
      </c>
      <c r="DF16" s="3">
        <f>ROUND(15.0,2)</f>
        <v/>
      </c>
      <c r="DG16" s="3">
        <f>ROUND(7.0,2)</f>
        <v/>
      </c>
      <c r="DH16" s="3">
        <f>ROUND(6.0,2)</f>
        <v/>
      </c>
      <c r="DI16" s="3">
        <f>ROUND(4.0,2)</f>
        <v/>
      </c>
      <c r="DJ16" s="4">
        <f>IFERROR((DD16/DC16),0)</f>
        <v/>
      </c>
      <c r="DK16" s="4">
        <f>IFERROR(((0+DB11+DB12+DB13+DB14+DB15+DB16)/T2),0)</f>
        <v/>
      </c>
      <c r="DL16" s="5">
        <f>IFERROR(ROUND(DB16/DD16,2),0)</f>
        <v/>
      </c>
      <c r="DM16" s="5">
        <f>IFERROR(ROUND(DB16/DE16,2),0)</f>
        <v/>
      </c>
      <c r="DN16" s="2" t="inlineStr">
        <is>
          <t>2023-09-25</t>
        </is>
      </c>
      <c r="DO16" s="5">
        <f>ROUND(0.0,2)</f>
        <v/>
      </c>
      <c r="DP16" s="3">
        <f>ROUND(42.0,2)</f>
        <v/>
      </c>
      <c r="DQ16" s="3">
        <f>ROUND(0.0,2)</f>
        <v/>
      </c>
      <c r="DR16" s="3">
        <f>ROUND(8.0,2)</f>
        <v/>
      </c>
      <c r="DS16" s="3">
        <f>ROUND(7.0,2)</f>
        <v/>
      </c>
      <c r="DT16" s="3">
        <f>ROUND(4.0,2)</f>
        <v/>
      </c>
      <c r="DU16" s="3">
        <f>ROUND(2.0,2)</f>
        <v/>
      </c>
      <c r="DV16" s="3">
        <f>ROUND(2.0,2)</f>
        <v/>
      </c>
      <c r="DW16" s="4">
        <f>IFERROR((DQ16/DP16),0)</f>
        <v/>
      </c>
      <c r="DX16" s="4">
        <f>IFERROR(((0+DO11+DO12+DO13+DO14+DO15+DO16)/T2),0)</f>
        <v/>
      </c>
      <c r="DY16" s="5">
        <f>IFERROR(ROUND(DO16/DQ16,2),0)</f>
        <v/>
      </c>
      <c r="DZ16" s="5">
        <f>IFERROR(ROUND(DO16/DR16,2),0)</f>
        <v/>
      </c>
      <c r="EA16" s="2" t="inlineStr">
        <is>
          <t>2023-09-25</t>
        </is>
      </c>
      <c r="EB16" s="5">
        <f>ROUND(1.9600000000000002,2)</f>
        <v/>
      </c>
      <c r="EC16" s="3">
        <f>ROUND(445.0,2)</f>
        <v/>
      </c>
      <c r="ED16" s="3">
        <f>ROUND(7.0,2)</f>
        <v/>
      </c>
      <c r="EE16" s="3">
        <f>ROUND(37.0,2)</f>
        <v/>
      </c>
      <c r="EF16" s="3">
        <f>ROUND(30.0,2)</f>
        <v/>
      </c>
      <c r="EG16" s="3">
        <f>ROUND(15.0,2)</f>
        <v/>
      </c>
      <c r="EH16" s="3">
        <f>ROUND(12.0,2)</f>
        <v/>
      </c>
      <c r="EI16" s="3">
        <f>ROUND(10.0,2)</f>
        <v/>
      </c>
      <c r="EJ16" s="4">
        <f>IFERROR((ED16/EC16),0)</f>
        <v/>
      </c>
      <c r="EK16" s="4">
        <f>IFERROR(((0+EB11+EB12+EB13+EB14+EB15+EB16)/T2),0)</f>
        <v/>
      </c>
      <c r="EL16" s="5">
        <f>IFERROR(ROUND(EB16/ED16,2),0)</f>
        <v/>
      </c>
      <c r="EM16" s="5">
        <f>IFERROR(ROUND(EB16/EE16,2),0)</f>
        <v/>
      </c>
      <c r="EN16" s="2" t="inlineStr">
        <is>
          <t>2023-09-25</t>
        </is>
      </c>
      <c r="EO16" s="5">
        <f>ROUND(0.0,2)</f>
        <v/>
      </c>
      <c r="EP16" s="3">
        <f>ROUND(0.0,2)</f>
        <v/>
      </c>
      <c r="EQ16" s="3">
        <f>ROUND(0.0,2)</f>
        <v/>
      </c>
      <c r="ER16" s="3">
        <f>ROUND(0.0,2)</f>
        <v/>
      </c>
      <c r="ES16" s="3">
        <f>ROUND(0.0,2)</f>
        <v/>
      </c>
      <c r="ET16" s="3">
        <f>ROUND(0.0,2)</f>
        <v/>
      </c>
      <c r="EU16" s="3">
        <f>ROUND(0.0,2)</f>
        <v/>
      </c>
      <c r="EV16" s="3">
        <f>ROUND(0.0,2)</f>
        <v/>
      </c>
      <c r="EW16" s="4">
        <f>IFERROR((EQ16/EP16),0)</f>
        <v/>
      </c>
      <c r="EX16" s="4">
        <f>IFERROR(((0+EO11+EO12+EO13+EO14+EO15+EO16)/T2),0)</f>
        <v/>
      </c>
      <c r="EY16" s="5">
        <f>IFERROR(ROUND(EO16/EQ16,2),0)</f>
        <v/>
      </c>
      <c r="EZ16" s="5">
        <f>IFERROR(ROUND(EO16/ER16,2),0)</f>
        <v/>
      </c>
      <c r="FA16" s="2" t="inlineStr">
        <is>
          <t>2023-09-25</t>
        </is>
      </c>
      <c r="FB16" s="5">
        <f>ROUND(0.0,2)</f>
        <v/>
      </c>
      <c r="FC16" s="3">
        <f>ROUND(0.0,2)</f>
        <v/>
      </c>
      <c r="FD16" s="3">
        <f>ROUND(0.0,2)</f>
        <v/>
      </c>
      <c r="FE16" s="3">
        <f>ROUND(0.0,2)</f>
        <v/>
      </c>
      <c r="FF16" s="3">
        <f>ROUND(0.0,2)</f>
        <v/>
      </c>
      <c r="FG16" s="3">
        <f>ROUND(0.0,2)</f>
        <v/>
      </c>
      <c r="FH16" s="3">
        <f>ROUND(0.0,2)</f>
        <v/>
      </c>
      <c r="FI16" s="3">
        <f>ROUND(0.0,2)</f>
        <v/>
      </c>
      <c r="FJ16" s="4">
        <f>IFERROR((FD16/FC16),0)</f>
        <v/>
      </c>
      <c r="FK16" s="4">
        <f>IFERROR(((0+FB11+FB12+FB13+FB14+FB15+FB16)/T2),0)</f>
        <v/>
      </c>
      <c r="FL16" s="5">
        <f>IFERROR(ROUND(FB16/FD16,2),0)</f>
        <v/>
      </c>
      <c r="FM16" s="5">
        <f>IFERROR(ROUND(FB16/FE16,2),0)</f>
        <v/>
      </c>
      <c r="FN16" s="2" t="inlineStr">
        <is>
          <t>2023-09-25</t>
        </is>
      </c>
      <c r="FO16" s="5">
        <f>ROUND(0.0,2)</f>
        <v/>
      </c>
      <c r="FP16" s="3">
        <f>ROUND(0.0,2)</f>
        <v/>
      </c>
      <c r="FQ16" s="3">
        <f>ROUND(0.0,2)</f>
        <v/>
      </c>
      <c r="FR16" s="3">
        <f>ROUND(0.0,2)</f>
        <v/>
      </c>
      <c r="FS16" s="3">
        <f>ROUND(0.0,2)</f>
        <v/>
      </c>
      <c r="FT16" s="3">
        <f>ROUND(0.0,2)</f>
        <v/>
      </c>
      <c r="FU16" s="3">
        <f>ROUND(0.0,2)</f>
        <v/>
      </c>
      <c r="FV16" s="3">
        <f>ROUND(0.0,2)</f>
        <v/>
      </c>
      <c r="FW16" s="4">
        <f>IFERROR((FQ16/FP16),0)</f>
        <v/>
      </c>
      <c r="FX16" s="4">
        <f>IFERROR(((0+FO11+FO12+FO13+FO14+FO15+FO16)/T2),0)</f>
        <v/>
      </c>
      <c r="FY16" s="5">
        <f>IFERROR(ROUND(FO16/FQ16,2),0)</f>
        <v/>
      </c>
      <c r="FZ16" s="5">
        <f>IFERROR(ROUND(FO16/FR16,2),0)</f>
        <v/>
      </c>
      <c r="GA16" s="2" t="inlineStr">
        <is>
          <t>2023-09-25</t>
        </is>
      </c>
      <c r="GB16" s="5">
        <f>ROUND(0.0,2)</f>
        <v/>
      </c>
      <c r="GC16" s="3">
        <f>ROUND(0.0,2)</f>
        <v/>
      </c>
      <c r="GD16" s="3">
        <f>ROUND(0.0,2)</f>
        <v/>
      </c>
      <c r="GE16" s="3">
        <f>ROUND(0.0,2)</f>
        <v/>
      </c>
      <c r="GF16" s="3">
        <f>ROUND(0.0,2)</f>
        <v/>
      </c>
      <c r="GG16" s="3">
        <f>ROUND(0.0,2)</f>
        <v/>
      </c>
      <c r="GH16" s="3">
        <f>ROUND(0.0,2)</f>
        <v/>
      </c>
      <c r="GI16" s="3">
        <f>ROUND(0.0,2)</f>
        <v/>
      </c>
      <c r="GJ16" s="4">
        <f>IFERROR((GD16/GC16),0)</f>
        <v/>
      </c>
      <c r="GK16" s="4">
        <f>IFERROR(((0+GB11+GB12+GB13+GB14+GB15+GB16)/T2),0)</f>
        <v/>
      </c>
      <c r="GL16" s="5">
        <f>IFERROR(ROUND(GB16/GD16,2),0)</f>
        <v/>
      </c>
      <c r="GM16" s="5">
        <f>IFERROR(ROUND(GB16/GE16,2),0)</f>
        <v/>
      </c>
      <c r="GN16" s="2" t="inlineStr">
        <is>
          <t>2023-09-25</t>
        </is>
      </c>
      <c r="GO16" s="5">
        <f>ROUND(0.0,2)</f>
        <v/>
      </c>
      <c r="GP16" s="3">
        <f>ROUND(0.0,2)</f>
        <v/>
      </c>
      <c r="GQ16" s="3">
        <f>ROUND(0.0,2)</f>
        <v/>
      </c>
      <c r="GR16" s="3">
        <f>ROUND(0.0,2)</f>
        <v/>
      </c>
      <c r="GS16" s="3">
        <f>ROUND(0.0,2)</f>
        <v/>
      </c>
      <c r="GT16" s="3">
        <f>ROUND(0.0,2)</f>
        <v/>
      </c>
      <c r="GU16" s="3">
        <f>ROUND(0.0,2)</f>
        <v/>
      </c>
      <c r="GV16" s="3">
        <f>ROUND(0.0,2)</f>
        <v/>
      </c>
      <c r="GW16" s="4">
        <f>IFERROR((GQ16/GP16),0)</f>
        <v/>
      </c>
      <c r="GX16" s="4">
        <f>IFERROR(((0+GO11+GO12+GO13+GO14+GO15+GO16)/T2),0)</f>
        <v/>
      </c>
      <c r="GY16" s="5">
        <f>IFERROR(ROUND(GO16/GQ16,2),0)</f>
        <v/>
      </c>
      <c r="GZ16" s="5">
        <f>IFERROR(ROUND(GO16/GR16,2),0)</f>
        <v/>
      </c>
      <c r="HA16" s="2" t="inlineStr">
        <is>
          <t>2023-09-25</t>
        </is>
      </c>
      <c r="HB16" s="5">
        <f>ROUND(0.0,2)</f>
        <v/>
      </c>
      <c r="HC16" s="3">
        <f>ROUND(0.0,2)</f>
        <v/>
      </c>
      <c r="HD16" s="3">
        <f>ROUND(0.0,2)</f>
        <v/>
      </c>
      <c r="HE16" s="3">
        <f>ROUND(0.0,2)</f>
        <v/>
      </c>
      <c r="HF16" s="3">
        <f>ROUND(0.0,2)</f>
        <v/>
      </c>
      <c r="HG16" s="3">
        <f>ROUND(0.0,2)</f>
        <v/>
      </c>
      <c r="HH16" s="3">
        <f>ROUND(0.0,2)</f>
        <v/>
      </c>
      <c r="HI16" s="3">
        <f>ROUND(0.0,2)</f>
        <v/>
      </c>
      <c r="HJ16" s="4">
        <f>IFERROR((HD16/HC16),0)</f>
        <v/>
      </c>
      <c r="HK16" s="4">
        <f>IFERROR(((0+HB11+HB12+HB13+HB14+HB15+HB16)/T2),0)</f>
        <v/>
      </c>
      <c r="HL16" s="5">
        <f>IFERROR(ROUND(HB16/HD16,2),0)</f>
        <v/>
      </c>
      <c r="HM16" s="5">
        <f>IFERROR(ROUND(HB16/HE16,2),0)</f>
        <v/>
      </c>
      <c r="HN16" s="2" t="inlineStr">
        <is>
          <t>2023-09-25</t>
        </is>
      </c>
      <c r="HO16" s="5">
        <f>ROUND(0.0,2)</f>
        <v/>
      </c>
      <c r="HP16" s="3">
        <f>ROUND(0.0,2)</f>
        <v/>
      </c>
      <c r="HQ16" s="3">
        <f>ROUND(0.0,2)</f>
        <v/>
      </c>
      <c r="HR16" s="3">
        <f>ROUND(0.0,2)</f>
        <v/>
      </c>
      <c r="HS16" s="3">
        <f>ROUND(0.0,2)</f>
        <v/>
      </c>
      <c r="HT16" s="3">
        <f>ROUND(0.0,2)</f>
        <v/>
      </c>
      <c r="HU16" s="3">
        <f>ROUND(0.0,2)</f>
        <v/>
      </c>
      <c r="HV16" s="3">
        <f>ROUND(0.0,2)</f>
        <v/>
      </c>
      <c r="HW16" s="4">
        <f>IFERROR((HQ16/HP16),0)</f>
        <v/>
      </c>
      <c r="HX16" s="4">
        <f>IFERROR(((0+HO11+HO12+HO13+HO14+HO15+HO16)/T2),0)</f>
        <v/>
      </c>
      <c r="HY16" s="5">
        <f>IFERROR(ROUND(HO16/HQ16,2),0)</f>
        <v/>
      </c>
      <c r="HZ16" s="5">
        <f>IFERROR(ROUND(HO16/HR16,2),0)</f>
        <v/>
      </c>
      <c r="IA16" s="2" t="inlineStr">
        <is>
          <t>2023-09-25</t>
        </is>
      </c>
      <c r="IB16" s="5">
        <f>ROUND(0.0,2)</f>
        <v/>
      </c>
      <c r="IC16" s="3">
        <f>ROUND(0.0,2)</f>
        <v/>
      </c>
      <c r="ID16" s="3">
        <f>ROUND(0.0,2)</f>
        <v/>
      </c>
      <c r="IE16" s="3">
        <f>ROUND(0.0,2)</f>
        <v/>
      </c>
      <c r="IF16" s="3">
        <f>ROUND(0.0,2)</f>
        <v/>
      </c>
      <c r="IG16" s="3">
        <f>ROUND(0.0,2)</f>
        <v/>
      </c>
      <c r="IH16" s="3">
        <f>ROUND(0.0,2)</f>
        <v/>
      </c>
      <c r="II16" s="3">
        <f>ROUND(0.0,2)</f>
        <v/>
      </c>
      <c r="IJ16" s="4">
        <f>IFERROR((ID16/IC16),0)</f>
        <v/>
      </c>
      <c r="IK16" s="4">
        <f>IFERROR(((0+IB11+IB12+IB13+IB14+IB15+IB16)/T2),0)</f>
        <v/>
      </c>
      <c r="IL16" s="5">
        <f>IFERROR(ROUND(IB16/ID16,2),0)</f>
        <v/>
      </c>
      <c r="IM16" s="5">
        <f>IFERROR(ROUND(IB16/IE16,2),0)</f>
        <v/>
      </c>
      <c r="IN16" s="2" t="inlineStr">
        <is>
          <t>2023-09-25</t>
        </is>
      </c>
      <c r="IO16" s="5">
        <f>ROUND(0.0,2)</f>
        <v/>
      </c>
      <c r="IP16" s="3">
        <f>ROUND(0.0,2)</f>
        <v/>
      </c>
      <c r="IQ16" s="3">
        <f>ROUND(0.0,2)</f>
        <v/>
      </c>
      <c r="IR16" s="3">
        <f>ROUND(0.0,2)</f>
        <v/>
      </c>
      <c r="IS16" s="3">
        <f>ROUND(0.0,2)</f>
        <v/>
      </c>
      <c r="IT16" s="3">
        <f>ROUND(0.0,2)</f>
        <v/>
      </c>
      <c r="IU16" s="3">
        <f>ROUND(0.0,2)</f>
        <v/>
      </c>
      <c r="IV16" s="3">
        <f>ROUND(0.0,2)</f>
        <v/>
      </c>
      <c r="IW16" s="4">
        <f>IFERROR((IQ16/IP16),0)</f>
        <v/>
      </c>
      <c r="IX16" s="4">
        <f>IFERROR(((0+IO11+IO12+IO13+IO14+IO15+IO16)/T2),0)</f>
        <v/>
      </c>
      <c r="IY16" s="5">
        <f>IFERROR(ROUND(IO16/IQ16,2),0)</f>
        <v/>
      </c>
      <c r="IZ16" s="5">
        <f>IFERROR(ROUND(IO16/IR16,2),0)</f>
        <v/>
      </c>
      <c r="JA16" s="2" t="inlineStr">
        <is>
          <t>2023-09-25</t>
        </is>
      </c>
      <c r="JB16" s="5">
        <f>ROUND(0.0,2)</f>
        <v/>
      </c>
      <c r="JC16" s="3">
        <f>ROUND(0.0,2)</f>
        <v/>
      </c>
      <c r="JD16" s="3">
        <f>ROUND(0.0,2)</f>
        <v/>
      </c>
      <c r="JE16" s="3">
        <f>ROUND(0.0,2)</f>
        <v/>
      </c>
      <c r="JF16" s="3">
        <f>ROUND(0.0,2)</f>
        <v/>
      </c>
      <c r="JG16" s="3">
        <f>ROUND(0.0,2)</f>
        <v/>
      </c>
      <c r="JH16" s="3">
        <f>ROUND(0.0,2)</f>
        <v/>
      </c>
      <c r="JI16" s="3">
        <f>ROUND(0.0,2)</f>
        <v/>
      </c>
      <c r="JJ16" s="4">
        <f>IFERROR((JD16/JC16),0)</f>
        <v/>
      </c>
      <c r="JK16" s="4">
        <f>IFERROR(((0+JB11+JB12+JB13+JB14+JB15+JB16)/T2),0)</f>
        <v/>
      </c>
      <c r="JL16" s="5">
        <f>IFERROR(ROUND(JB16/JD16,2),0)</f>
        <v/>
      </c>
      <c r="JM16" s="5">
        <f>IFERROR(ROUND(JB16/JE16,2),0)</f>
        <v/>
      </c>
    </row>
    <row r="17">
      <c r="A17" s="2" t="inlineStr">
        <is>
          <t>2023-09-26</t>
        </is>
      </c>
      <c r="B17" s="5">
        <f>ROUND(52.080000000000005,2)</f>
        <v/>
      </c>
      <c r="C17" s="3">
        <f>ROUND(9081.0,2)</f>
        <v/>
      </c>
      <c r="D17" s="3">
        <f>ROUND(186.0,2)</f>
        <v/>
      </c>
      <c r="E17" s="3">
        <f>ROUND(632.0,2)</f>
        <v/>
      </c>
      <c r="F17" s="3">
        <f>ROUND(482.0,2)</f>
        <v/>
      </c>
      <c r="G17" s="3">
        <f>ROUND(226.0,2)</f>
        <v/>
      </c>
      <c r="H17" s="3">
        <f>ROUND(172.0,2)</f>
        <v/>
      </c>
      <c r="I17" s="3">
        <f>ROUND(133.0,2)</f>
        <v/>
      </c>
      <c r="J17" s="4">
        <f>IFERROR((D17/C17),0)</f>
        <v/>
      </c>
      <c r="K17" s="4">
        <f>IFERROR(((0+B11+B12+B13+B14+B15+B16+B17)/T2),0)</f>
        <v/>
      </c>
      <c r="L17" s="5">
        <f>IFERROR(ROUND(B17/D17,2),0)</f>
        <v/>
      </c>
      <c r="M17" s="5">
        <f>IFERROR(ROUND(B17/E17,2),0)</f>
        <v/>
      </c>
      <c r="N17" s="2" t="inlineStr">
        <is>
          <t>2023-09-26</t>
        </is>
      </c>
      <c r="O17" s="5">
        <f>ROUND(20.720000000000002,2)</f>
        <v/>
      </c>
      <c r="P17" s="3">
        <f>ROUND(3736.0,2)</f>
        <v/>
      </c>
      <c r="Q17" s="3">
        <f>ROUND(74.0,2)</f>
        <v/>
      </c>
      <c r="R17" s="3">
        <f>ROUND(418.0,2)</f>
        <v/>
      </c>
      <c r="S17" s="3">
        <f>ROUND(311.0,2)</f>
        <v/>
      </c>
      <c r="T17" s="3">
        <f>ROUND(139.0,2)</f>
        <v/>
      </c>
      <c r="U17" s="3">
        <f>ROUND(107.0,2)</f>
        <v/>
      </c>
      <c r="V17" s="3">
        <f>ROUND(81.0,2)</f>
        <v/>
      </c>
      <c r="W17" s="4">
        <f>IFERROR((Q17/P17),0)</f>
        <v/>
      </c>
      <c r="X17" s="4">
        <f>IFERROR(((0+O11+O12+O13+O14+O15+O16+O17)/T2),0)</f>
        <v/>
      </c>
      <c r="Y17" s="5">
        <f>IFERROR(ROUND(O17/Q17,2),0)</f>
        <v/>
      </c>
      <c r="Z17" s="5">
        <f>IFERROR(ROUND(O17/R17,2),0)</f>
        <v/>
      </c>
      <c r="AA17" s="2" t="inlineStr">
        <is>
          <t>2023-09-26</t>
        </is>
      </c>
      <c r="AB17" s="5">
        <f>ROUND(9.52,2)</f>
        <v/>
      </c>
      <c r="AC17" s="3">
        <f>ROUND(1557.0,2)</f>
        <v/>
      </c>
      <c r="AD17" s="3">
        <f>ROUND(34.0,2)</f>
        <v/>
      </c>
      <c r="AE17" s="3">
        <f>ROUND(32.0,2)</f>
        <v/>
      </c>
      <c r="AF17" s="3">
        <f>ROUND(18.0,2)</f>
        <v/>
      </c>
      <c r="AG17" s="3">
        <f>ROUND(11.0,2)</f>
        <v/>
      </c>
      <c r="AH17" s="3">
        <f>ROUND(9.0,2)</f>
        <v/>
      </c>
      <c r="AI17" s="3">
        <f>ROUND(6.0,2)</f>
        <v/>
      </c>
      <c r="AJ17" s="4">
        <f>IFERROR((AD17/AC17),0)</f>
        <v/>
      </c>
      <c r="AK17" s="4">
        <f>IFERROR(((0+AB11+AB12+AB13+AB14+AB15+AB16+AB17)/T2),0)</f>
        <v/>
      </c>
      <c r="AL17" s="5">
        <f>IFERROR(ROUND(AB17/AD17,2),0)</f>
        <v/>
      </c>
      <c r="AM17" s="5">
        <f>IFERROR(ROUND(AB17/AE17,2),0)</f>
        <v/>
      </c>
      <c r="AN17" s="2" t="inlineStr">
        <is>
          <t>2023-09-26</t>
        </is>
      </c>
      <c r="AO17" s="5">
        <f>ROUND(1.6800000000000002,2)</f>
        <v/>
      </c>
      <c r="AP17" s="3">
        <f>ROUND(222.0,2)</f>
        <v/>
      </c>
      <c r="AQ17" s="3">
        <f>ROUND(6.0,2)</f>
        <v/>
      </c>
      <c r="AR17" s="3">
        <f>ROUND(30.0,2)</f>
        <v/>
      </c>
      <c r="AS17" s="3">
        <f>ROUND(27.0,2)</f>
        <v/>
      </c>
      <c r="AT17" s="3">
        <f>ROUND(10.0,2)</f>
        <v/>
      </c>
      <c r="AU17" s="3">
        <f>ROUND(8.0,2)</f>
        <v/>
      </c>
      <c r="AV17" s="3">
        <f>ROUND(6.0,2)</f>
        <v/>
      </c>
      <c r="AW17" s="4">
        <f>IFERROR((AQ17/AP17),0)</f>
        <v/>
      </c>
      <c r="AX17" s="4">
        <f>IFERROR(((0+AO11+AO12+AO13+AO14+AO15+AO16+AO17)/T2),0)</f>
        <v/>
      </c>
      <c r="AY17" s="5">
        <f>IFERROR(ROUND(AO17/AQ17,2),0)</f>
        <v/>
      </c>
      <c r="AZ17" s="5">
        <f>IFERROR(ROUND(AO17/AR17,2),0)</f>
        <v/>
      </c>
      <c r="BA17" s="2" t="inlineStr">
        <is>
          <t>2023-09-26</t>
        </is>
      </c>
      <c r="BB17" s="5">
        <f>ROUND(0.56,2)</f>
        <v/>
      </c>
      <c r="BC17" s="3">
        <f>ROUND(265.0,2)</f>
        <v/>
      </c>
      <c r="BD17" s="3">
        <f>ROUND(2.0,2)</f>
        <v/>
      </c>
      <c r="BE17" s="3">
        <f>ROUND(9.0,2)</f>
        <v/>
      </c>
      <c r="BF17" s="3">
        <f>ROUND(6.0,2)</f>
        <v/>
      </c>
      <c r="BG17" s="3">
        <f>ROUND(5.0,2)</f>
        <v/>
      </c>
      <c r="BH17" s="3">
        <f>ROUND(3.0,2)</f>
        <v/>
      </c>
      <c r="BI17" s="3">
        <f>ROUND(4.0,2)</f>
        <v/>
      </c>
      <c r="BJ17" s="4">
        <f>IFERROR((BD17/BC17),0)</f>
        <v/>
      </c>
      <c r="BK17" s="4">
        <f>IFERROR(((0+BB11+BB12+BB13+BB14+BB15+BB16+BB17)/T2),0)</f>
        <v/>
      </c>
      <c r="BL17" s="5">
        <f>IFERROR(ROUND(BB17/BD17,2),0)</f>
        <v/>
      </c>
      <c r="BM17" s="5">
        <f>IFERROR(ROUND(BB17/BE17,2),0)</f>
        <v/>
      </c>
      <c r="BN17" s="2" t="inlineStr">
        <is>
          <t>2023-09-26</t>
        </is>
      </c>
      <c r="BO17" s="5">
        <f>ROUND(7.5600000000000005,2)</f>
        <v/>
      </c>
      <c r="BP17" s="3">
        <f>ROUND(1590.0,2)</f>
        <v/>
      </c>
      <c r="BQ17" s="3">
        <f>ROUND(27.0,2)</f>
        <v/>
      </c>
      <c r="BR17" s="3">
        <f>ROUND(35.0,2)</f>
        <v/>
      </c>
      <c r="BS17" s="3">
        <f>ROUND(25.0,2)</f>
        <v/>
      </c>
      <c r="BT17" s="3">
        <f>ROUND(15.0,2)</f>
        <v/>
      </c>
      <c r="BU17" s="3">
        <f>ROUND(9.0,2)</f>
        <v/>
      </c>
      <c r="BV17" s="3">
        <f>ROUND(7.0,2)</f>
        <v/>
      </c>
      <c r="BW17" s="4">
        <f>IFERROR((BQ17/BP17),0)</f>
        <v/>
      </c>
      <c r="BX17" s="4">
        <f>IFERROR(((0+BO11+BO12+BO13+BO14+BO15+BO16+BO17)/T2),0)</f>
        <v/>
      </c>
      <c r="BY17" s="5">
        <f>IFERROR(ROUND(BO17/BQ17,2),0)</f>
        <v/>
      </c>
      <c r="BZ17" s="5">
        <f>IFERROR(ROUND(BO17/BR17,2),0)</f>
        <v/>
      </c>
      <c r="CA17" s="2" t="inlineStr">
        <is>
          <t>2023-09-26</t>
        </is>
      </c>
      <c r="CB17" s="5">
        <f>ROUND(4.2,2)</f>
        <v/>
      </c>
      <c r="CC17" s="3">
        <f>ROUND(575.0,2)</f>
        <v/>
      </c>
      <c r="CD17" s="3">
        <f>ROUND(15.0,2)</f>
        <v/>
      </c>
      <c r="CE17" s="3">
        <f>ROUND(57.0,2)</f>
        <v/>
      </c>
      <c r="CF17" s="3">
        <f>ROUND(51.0,2)</f>
        <v/>
      </c>
      <c r="CG17" s="3">
        <f>ROUND(21.0,2)</f>
        <v/>
      </c>
      <c r="CH17" s="3">
        <f>ROUND(16.0,2)</f>
        <v/>
      </c>
      <c r="CI17" s="3">
        <f>ROUND(10.0,2)</f>
        <v/>
      </c>
      <c r="CJ17" s="4">
        <f>IFERROR((CD17/CC17),0)</f>
        <v/>
      </c>
      <c r="CK17" s="4">
        <f>IFERROR(((0+CB11+CB12+CB13+CB14+CB15+CB16+CB17)/T2),0)</f>
        <v/>
      </c>
      <c r="CL17" s="5">
        <f>IFERROR(ROUND(CB17/CD17,2),0)</f>
        <v/>
      </c>
      <c r="CM17" s="5">
        <f>IFERROR(ROUND(CB17/CE17,2),0)</f>
        <v/>
      </c>
      <c r="CN17" s="2" t="inlineStr">
        <is>
          <t>2023-09-26</t>
        </is>
      </c>
      <c r="CO17" s="5">
        <f>ROUND(1.9600000000000002,2)</f>
        <v/>
      </c>
      <c r="CP17" s="3">
        <f>ROUND(412.0,2)</f>
        <v/>
      </c>
      <c r="CQ17" s="3">
        <f>ROUND(7.0,2)</f>
        <v/>
      </c>
      <c r="CR17" s="3">
        <f>ROUND(13.0,2)</f>
        <v/>
      </c>
      <c r="CS17" s="3">
        <f>ROUND(12.0,2)</f>
        <v/>
      </c>
      <c r="CT17" s="3">
        <f>ROUND(5.0,2)</f>
        <v/>
      </c>
      <c r="CU17" s="3">
        <f>ROUND(5.0,2)</f>
        <v/>
      </c>
      <c r="CV17" s="3">
        <f>ROUND(5.0,2)</f>
        <v/>
      </c>
      <c r="CW17" s="4">
        <f>IFERROR((CQ17/CP17),0)</f>
        <v/>
      </c>
      <c r="CX17" s="4">
        <f>IFERROR(((0+CO11+CO12+CO13+CO14+CO15+CO16+CO17)/T2),0)</f>
        <v/>
      </c>
      <c r="CY17" s="5">
        <f>IFERROR(ROUND(CO17/CQ17,2),0)</f>
        <v/>
      </c>
      <c r="CZ17" s="5">
        <f>IFERROR(ROUND(CO17/CR17,2),0)</f>
        <v/>
      </c>
      <c r="DA17" s="2" t="inlineStr">
        <is>
          <t>2023-09-26</t>
        </is>
      </c>
      <c r="DB17" s="5">
        <f>ROUND(1.12,2)</f>
        <v/>
      </c>
      <c r="DC17" s="3">
        <f>ROUND(137.0,2)</f>
        <v/>
      </c>
      <c r="DD17" s="3">
        <f>ROUND(4.0,2)</f>
        <v/>
      </c>
      <c r="DE17" s="3">
        <f>ROUND(12.0,2)</f>
        <v/>
      </c>
      <c r="DF17" s="3">
        <f>ROUND(11.0,2)</f>
        <v/>
      </c>
      <c r="DG17" s="3">
        <f>ROUND(6.0,2)</f>
        <v/>
      </c>
      <c r="DH17" s="3">
        <f>ROUND(4.0,2)</f>
        <v/>
      </c>
      <c r="DI17" s="3">
        <f>ROUND(5.0,2)</f>
        <v/>
      </c>
      <c r="DJ17" s="4">
        <f>IFERROR((DD17/DC17),0)</f>
        <v/>
      </c>
      <c r="DK17" s="4">
        <f>IFERROR(((0+DB11+DB12+DB13+DB14+DB15+DB16+DB17)/T2),0)</f>
        <v/>
      </c>
      <c r="DL17" s="5">
        <f>IFERROR(ROUND(DB17/DD17,2),0)</f>
        <v/>
      </c>
      <c r="DM17" s="5">
        <f>IFERROR(ROUND(DB17/DE17,2),0)</f>
        <v/>
      </c>
      <c r="DN17" s="2" t="inlineStr">
        <is>
          <t>2023-09-26</t>
        </is>
      </c>
      <c r="DO17" s="5">
        <f>ROUND(0.56,2)</f>
        <v/>
      </c>
      <c r="DP17" s="3">
        <f>ROUND(91.0,2)</f>
        <v/>
      </c>
      <c r="DQ17" s="3">
        <f>ROUND(2.0,2)</f>
        <v/>
      </c>
      <c r="DR17" s="3">
        <f>ROUND(7.0,2)</f>
        <v/>
      </c>
      <c r="DS17" s="3">
        <f>ROUND(6.0,2)</f>
        <v/>
      </c>
      <c r="DT17" s="3">
        <f>ROUND(4.0,2)</f>
        <v/>
      </c>
      <c r="DU17" s="3">
        <f>ROUND(3.0,2)</f>
        <v/>
      </c>
      <c r="DV17" s="3">
        <f>ROUND(3.0,2)</f>
        <v/>
      </c>
      <c r="DW17" s="4">
        <f>IFERROR((DQ17/DP17),0)</f>
        <v/>
      </c>
      <c r="DX17" s="4">
        <f>IFERROR(((0+DO11+DO12+DO13+DO14+DO15+DO16+DO17)/T2),0)</f>
        <v/>
      </c>
      <c r="DY17" s="5">
        <f>IFERROR(ROUND(DO17/DQ17,2),0)</f>
        <v/>
      </c>
      <c r="DZ17" s="5">
        <f>IFERROR(ROUND(DO17/DR17,2),0)</f>
        <v/>
      </c>
      <c r="EA17" s="2" t="inlineStr">
        <is>
          <t>2023-09-26</t>
        </is>
      </c>
      <c r="EB17" s="5">
        <f>ROUND(4.2,2)</f>
        <v/>
      </c>
      <c r="EC17" s="3">
        <f>ROUND(496.0,2)</f>
        <v/>
      </c>
      <c r="ED17" s="3">
        <f>ROUND(15.0,2)</f>
        <v/>
      </c>
      <c r="EE17" s="3">
        <f>ROUND(19.0,2)</f>
        <v/>
      </c>
      <c r="EF17" s="3">
        <f>ROUND(15.0,2)</f>
        <v/>
      </c>
      <c r="EG17" s="3">
        <f>ROUND(10.0,2)</f>
        <v/>
      </c>
      <c r="EH17" s="3">
        <f>ROUND(8.0,2)</f>
        <v/>
      </c>
      <c r="EI17" s="3">
        <f>ROUND(6.0,2)</f>
        <v/>
      </c>
      <c r="EJ17" s="4">
        <f>IFERROR((ED17/EC17),0)</f>
        <v/>
      </c>
      <c r="EK17" s="4">
        <f>IFERROR(((0+EB11+EB12+EB13+EB14+EB15+EB16+EB17)/T2),0)</f>
        <v/>
      </c>
      <c r="EL17" s="5">
        <f>IFERROR(ROUND(EB17/ED17,2),0)</f>
        <v/>
      </c>
      <c r="EM17" s="5">
        <f>IFERROR(ROUND(EB17/EE17,2),0)</f>
        <v/>
      </c>
      <c r="EN17" s="2" t="inlineStr">
        <is>
          <t>2023-09-26</t>
        </is>
      </c>
      <c r="EO17" s="5">
        <f>ROUND(0.0,2)</f>
        <v/>
      </c>
      <c r="EP17" s="3">
        <f>ROUND(0.0,2)</f>
        <v/>
      </c>
      <c r="EQ17" s="3">
        <f>ROUND(0.0,2)</f>
        <v/>
      </c>
      <c r="ER17" s="3">
        <f>ROUND(0.0,2)</f>
        <v/>
      </c>
      <c r="ES17" s="3">
        <f>ROUND(0.0,2)</f>
        <v/>
      </c>
      <c r="ET17" s="3">
        <f>ROUND(0.0,2)</f>
        <v/>
      </c>
      <c r="EU17" s="3">
        <f>ROUND(0.0,2)</f>
        <v/>
      </c>
      <c r="EV17" s="3">
        <f>ROUND(0.0,2)</f>
        <v/>
      </c>
      <c r="EW17" s="4">
        <f>IFERROR((EQ17/EP17),0)</f>
        <v/>
      </c>
      <c r="EX17" s="4">
        <f>IFERROR(((0+EO11+EO12+EO13+EO14+EO15+EO16+EO17)/T2),0)</f>
        <v/>
      </c>
      <c r="EY17" s="5">
        <f>IFERROR(ROUND(EO17/EQ17,2),0)</f>
        <v/>
      </c>
      <c r="EZ17" s="5">
        <f>IFERROR(ROUND(EO17/ER17,2),0)</f>
        <v/>
      </c>
      <c r="FA17" s="2" t="inlineStr">
        <is>
          <t>2023-09-26</t>
        </is>
      </c>
      <c r="FB17" s="5">
        <f>ROUND(0.0,2)</f>
        <v/>
      </c>
      <c r="FC17" s="3">
        <f>ROUND(0.0,2)</f>
        <v/>
      </c>
      <c r="FD17" s="3">
        <f>ROUND(0.0,2)</f>
        <v/>
      </c>
      <c r="FE17" s="3">
        <f>ROUND(0.0,2)</f>
        <v/>
      </c>
      <c r="FF17" s="3">
        <f>ROUND(0.0,2)</f>
        <v/>
      </c>
      <c r="FG17" s="3">
        <f>ROUND(0.0,2)</f>
        <v/>
      </c>
      <c r="FH17" s="3">
        <f>ROUND(0.0,2)</f>
        <v/>
      </c>
      <c r="FI17" s="3">
        <f>ROUND(0.0,2)</f>
        <v/>
      </c>
      <c r="FJ17" s="4">
        <f>IFERROR((FD17/FC17),0)</f>
        <v/>
      </c>
      <c r="FK17" s="4">
        <f>IFERROR(((0+FB11+FB12+FB13+FB14+FB15+FB16+FB17)/T2),0)</f>
        <v/>
      </c>
      <c r="FL17" s="5">
        <f>IFERROR(ROUND(FB17/FD17,2),0)</f>
        <v/>
      </c>
      <c r="FM17" s="5">
        <f>IFERROR(ROUND(FB17/FE17,2),0)</f>
        <v/>
      </c>
      <c r="FN17" s="2" t="inlineStr">
        <is>
          <t>2023-09-26</t>
        </is>
      </c>
      <c r="FO17" s="5">
        <f>ROUND(0.0,2)</f>
        <v/>
      </c>
      <c r="FP17" s="3">
        <f>ROUND(0.0,2)</f>
        <v/>
      </c>
      <c r="FQ17" s="3">
        <f>ROUND(0.0,2)</f>
        <v/>
      </c>
      <c r="FR17" s="3">
        <f>ROUND(0.0,2)</f>
        <v/>
      </c>
      <c r="FS17" s="3">
        <f>ROUND(0.0,2)</f>
        <v/>
      </c>
      <c r="FT17" s="3">
        <f>ROUND(0.0,2)</f>
        <v/>
      </c>
      <c r="FU17" s="3">
        <f>ROUND(0.0,2)</f>
        <v/>
      </c>
      <c r="FV17" s="3">
        <f>ROUND(0.0,2)</f>
        <v/>
      </c>
      <c r="FW17" s="4">
        <f>IFERROR((FQ17/FP17),0)</f>
        <v/>
      </c>
      <c r="FX17" s="4">
        <f>IFERROR(((0+FO11+FO12+FO13+FO14+FO15+FO16+FO17)/T2),0)</f>
        <v/>
      </c>
      <c r="FY17" s="5">
        <f>IFERROR(ROUND(FO17/FQ17,2),0)</f>
        <v/>
      </c>
      <c r="FZ17" s="5">
        <f>IFERROR(ROUND(FO17/FR17,2),0)</f>
        <v/>
      </c>
      <c r="GA17" s="2" t="inlineStr">
        <is>
          <t>2023-09-26</t>
        </is>
      </c>
      <c r="GB17" s="5">
        <f>ROUND(0.0,2)</f>
        <v/>
      </c>
      <c r="GC17" s="3">
        <f>ROUND(0.0,2)</f>
        <v/>
      </c>
      <c r="GD17" s="3">
        <f>ROUND(0.0,2)</f>
        <v/>
      </c>
      <c r="GE17" s="3">
        <f>ROUND(0.0,2)</f>
        <v/>
      </c>
      <c r="GF17" s="3">
        <f>ROUND(0.0,2)</f>
        <v/>
      </c>
      <c r="GG17" s="3">
        <f>ROUND(0.0,2)</f>
        <v/>
      </c>
      <c r="GH17" s="3">
        <f>ROUND(0.0,2)</f>
        <v/>
      </c>
      <c r="GI17" s="3">
        <f>ROUND(0.0,2)</f>
        <v/>
      </c>
      <c r="GJ17" s="4">
        <f>IFERROR((GD17/GC17),0)</f>
        <v/>
      </c>
      <c r="GK17" s="4">
        <f>IFERROR(((0+GB11+GB12+GB13+GB14+GB15+GB16+GB17)/T2),0)</f>
        <v/>
      </c>
      <c r="GL17" s="5">
        <f>IFERROR(ROUND(GB17/GD17,2),0)</f>
        <v/>
      </c>
      <c r="GM17" s="5">
        <f>IFERROR(ROUND(GB17/GE17,2),0)</f>
        <v/>
      </c>
      <c r="GN17" s="2" t="inlineStr">
        <is>
          <t>2023-09-26</t>
        </is>
      </c>
      <c r="GO17" s="5">
        <f>ROUND(0.0,2)</f>
        <v/>
      </c>
      <c r="GP17" s="3">
        <f>ROUND(0.0,2)</f>
        <v/>
      </c>
      <c r="GQ17" s="3">
        <f>ROUND(0.0,2)</f>
        <v/>
      </c>
      <c r="GR17" s="3">
        <f>ROUND(0.0,2)</f>
        <v/>
      </c>
      <c r="GS17" s="3">
        <f>ROUND(0.0,2)</f>
        <v/>
      </c>
      <c r="GT17" s="3">
        <f>ROUND(0.0,2)</f>
        <v/>
      </c>
      <c r="GU17" s="3">
        <f>ROUND(0.0,2)</f>
        <v/>
      </c>
      <c r="GV17" s="3">
        <f>ROUND(0.0,2)</f>
        <v/>
      </c>
      <c r="GW17" s="4">
        <f>IFERROR((GQ17/GP17),0)</f>
        <v/>
      </c>
      <c r="GX17" s="4">
        <f>IFERROR(((0+GO11+GO12+GO13+GO14+GO15+GO16+GO17)/T2),0)</f>
        <v/>
      </c>
      <c r="GY17" s="5">
        <f>IFERROR(ROUND(GO17/GQ17,2),0)</f>
        <v/>
      </c>
      <c r="GZ17" s="5">
        <f>IFERROR(ROUND(GO17/GR17,2),0)</f>
        <v/>
      </c>
      <c r="HA17" s="2" t="inlineStr">
        <is>
          <t>2023-09-26</t>
        </is>
      </c>
      <c r="HB17" s="5">
        <f>ROUND(0.0,2)</f>
        <v/>
      </c>
      <c r="HC17" s="3">
        <f>ROUND(0.0,2)</f>
        <v/>
      </c>
      <c r="HD17" s="3">
        <f>ROUND(0.0,2)</f>
        <v/>
      </c>
      <c r="HE17" s="3">
        <f>ROUND(0.0,2)</f>
        <v/>
      </c>
      <c r="HF17" s="3">
        <f>ROUND(0.0,2)</f>
        <v/>
      </c>
      <c r="HG17" s="3">
        <f>ROUND(0.0,2)</f>
        <v/>
      </c>
      <c r="HH17" s="3">
        <f>ROUND(0.0,2)</f>
        <v/>
      </c>
      <c r="HI17" s="3">
        <f>ROUND(0.0,2)</f>
        <v/>
      </c>
      <c r="HJ17" s="4">
        <f>IFERROR((HD17/HC17),0)</f>
        <v/>
      </c>
      <c r="HK17" s="4">
        <f>IFERROR(((0+HB11+HB12+HB13+HB14+HB15+HB16+HB17)/T2),0)</f>
        <v/>
      </c>
      <c r="HL17" s="5">
        <f>IFERROR(ROUND(HB17/HD17,2),0)</f>
        <v/>
      </c>
      <c r="HM17" s="5">
        <f>IFERROR(ROUND(HB17/HE17,2),0)</f>
        <v/>
      </c>
      <c r="HN17" s="2" t="inlineStr">
        <is>
          <t>2023-09-26</t>
        </is>
      </c>
      <c r="HO17" s="5">
        <f>ROUND(0.0,2)</f>
        <v/>
      </c>
      <c r="HP17" s="3">
        <f>ROUND(0.0,2)</f>
        <v/>
      </c>
      <c r="HQ17" s="3">
        <f>ROUND(0.0,2)</f>
        <v/>
      </c>
      <c r="HR17" s="3">
        <f>ROUND(0.0,2)</f>
        <v/>
      </c>
      <c r="HS17" s="3">
        <f>ROUND(0.0,2)</f>
        <v/>
      </c>
      <c r="HT17" s="3">
        <f>ROUND(0.0,2)</f>
        <v/>
      </c>
      <c r="HU17" s="3">
        <f>ROUND(0.0,2)</f>
        <v/>
      </c>
      <c r="HV17" s="3">
        <f>ROUND(0.0,2)</f>
        <v/>
      </c>
      <c r="HW17" s="4">
        <f>IFERROR((HQ17/HP17),0)</f>
        <v/>
      </c>
      <c r="HX17" s="4">
        <f>IFERROR(((0+HO11+HO12+HO13+HO14+HO15+HO16+HO17)/T2),0)</f>
        <v/>
      </c>
      <c r="HY17" s="5">
        <f>IFERROR(ROUND(HO17/HQ17,2),0)</f>
        <v/>
      </c>
      <c r="HZ17" s="5">
        <f>IFERROR(ROUND(HO17/HR17,2),0)</f>
        <v/>
      </c>
      <c r="IA17" s="2" t="inlineStr">
        <is>
          <t>2023-09-26</t>
        </is>
      </c>
      <c r="IB17" s="5">
        <f>ROUND(0.0,2)</f>
        <v/>
      </c>
      <c r="IC17" s="3">
        <f>ROUND(0.0,2)</f>
        <v/>
      </c>
      <c r="ID17" s="3">
        <f>ROUND(0.0,2)</f>
        <v/>
      </c>
      <c r="IE17" s="3">
        <f>ROUND(0.0,2)</f>
        <v/>
      </c>
      <c r="IF17" s="3">
        <f>ROUND(0.0,2)</f>
        <v/>
      </c>
      <c r="IG17" s="3">
        <f>ROUND(0.0,2)</f>
        <v/>
      </c>
      <c r="IH17" s="3">
        <f>ROUND(0.0,2)</f>
        <v/>
      </c>
      <c r="II17" s="3">
        <f>ROUND(0.0,2)</f>
        <v/>
      </c>
      <c r="IJ17" s="4">
        <f>IFERROR((ID17/IC17),0)</f>
        <v/>
      </c>
      <c r="IK17" s="4">
        <f>IFERROR(((0+IB11+IB12+IB13+IB14+IB15+IB16+IB17)/T2),0)</f>
        <v/>
      </c>
      <c r="IL17" s="5">
        <f>IFERROR(ROUND(IB17/ID17,2),0)</f>
        <v/>
      </c>
      <c r="IM17" s="5">
        <f>IFERROR(ROUND(IB17/IE17,2),0)</f>
        <v/>
      </c>
      <c r="IN17" s="2" t="inlineStr">
        <is>
          <t>2023-09-26</t>
        </is>
      </c>
      <c r="IO17" s="5">
        <f>ROUND(0.0,2)</f>
        <v/>
      </c>
      <c r="IP17" s="3">
        <f>ROUND(0.0,2)</f>
        <v/>
      </c>
      <c r="IQ17" s="3">
        <f>ROUND(0.0,2)</f>
        <v/>
      </c>
      <c r="IR17" s="3">
        <f>ROUND(0.0,2)</f>
        <v/>
      </c>
      <c r="IS17" s="3">
        <f>ROUND(0.0,2)</f>
        <v/>
      </c>
      <c r="IT17" s="3">
        <f>ROUND(0.0,2)</f>
        <v/>
      </c>
      <c r="IU17" s="3">
        <f>ROUND(0.0,2)</f>
        <v/>
      </c>
      <c r="IV17" s="3">
        <f>ROUND(0.0,2)</f>
        <v/>
      </c>
      <c r="IW17" s="4">
        <f>IFERROR((IQ17/IP17),0)</f>
        <v/>
      </c>
      <c r="IX17" s="4">
        <f>IFERROR(((0+IO11+IO12+IO13+IO14+IO15+IO16+IO17)/T2),0)</f>
        <v/>
      </c>
      <c r="IY17" s="5">
        <f>IFERROR(ROUND(IO17/IQ17,2),0)</f>
        <v/>
      </c>
      <c r="IZ17" s="5">
        <f>IFERROR(ROUND(IO17/IR17,2),0)</f>
        <v/>
      </c>
      <c r="JA17" s="2" t="inlineStr">
        <is>
          <t>2023-09-26</t>
        </is>
      </c>
      <c r="JB17" s="5">
        <f>ROUND(0.0,2)</f>
        <v/>
      </c>
      <c r="JC17" s="3">
        <f>ROUND(0.0,2)</f>
        <v/>
      </c>
      <c r="JD17" s="3">
        <f>ROUND(0.0,2)</f>
        <v/>
      </c>
      <c r="JE17" s="3">
        <f>ROUND(0.0,2)</f>
        <v/>
      </c>
      <c r="JF17" s="3">
        <f>ROUND(0.0,2)</f>
        <v/>
      </c>
      <c r="JG17" s="3">
        <f>ROUND(0.0,2)</f>
        <v/>
      </c>
      <c r="JH17" s="3">
        <f>ROUND(0.0,2)</f>
        <v/>
      </c>
      <c r="JI17" s="3">
        <f>ROUND(0.0,2)</f>
        <v/>
      </c>
      <c r="JJ17" s="4">
        <f>IFERROR((JD17/JC17),0)</f>
        <v/>
      </c>
      <c r="JK17" s="4">
        <f>IFERROR(((0+JB11+JB12+JB13+JB14+JB15+JB16+JB17)/T2),0)</f>
        <v/>
      </c>
      <c r="JL17" s="5">
        <f>IFERROR(ROUND(JB17/JD17,2),0)</f>
        <v/>
      </c>
      <c r="JM17" s="5">
        <f>IFERROR(ROUND(JB17/JE17,2),0)</f>
        <v/>
      </c>
    </row>
    <row r="18">
      <c r="A18" s="2" t="inlineStr">
        <is>
          <t>1 Weekly Total</t>
        </is>
      </c>
      <c r="B18" s="5">
        <f>ROUND(360.92,2)</f>
        <v/>
      </c>
      <c r="C18" s="3">
        <f>ROUND(61479.0,2)</f>
        <v/>
      </c>
      <c r="D18" s="3">
        <f>ROUND(1289.0,2)</f>
        <v/>
      </c>
      <c r="E18" s="3">
        <f>ROUND(4455.0,2)</f>
        <v/>
      </c>
      <c r="F18" s="3">
        <f>ROUND(3259.0,2)</f>
        <v/>
      </c>
      <c r="G18" s="3">
        <f>ROUND(1486.0,2)</f>
        <v/>
      </c>
      <c r="H18" s="3">
        <f>ROUND(1082.0,2)</f>
        <v/>
      </c>
      <c r="I18" s="3">
        <f>ROUND(820.0,2)</f>
        <v/>
      </c>
      <c r="J18" s="4">
        <f>IFERROR((D18/C18),0)</f>
        <v/>
      </c>
      <c r="K18" s="4">
        <f>IFERROR(((0+B11+B12+B13+B14+B15+B16+B17)/T2),0)</f>
        <v/>
      </c>
      <c r="L18" s="5">
        <f>IFERROR(ROUND(B18/D18,2),0)</f>
        <v/>
      </c>
      <c r="M18" s="5">
        <f>IFERROR(ROUND(B18/E18,2),0)</f>
        <v/>
      </c>
      <c r="N18" s="2" t="inlineStr">
        <is>
          <t>1 Weekly Total</t>
        </is>
      </c>
      <c r="O18" s="5">
        <f>ROUND(41.16,2)</f>
        <v/>
      </c>
      <c r="P18" s="3">
        <f>ROUND(8989.0,2)</f>
        <v/>
      </c>
      <c r="Q18" s="3">
        <f>ROUND(147.0,2)</f>
        <v/>
      </c>
      <c r="R18" s="3">
        <f>ROUND(1286.0,2)</f>
        <v/>
      </c>
      <c r="S18" s="3">
        <f>ROUND(778.0,2)</f>
        <v/>
      </c>
      <c r="T18" s="3">
        <f>ROUND(408.0,2)</f>
        <v/>
      </c>
      <c r="U18" s="3">
        <f>ROUND(327.0,2)</f>
        <v/>
      </c>
      <c r="V18" s="3">
        <f>ROUND(257.0,2)</f>
        <v/>
      </c>
      <c r="W18" s="4">
        <f>IFERROR((Q18/P18),0)</f>
        <v/>
      </c>
      <c r="X18" s="4">
        <f>IFERROR(((0+O11+O12+O13+O14+O15+O16+O17)/T2),0)</f>
        <v/>
      </c>
      <c r="Y18" s="5">
        <f>IFERROR(ROUND(O18/Q18,2),0)</f>
        <v/>
      </c>
      <c r="Z18" s="5">
        <f>IFERROR(ROUND(O18/R18,2),0)</f>
        <v/>
      </c>
      <c r="AA18" s="2" t="inlineStr">
        <is>
          <t>1 Weekly Total</t>
        </is>
      </c>
      <c r="AB18" s="5">
        <f>ROUND(31.92,2)</f>
        <v/>
      </c>
      <c r="AC18" s="3">
        <f>ROUND(5032.0,2)</f>
        <v/>
      </c>
      <c r="AD18" s="3">
        <f>ROUND(114.0,2)</f>
        <v/>
      </c>
      <c r="AE18" s="3">
        <f>ROUND(177.0,2)</f>
        <v/>
      </c>
      <c r="AF18" s="3">
        <f>ROUND(124.0,2)</f>
        <v/>
      </c>
      <c r="AG18" s="3">
        <f>ROUND(66.0,2)</f>
        <v/>
      </c>
      <c r="AH18" s="3">
        <f>ROUND(51.0,2)</f>
        <v/>
      </c>
      <c r="AI18" s="3">
        <f>ROUND(39.0,2)</f>
        <v/>
      </c>
      <c r="AJ18" s="4">
        <f>IFERROR((AD18/AC18),0)</f>
        <v/>
      </c>
      <c r="AK18" s="4">
        <f>IFERROR(((0+AB11+AB12+AB13+AB14+AB15+AB16+AB17)/T2),0)</f>
        <v/>
      </c>
      <c r="AL18" s="5">
        <f>IFERROR(ROUND(AB18/AD18,2),0)</f>
        <v/>
      </c>
      <c r="AM18" s="5">
        <f>IFERROR(ROUND(AB18/AE18,2),0)</f>
        <v/>
      </c>
      <c r="AN18" s="2" t="inlineStr">
        <is>
          <t>1 Weekly Total</t>
        </is>
      </c>
      <c r="AO18" s="5">
        <f>ROUND(9.8,2)</f>
        <v/>
      </c>
      <c r="AP18" s="3">
        <f>ROUND(2653.0,2)</f>
        <v/>
      </c>
      <c r="AQ18" s="3">
        <f>ROUND(35.0,2)</f>
        <v/>
      </c>
      <c r="AR18" s="3">
        <f>ROUND(299.0,2)</f>
        <v/>
      </c>
      <c r="AS18" s="3">
        <f>ROUND(258.0,2)</f>
        <v/>
      </c>
      <c r="AT18" s="3">
        <f>ROUND(109.0,2)</f>
        <v/>
      </c>
      <c r="AU18" s="3">
        <f>ROUND(60.0,2)</f>
        <v/>
      </c>
      <c r="AV18" s="3">
        <f>ROUND(41.0,2)</f>
        <v/>
      </c>
      <c r="AW18" s="4">
        <f>IFERROR((AQ18/AP18),0)</f>
        <v/>
      </c>
      <c r="AX18" s="4">
        <f>IFERROR(((0+AO11+AO12+AO13+AO14+AO15+AO16+AO17)/T2),0)</f>
        <v/>
      </c>
      <c r="AY18" s="5">
        <f>IFERROR(ROUND(AO18/AQ18,2),0)</f>
        <v/>
      </c>
      <c r="AZ18" s="5">
        <f>IFERROR(ROUND(AO18/AR18,2),0)</f>
        <v/>
      </c>
      <c r="BA18" s="2" t="inlineStr">
        <is>
          <t>1 Weekly Total</t>
        </is>
      </c>
      <c r="BB18" s="5">
        <f>ROUND(17.36,2)</f>
        <v/>
      </c>
      <c r="BC18" s="3">
        <f>ROUND(2289.0,2)</f>
        <v/>
      </c>
      <c r="BD18" s="3">
        <f>ROUND(62.0,2)</f>
        <v/>
      </c>
      <c r="BE18" s="3">
        <f>ROUND(205.0,2)</f>
        <v/>
      </c>
      <c r="BF18" s="3">
        <f>ROUND(169.0,2)</f>
        <v/>
      </c>
      <c r="BG18" s="3">
        <f>ROUND(71.0,2)</f>
        <v/>
      </c>
      <c r="BH18" s="3">
        <f>ROUND(39.0,2)</f>
        <v/>
      </c>
      <c r="BI18" s="3">
        <f>ROUND(28.0,2)</f>
        <v/>
      </c>
      <c r="BJ18" s="4">
        <f>IFERROR((BD18/BC18),0)</f>
        <v/>
      </c>
      <c r="BK18" s="4">
        <f>IFERROR(((0+BB11+BB12+BB13+BB14+BB15+BB16+BB17)/T2),0)</f>
        <v/>
      </c>
      <c r="BL18" s="5">
        <f>IFERROR(ROUND(BB18/BD18,2),0)</f>
        <v/>
      </c>
      <c r="BM18" s="5">
        <f>IFERROR(ROUND(BB18/BE18,2),0)</f>
        <v/>
      </c>
      <c r="BN18" s="2" t="inlineStr">
        <is>
          <t>1 Weekly Total</t>
        </is>
      </c>
      <c r="BO18" s="5">
        <f>ROUND(81.2,2)</f>
        <v/>
      </c>
      <c r="BP18" s="3">
        <f>ROUND(15658.0,2)</f>
        <v/>
      </c>
      <c r="BQ18" s="3">
        <f>ROUND(290.0,2)</f>
        <v/>
      </c>
      <c r="BR18" s="3">
        <f>ROUND(632.0,2)</f>
        <v/>
      </c>
      <c r="BS18" s="3">
        <f>ROUND(463.0,2)</f>
        <v/>
      </c>
      <c r="BT18" s="3">
        <f>ROUND(210.0,2)</f>
        <v/>
      </c>
      <c r="BU18" s="3">
        <f>ROUND(165.0,2)</f>
        <v/>
      </c>
      <c r="BV18" s="3">
        <f>ROUND(130.0,2)</f>
        <v/>
      </c>
      <c r="BW18" s="4">
        <f>IFERROR((BQ18/BP18),0)</f>
        <v/>
      </c>
      <c r="BX18" s="4">
        <f>IFERROR(((0+BO11+BO12+BO13+BO14+BO15+BO16+BO17)/T2),0)</f>
        <v/>
      </c>
      <c r="BY18" s="5">
        <f>IFERROR(ROUND(BO18/BQ18,2),0)</f>
        <v/>
      </c>
      <c r="BZ18" s="5">
        <f>IFERROR(ROUND(BO18/BR18,2),0)</f>
        <v/>
      </c>
      <c r="CA18" s="2" t="inlineStr">
        <is>
          <t>1 Weekly Total</t>
        </is>
      </c>
      <c r="CB18" s="5">
        <f>ROUND(108.92,2)</f>
        <v/>
      </c>
      <c r="CC18" s="3">
        <f>ROUND(15262.0,2)</f>
        <v/>
      </c>
      <c r="CD18" s="3">
        <f>ROUND(389.0,2)</f>
        <v/>
      </c>
      <c r="CE18" s="3">
        <f>ROUND(1068.0,2)</f>
        <v/>
      </c>
      <c r="CF18" s="3">
        <f>ROUND(841.0,2)</f>
        <v/>
      </c>
      <c r="CG18" s="3">
        <f>ROUND(308.0,2)</f>
        <v/>
      </c>
      <c r="CH18" s="3">
        <f>ROUND(202.0,2)</f>
        <v/>
      </c>
      <c r="CI18" s="3">
        <f>ROUND(138.0,2)</f>
        <v/>
      </c>
      <c r="CJ18" s="4">
        <f>IFERROR((CD18/CC18),0)</f>
        <v/>
      </c>
      <c r="CK18" s="4">
        <f>IFERROR(((0+CB11+CB12+CB13+CB14+CB15+CB16+CB17)/T2),0)</f>
        <v/>
      </c>
      <c r="CL18" s="5">
        <f>IFERROR(ROUND(CB18/CD18,2),0)</f>
        <v/>
      </c>
      <c r="CM18" s="5">
        <f>IFERROR(ROUND(CB18/CE18,2),0)</f>
        <v/>
      </c>
      <c r="CN18" s="2" t="inlineStr">
        <is>
          <t>1 Weekly Total</t>
        </is>
      </c>
      <c r="CO18" s="5">
        <f>ROUND(13.44,2)</f>
        <v/>
      </c>
      <c r="CP18" s="3">
        <f>ROUND(3035.0,2)</f>
        <v/>
      </c>
      <c r="CQ18" s="3">
        <f>ROUND(48.0,2)</f>
        <v/>
      </c>
      <c r="CR18" s="3">
        <f>ROUND(149.0,2)</f>
        <v/>
      </c>
      <c r="CS18" s="3">
        <f>ROUND(111.0,2)</f>
        <v/>
      </c>
      <c r="CT18" s="3">
        <f>ROUND(56.0,2)</f>
        <v/>
      </c>
      <c r="CU18" s="3">
        <f>ROUND(43.0,2)</f>
        <v/>
      </c>
      <c r="CV18" s="3">
        <f>ROUND(32.0,2)</f>
        <v/>
      </c>
      <c r="CW18" s="4">
        <f>IFERROR((CQ18/CP18),0)</f>
        <v/>
      </c>
      <c r="CX18" s="4">
        <f>IFERROR(((0+CO11+CO12+CO13+CO14+CO15+CO16+CO17)/T2),0)</f>
        <v/>
      </c>
      <c r="CY18" s="5">
        <f>IFERROR(ROUND(CO18/CQ18,2),0)</f>
        <v/>
      </c>
      <c r="CZ18" s="5">
        <f>IFERROR(ROUND(CO18/CR18,2),0)</f>
        <v/>
      </c>
      <c r="DA18" s="2" t="inlineStr">
        <is>
          <t>1 Weekly Total</t>
        </is>
      </c>
      <c r="DB18" s="5">
        <f>ROUND(14.28,2)</f>
        <v/>
      </c>
      <c r="DC18" s="3">
        <f>ROUND(2122.0,2)</f>
        <v/>
      </c>
      <c r="DD18" s="3">
        <f>ROUND(51.0,2)</f>
        <v/>
      </c>
      <c r="DE18" s="3">
        <f>ROUND(212.0,2)</f>
        <v/>
      </c>
      <c r="DF18" s="3">
        <f>ROUND(174.0,2)</f>
        <v/>
      </c>
      <c r="DG18" s="3">
        <f>ROUND(83.0,2)</f>
        <v/>
      </c>
      <c r="DH18" s="3">
        <f>ROUND(62.0,2)</f>
        <v/>
      </c>
      <c r="DI18" s="3">
        <f>ROUND(44.0,2)</f>
        <v/>
      </c>
      <c r="DJ18" s="4">
        <f>IFERROR((DD18/DC18),0)</f>
        <v/>
      </c>
      <c r="DK18" s="4">
        <f>IFERROR(((0+DB11+DB12+DB13+DB14+DB15+DB16+DB17)/T2),0)</f>
        <v/>
      </c>
      <c r="DL18" s="5">
        <f>IFERROR(ROUND(DB18/DD18,2),0)</f>
        <v/>
      </c>
      <c r="DM18" s="5">
        <f>IFERROR(ROUND(DB18/DE18,2),0)</f>
        <v/>
      </c>
      <c r="DN18" s="2" t="inlineStr">
        <is>
          <t>1 Weekly Total</t>
        </is>
      </c>
      <c r="DO18" s="5">
        <f>ROUND(1.96,2)</f>
        <v/>
      </c>
      <c r="DP18" s="3">
        <f>ROUND(1126.0,2)</f>
        <v/>
      </c>
      <c r="DQ18" s="3">
        <f>ROUND(7.0,2)</f>
        <v/>
      </c>
      <c r="DR18" s="3">
        <f>ROUND(148.0,2)</f>
        <v/>
      </c>
      <c r="DS18" s="3">
        <f>ROUND(117.0,2)</f>
        <v/>
      </c>
      <c r="DT18" s="3">
        <f>ROUND(66.0,2)</f>
        <v/>
      </c>
      <c r="DU18" s="3">
        <f>ROUND(49.0,2)</f>
        <v/>
      </c>
      <c r="DV18" s="3">
        <f>ROUND(40.0,2)</f>
        <v/>
      </c>
      <c r="DW18" s="4">
        <f>IFERROR((DQ18/DP18),0)</f>
        <v/>
      </c>
      <c r="DX18" s="4">
        <f>IFERROR(((0+DO11+DO12+DO13+DO14+DO15+DO16+DO17)/T2),0)</f>
        <v/>
      </c>
      <c r="DY18" s="5">
        <f>IFERROR(ROUND(DO18/DQ18,2),0)</f>
        <v/>
      </c>
      <c r="DZ18" s="5">
        <f>IFERROR(ROUND(DO18/DR18,2),0)</f>
        <v/>
      </c>
      <c r="EA18" s="2" t="inlineStr">
        <is>
          <t>1 Weekly Total</t>
        </is>
      </c>
      <c r="EB18" s="5">
        <f>ROUND(40.88,2)</f>
        <v/>
      </c>
      <c r="EC18" s="3">
        <f>ROUND(5313.0,2)</f>
        <v/>
      </c>
      <c r="ED18" s="3">
        <f>ROUND(146.0,2)</f>
        <v/>
      </c>
      <c r="EE18" s="3">
        <f>ROUND(279.0,2)</f>
        <v/>
      </c>
      <c r="EF18" s="3">
        <f>ROUND(224.0,2)</f>
        <v/>
      </c>
      <c r="EG18" s="3">
        <f>ROUND(109.0,2)</f>
        <v/>
      </c>
      <c r="EH18" s="3">
        <f>ROUND(84.0,2)</f>
        <v/>
      </c>
      <c r="EI18" s="3">
        <f>ROUND(71.0,2)</f>
        <v/>
      </c>
      <c r="EJ18" s="4">
        <f>IFERROR((ED18/EC18),0)</f>
        <v/>
      </c>
      <c r="EK18" s="4">
        <f>IFERROR(((0+EB11+EB12+EB13+EB14+EB15+EB16+EB17)/T2),0)</f>
        <v/>
      </c>
      <c r="EL18" s="5">
        <f>IFERROR(ROUND(EB18/ED18,2),0)</f>
        <v/>
      </c>
      <c r="EM18" s="5">
        <f>IFERROR(ROUND(EB18/EE18,2),0)</f>
        <v/>
      </c>
      <c r="EN18" s="2" t="inlineStr">
        <is>
          <t>1 Weekly Total</t>
        </is>
      </c>
      <c r="EO18" s="5">
        <f>ROUND(0.0,2)</f>
        <v/>
      </c>
      <c r="EP18" s="3">
        <f>ROUND(0.0,2)</f>
        <v/>
      </c>
      <c r="EQ18" s="3">
        <f>ROUND(0.0,2)</f>
        <v/>
      </c>
      <c r="ER18" s="3">
        <f>ROUND(0.0,2)</f>
        <v/>
      </c>
      <c r="ES18" s="3">
        <f>ROUND(0.0,2)</f>
        <v/>
      </c>
      <c r="ET18" s="3">
        <f>ROUND(0.0,2)</f>
        <v/>
      </c>
      <c r="EU18" s="3">
        <f>ROUND(0.0,2)</f>
        <v/>
      </c>
      <c r="EV18" s="3">
        <f>ROUND(0.0,2)</f>
        <v/>
      </c>
      <c r="EW18" s="4">
        <f>IFERROR((EQ18/EP18),0)</f>
        <v/>
      </c>
      <c r="EX18" s="4">
        <f>IFERROR(((0+EO11+EO12+EO13+EO14+EO15+EO16+EO17)/T2),0)</f>
        <v/>
      </c>
      <c r="EY18" s="5">
        <f>IFERROR(ROUND(EO18/EQ18,2),0)</f>
        <v/>
      </c>
      <c r="EZ18" s="5">
        <f>IFERROR(ROUND(EO18/ER18,2),0)</f>
        <v/>
      </c>
      <c r="FA18" s="2" t="inlineStr">
        <is>
          <t>1 Weekly Total</t>
        </is>
      </c>
      <c r="FB18" s="5">
        <f>ROUND(0.0,2)</f>
        <v/>
      </c>
      <c r="FC18" s="3">
        <f>ROUND(0.0,2)</f>
        <v/>
      </c>
      <c r="FD18" s="3">
        <f>ROUND(0.0,2)</f>
        <v/>
      </c>
      <c r="FE18" s="3">
        <f>ROUND(0.0,2)</f>
        <v/>
      </c>
      <c r="FF18" s="3">
        <f>ROUND(0.0,2)</f>
        <v/>
      </c>
      <c r="FG18" s="3">
        <f>ROUND(0.0,2)</f>
        <v/>
      </c>
      <c r="FH18" s="3">
        <f>ROUND(0.0,2)</f>
        <v/>
      </c>
      <c r="FI18" s="3">
        <f>ROUND(0.0,2)</f>
        <v/>
      </c>
      <c r="FJ18" s="4">
        <f>IFERROR((FD18/FC18),0)</f>
        <v/>
      </c>
      <c r="FK18" s="4">
        <f>IFERROR(((0+FB11+FB12+FB13+FB14+FB15+FB16+FB17)/T2),0)</f>
        <v/>
      </c>
      <c r="FL18" s="5">
        <f>IFERROR(ROUND(FB18/FD18,2),0)</f>
        <v/>
      </c>
      <c r="FM18" s="5">
        <f>IFERROR(ROUND(FB18/FE18,2),0)</f>
        <v/>
      </c>
      <c r="FN18" s="2" t="inlineStr">
        <is>
          <t>1 Weekly Total</t>
        </is>
      </c>
      <c r="FO18" s="5">
        <f>ROUND(0.0,2)</f>
        <v/>
      </c>
      <c r="FP18" s="3">
        <f>ROUND(0.0,2)</f>
        <v/>
      </c>
      <c r="FQ18" s="3">
        <f>ROUND(0.0,2)</f>
        <v/>
      </c>
      <c r="FR18" s="3">
        <f>ROUND(0.0,2)</f>
        <v/>
      </c>
      <c r="FS18" s="3">
        <f>ROUND(0.0,2)</f>
        <v/>
      </c>
      <c r="FT18" s="3">
        <f>ROUND(0.0,2)</f>
        <v/>
      </c>
      <c r="FU18" s="3">
        <f>ROUND(0.0,2)</f>
        <v/>
      </c>
      <c r="FV18" s="3">
        <f>ROUND(0.0,2)</f>
        <v/>
      </c>
      <c r="FW18" s="4">
        <f>IFERROR((FQ18/FP18),0)</f>
        <v/>
      </c>
      <c r="FX18" s="4">
        <f>IFERROR(((0+FO11+FO12+FO13+FO14+FO15+FO16+FO17)/T2),0)</f>
        <v/>
      </c>
      <c r="FY18" s="5">
        <f>IFERROR(ROUND(FO18/FQ18,2),0)</f>
        <v/>
      </c>
      <c r="FZ18" s="5">
        <f>IFERROR(ROUND(FO18/FR18,2),0)</f>
        <v/>
      </c>
      <c r="GA18" s="2" t="inlineStr">
        <is>
          <t>1 Weekly Total</t>
        </is>
      </c>
      <c r="GB18" s="5">
        <f>ROUND(0.0,2)</f>
        <v/>
      </c>
      <c r="GC18" s="3">
        <f>ROUND(0.0,2)</f>
        <v/>
      </c>
      <c r="GD18" s="3">
        <f>ROUND(0.0,2)</f>
        <v/>
      </c>
      <c r="GE18" s="3">
        <f>ROUND(0.0,2)</f>
        <v/>
      </c>
      <c r="GF18" s="3">
        <f>ROUND(0.0,2)</f>
        <v/>
      </c>
      <c r="GG18" s="3">
        <f>ROUND(0.0,2)</f>
        <v/>
      </c>
      <c r="GH18" s="3">
        <f>ROUND(0.0,2)</f>
        <v/>
      </c>
      <c r="GI18" s="3">
        <f>ROUND(0.0,2)</f>
        <v/>
      </c>
      <c r="GJ18" s="4">
        <f>IFERROR((GD18/GC18),0)</f>
        <v/>
      </c>
      <c r="GK18" s="4">
        <f>IFERROR(((0+GB11+GB12+GB13+GB14+GB15+GB16+GB17)/T2),0)</f>
        <v/>
      </c>
      <c r="GL18" s="5">
        <f>IFERROR(ROUND(GB18/GD18,2),0)</f>
        <v/>
      </c>
      <c r="GM18" s="5">
        <f>IFERROR(ROUND(GB18/GE18,2),0)</f>
        <v/>
      </c>
      <c r="GN18" s="2" t="inlineStr">
        <is>
          <t>1 Weekly Total</t>
        </is>
      </c>
      <c r="GO18" s="5">
        <f>ROUND(0.0,2)</f>
        <v/>
      </c>
      <c r="GP18" s="3">
        <f>ROUND(0.0,2)</f>
        <v/>
      </c>
      <c r="GQ18" s="3">
        <f>ROUND(0.0,2)</f>
        <v/>
      </c>
      <c r="GR18" s="3">
        <f>ROUND(0.0,2)</f>
        <v/>
      </c>
      <c r="GS18" s="3">
        <f>ROUND(0.0,2)</f>
        <v/>
      </c>
      <c r="GT18" s="3">
        <f>ROUND(0.0,2)</f>
        <v/>
      </c>
      <c r="GU18" s="3">
        <f>ROUND(0.0,2)</f>
        <v/>
      </c>
      <c r="GV18" s="3">
        <f>ROUND(0.0,2)</f>
        <v/>
      </c>
      <c r="GW18" s="4">
        <f>IFERROR((GQ18/GP18),0)</f>
        <v/>
      </c>
      <c r="GX18" s="4">
        <f>IFERROR(((0+GO11+GO12+GO13+GO14+GO15+GO16+GO17)/T2),0)</f>
        <v/>
      </c>
      <c r="GY18" s="5">
        <f>IFERROR(ROUND(GO18/GQ18,2),0)</f>
        <v/>
      </c>
      <c r="GZ18" s="5">
        <f>IFERROR(ROUND(GO18/GR18,2),0)</f>
        <v/>
      </c>
      <c r="HA18" s="2" t="inlineStr">
        <is>
          <t>1 Weekly Total</t>
        </is>
      </c>
      <c r="HB18" s="5">
        <f>ROUND(0.0,2)</f>
        <v/>
      </c>
      <c r="HC18" s="3">
        <f>ROUND(0.0,2)</f>
        <v/>
      </c>
      <c r="HD18" s="3">
        <f>ROUND(0.0,2)</f>
        <v/>
      </c>
      <c r="HE18" s="3">
        <f>ROUND(0.0,2)</f>
        <v/>
      </c>
      <c r="HF18" s="3">
        <f>ROUND(0.0,2)</f>
        <v/>
      </c>
      <c r="HG18" s="3">
        <f>ROUND(0.0,2)</f>
        <v/>
      </c>
      <c r="HH18" s="3">
        <f>ROUND(0.0,2)</f>
        <v/>
      </c>
      <c r="HI18" s="3">
        <f>ROUND(0.0,2)</f>
        <v/>
      </c>
      <c r="HJ18" s="4">
        <f>IFERROR((HD18/HC18),0)</f>
        <v/>
      </c>
      <c r="HK18" s="4">
        <f>IFERROR(((0+HB11+HB12+HB13+HB14+HB15+HB16+HB17)/T2),0)</f>
        <v/>
      </c>
      <c r="HL18" s="5">
        <f>IFERROR(ROUND(HB18/HD18,2),0)</f>
        <v/>
      </c>
      <c r="HM18" s="5">
        <f>IFERROR(ROUND(HB18/HE18,2),0)</f>
        <v/>
      </c>
      <c r="HN18" s="2" t="inlineStr">
        <is>
          <t>1 Weekly Total</t>
        </is>
      </c>
      <c r="HO18" s="5">
        <f>ROUND(0.0,2)</f>
        <v/>
      </c>
      <c r="HP18" s="3">
        <f>ROUND(0.0,2)</f>
        <v/>
      </c>
      <c r="HQ18" s="3">
        <f>ROUND(0.0,2)</f>
        <v/>
      </c>
      <c r="HR18" s="3">
        <f>ROUND(0.0,2)</f>
        <v/>
      </c>
      <c r="HS18" s="3">
        <f>ROUND(0.0,2)</f>
        <v/>
      </c>
      <c r="HT18" s="3">
        <f>ROUND(0.0,2)</f>
        <v/>
      </c>
      <c r="HU18" s="3">
        <f>ROUND(0.0,2)</f>
        <v/>
      </c>
      <c r="HV18" s="3">
        <f>ROUND(0.0,2)</f>
        <v/>
      </c>
      <c r="HW18" s="4">
        <f>IFERROR((HQ18/HP18),0)</f>
        <v/>
      </c>
      <c r="HX18" s="4">
        <f>IFERROR(((0+HO11+HO12+HO13+HO14+HO15+HO16+HO17)/T2),0)</f>
        <v/>
      </c>
      <c r="HY18" s="5">
        <f>IFERROR(ROUND(HO18/HQ18,2),0)</f>
        <v/>
      </c>
      <c r="HZ18" s="5">
        <f>IFERROR(ROUND(HO18/HR18,2),0)</f>
        <v/>
      </c>
      <c r="IA18" s="2" t="inlineStr">
        <is>
          <t>1 Weekly Total</t>
        </is>
      </c>
      <c r="IB18" s="5">
        <f>ROUND(0.0,2)</f>
        <v/>
      </c>
      <c r="IC18" s="3">
        <f>ROUND(0.0,2)</f>
        <v/>
      </c>
      <c r="ID18" s="3">
        <f>ROUND(0.0,2)</f>
        <v/>
      </c>
      <c r="IE18" s="3">
        <f>ROUND(0.0,2)</f>
        <v/>
      </c>
      <c r="IF18" s="3">
        <f>ROUND(0.0,2)</f>
        <v/>
      </c>
      <c r="IG18" s="3">
        <f>ROUND(0.0,2)</f>
        <v/>
      </c>
      <c r="IH18" s="3">
        <f>ROUND(0.0,2)</f>
        <v/>
      </c>
      <c r="II18" s="3">
        <f>ROUND(0.0,2)</f>
        <v/>
      </c>
      <c r="IJ18" s="4">
        <f>IFERROR((ID18/IC18),0)</f>
        <v/>
      </c>
      <c r="IK18" s="4">
        <f>IFERROR(((0+IB11+IB12+IB13+IB14+IB15+IB16+IB17)/T2),0)</f>
        <v/>
      </c>
      <c r="IL18" s="5">
        <f>IFERROR(ROUND(IB18/ID18,2),0)</f>
        <v/>
      </c>
      <c r="IM18" s="5">
        <f>IFERROR(ROUND(IB18/IE18,2),0)</f>
        <v/>
      </c>
      <c r="IN18" s="2" t="inlineStr">
        <is>
          <t>1 Weekly Total</t>
        </is>
      </c>
      <c r="IO18" s="5">
        <f>ROUND(0.0,2)</f>
        <v/>
      </c>
      <c r="IP18" s="3">
        <f>ROUND(0.0,2)</f>
        <v/>
      </c>
      <c r="IQ18" s="3">
        <f>ROUND(0.0,2)</f>
        <v/>
      </c>
      <c r="IR18" s="3">
        <f>ROUND(0.0,2)</f>
        <v/>
      </c>
      <c r="IS18" s="3">
        <f>ROUND(0.0,2)</f>
        <v/>
      </c>
      <c r="IT18" s="3">
        <f>ROUND(0.0,2)</f>
        <v/>
      </c>
      <c r="IU18" s="3">
        <f>ROUND(0.0,2)</f>
        <v/>
      </c>
      <c r="IV18" s="3">
        <f>ROUND(0.0,2)</f>
        <v/>
      </c>
      <c r="IW18" s="4">
        <f>IFERROR((IQ18/IP18),0)</f>
        <v/>
      </c>
      <c r="IX18" s="4">
        <f>IFERROR(((0+IO11+IO12+IO13+IO14+IO15+IO16+IO17)/T2),0)</f>
        <v/>
      </c>
      <c r="IY18" s="5">
        <f>IFERROR(ROUND(IO18/IQ18,2),0)</f>
        <v/>
      </c>
      <c r="IZ18" s="5">
        <f>IFERROR(ROUND(IO18/IR18,2),0)</f>
        <v/>
      </c>
      <c r="JA18" s="2" t="inlineStr">
        <is>
          <t>1 Weekly Total</t>
        </is>
      </c>
      <c r="JB18" s="5">
        <f>ROUND(0.0,2)</f>
        <v/>
      </c>
      <c r="JC18" s="3">
        <f>ROUND(0.0,2)</f>
        <v/>
      </c>
      <c r="JD18" s="3">
        <f>ROUND(0.0,2)</f>
        <v/>
      </c>
      <c r="JE18" s="3">
        <f>ROUND(0.0,2)</f>
        <v/>
      </c>
      <c r="JF18" s="3">
        <f>ROUND(0.0,2)</f>
        <v/>
      </c>
      <c r="JG18" s="3">
        <f>ROUND(0.0,2)</f>
        <v/>
      </c>
      <c r="JH18" s="3">
        <f>ROUND(0.0,2)</f>
        <v/>
      </c>
      <c r="JI18" s="3">
        <f>ROUND(0.0,2)</f>
        <v/>
      </c>
      <c r="JJ18" s="4">
        <f>IFERROR((JD18/JC18),0)</f>
        <v/>
      </c>
      <c r="JK18" s="4">
        <f>IFERROR(((0+JB11+JB12+JB13+JB14+JB15+JB16+JB17)/T2),0)</f>
        <v/>
      </c>
      <c r="JL18" s="5">
        <f>IFERROR(ROUND(JB18/JD18,2),0)</f>
        <v/>
      </c>
      <c r="JM18" s="5">
        <f>IFERROR(ROUND(JB18/JE18,2),0)</f>
        <v/>
      </c>
    </row>
    <row r="19">
      <c r="A19" s="2" t="inlineStr">
        <is>
          <t>2023-09-27</t>
        </is>
      </c>
      <c r="B19" s="5">
        <f>ROUND(146.16000000000003,2)</f>
        <v/>
      </c>
      <c r="C19" s="3">
        <f>ROUND(21077.0,2)</f>
        <v/>
      </c>
      <c r="D19" s="3">
        <f>ROUND(522.0,2)</f>
        <v/>
      </c>
      <c r="E19" s="3">
        <f>ROUND(1717.0,2)</f>
        <v/>
      </c>
      <c r="F19" s="3">
        <f>ROUND(1364.0,2)</f>
        <v/>
      </c>
      <c r="G19" s="3">
        <f>ROUND(634.0,2)</f>
        <v/>
      </c>
      <c r="H19" s="3">
        <f>ROUND(456.0,2)</f>
        <v/>
      </c>
      <c r="I19" s="3">
        <f>ROUND(327.0,2)</f>
        <v/>
      </c>
      <c r="J19" s="4">
        <f>IFERROR((D19/C19),0)</f>
        <v/>
      </c>
      <c r="K19" s="4">
        <f>IFERROR(((0+B11+B12+B13+B14+B15+B16+B17+B19)/T2),0)</f>
        <v/>
      </c>
      <c r="L19" s="5">
        <f>IFERROR(ROUND(B19/D19,2),0)</f>
        <v/>
      </c>
      <c r="M19" s="5">
        <f>IFERROR(ROUND(B19/E19,2),0)</f>
        <v/>
      </c>
      <c r="N19" s="2" t="inlineStr">
        <is>
          <t>2023-09-27</t>
        </is>
      </c>
      <c r="O19" s="5">
        <f>ROUND(16.520000000000003,2)</f>
        <v/>
      </c>
      <c r="P19" s="3">
        <f>ROUND(2587.0,2)</f>
        <v/>
      </c>
      <c r="Q19" s="3">
        <f>ROUND(59.0,2)</f>
        <v/>
      </c>
      <c r="R19" s="3">
        <f>ROUND(275.0,2)</f>
        <v/>
      </c>
      <c r="S19" s="3">
        <f>ROUND(200.0,2)</f>
        <v/>
      </c>
      <c r="T19" s="3">
        <f>ROUND(93.0,2)</f>
        <v/>
      </c>
      <c r="U19" s="3">
        <f>ROUND(73.0,2)</f>
        <v/>
      </c>
      <c r="V19" s="3">
        <f>ROUND(58.0,2)</f>
        <v/>
      </c>
      <c r="W19" s="4">
        <f>IFERROR((Q19/P19),0)</f>
        <v/>
      </c>
      <c r="X19" s="4">
        <f>IFERROR(((0+O11+O12+O13+O14+O15+O16+O17+O19)/T2),0)</f>
        <v/>
      </c>
      <c r="Y19" s="5">
        <f>IFERROR(ROUND(O19/Q19,2),0)</f>
        <v/>
      </c>
      <c r="Z19" s="5">
        <f>IFERROR(ROUND(O19/R19,2),0)</f>
        <v/>
      </c>
      <c r="AA19" s="2" t="inlineStr">
        <is>
          <t>2023-09-27</t>
        </is>
      </c>
      <c r="AB19" s="5">
        <f>ROUND(3.9200000000000004,2)</f>
        <v/>
      </c>
      <c r="AC19" s="3">
        <f>ROUND(662.0,2)</f>
        <v/>
      </c>
      <c r="AD19" s="3">
        <f>ROUND(14.0,2)</f>
        <v/>
      </c>
      <c r="AE19" s="3">
        <f>ROUND(21.0,2)</f>
        <v/>
      </c>
      <c r="AF19" s="3">
        <f>ROUND(16.0,2)</f>
        <v/>
      </c>
      <c r="AG19" s="3">
        <f>ROUND(8.0,2)</f>
        <v/>
      </c>
      <c r="AH19" s="3">
        <f>ROUND(6.0,2)</f>
        <v/>
      </c>
      <c r="AI19" s="3">
        <f>ROUND(6.0,2)</f>
        <v/>
      </c>
      <c r="AJ19" s="4">
        <f>IFERROR((AD19/AC19),0)</f>
        <v/>
      </c>
      <c r="AK19" s="4">
        <f>IFERROR(((0+AB11+AB12+AB13+AB14+AB15+AB16+AB17+AB19)/T2),0)</f>
        <v/>
      </c>
      <c r="AL19" s="5">
        <f>IFERROR(ROUND(AB19/AD19,2),0)</f>
        <v/>
      </c>
      <c r="AM19" s="5">
        <f>IFERROR(ROUND(AB19/AE19,2),0)</f>
        <v/>
      </c>
      <c r="AN19" s="2" t="inlineStr">
        <is>
          <t>2023-09-27</t>
        </is>
      </c>
      <c r="AO19" s="5">
        <f>ROUND(1.12,2)</f>
        <v/>
      </c>
      <c r="AP19" s="3">
        <f>ROUND(193.0,2)</f>
        <v/>
      </c>
      <c r="AQ19" s="3">
        <f>ROUND(4.0,2)</f>
        <v/>
      </c>
      <c r="AR19" s="3">
        <f>ROUND(6.0,2)</f>
        <v/>
      </c>
      <c r="AS19" s="3">
        <f>ROUND(5.0,2)</f>
        <v/>
      </c>
      <c r="AT19" s="3">
        <f>ROUND(2.0,2)</f>
        <v/>
      </c>
      <c r="AU19" s="3">
        <f>ROUND(1.0,2)</f>
        <v/>
      </c>
      <c r="AV19" s="3">
        <f>ROUND(1.0,2)</f>
        <v/>
      </c>
      <c r="AW19" s="4">
        <f>IFERROR((AQ19/AP19),0)</f>
        <v/>
      </c>
      <c r="AX19" s="4">
        <f>IFERROR(((0+AO11+AO12+AO13+AO14+AO15+AO16+AO17+AO19)/T2),0)</f>
        <v/>
      </c>
      <c r="AY19" s="5">
        <f>IFERROR(ROUND(AO19/AQ19,2),0)</f>
        <v/>
      </c>
      <c r="AZ19" s="5">
        <f>IFERROR(ROUND(AO19/AR19,2),0)</f>
        <v/>
      </c>
      <c r="BA19" s="2" t="inlineStr">
        <is>
          <t>2023-09-27</t>
        </is>
      </c>
      <c r="BB19" s="5">
        <f>ROUND(0.8400000000000001,2)</f>
        <v/>
      </c>
      <c r="BC19" s="3">
        <f>ROUND(434.0,2)</f>
        <v/>
      </c>
      <c r="BD19" s="3">
        <f>ROUND(3.0,2)</f>
        <v/>
      </c>
      <c r="BE19" s="3">
        <f>ROUND(25.0,2)</f>
        <v/>
      </c>
      <c r="BF19" s="3">
        <f>ROUND(19.0,2)</f>
        <v/>
      </c>
      <c r="BG19" s="3">
        <f>ROUND(5.0,2)</f>
        <v/>
      </c>
      <c r="BH19" s="3">
        <f>ROUND(3.0,2)</f>
        <v/>
      </c>
      <c r="BI19" s="3">
        <f>ROUND(2.0,2)</f>
        <v/>
      </c>
      <c r="BJ19" s="4">
        <f>IFERROR((BD19/BC19),0)</f>
        <v/>
      </c>
      <c r="BK19" s="4">
        <f>IFERROR(((0+BB11+BB12+BB13+BB14+BB15+BB16+BB17+BB19)/T2),0)</f>
        <v/>
      </c>
      <c r="BL19" s="5">
        <f>IFERROR(ROUND(BB19/BD19,2),0)</f>
        <v/>
      </c>
      <c r="BM19" s="5">
        <f>IFERROR(ROUND(BB19/BE19,2),0)</f>
        <v/>
      </c>
      <c r="BN19" s="2" t="inlineStr">
        <is>
          <t>2023-09-27</t>
        </is>
      </c>
      <c r="BO19" s="5">
        <f>ROUND(6.44,2)</f>
        <v/>
      </c>
      <c r="BP19" s="3">
        <f>ROUND(1368.0,2)</f>
        <v/>
      </c>
      <c r="BQ19" s="3">
        <f>ROUND(23.0,2)</f>
        <v/>
      </c>
      <c r="BR19" s="3">
        <f>ROUND(38.0,2)</f>
        <v/>
      </c>
      <c r="BS19" s="3">
        <f>ROUND(22.0,2)</f>
        <v/>
      </c>
      <c r="BT19" s="3">
        <f>ROUND(14.0,2)</f>
        <v/>
      </c>
      <c r="BU19" s="3">
        <f>ROUND(10.0,2)</f>
        <v/>
      </c>
      <c r="BV19" s="3">
        <f>ROUND(9.0,2)</f>
        <v/>
      </c>
      <c r="BW19" s="4">
        <f>IFERROR((BQ19/BP19),0)</f>
        <v/>
      </c>
      <c r="BX19" s="4">
        <f>IFERROR(((0+BO11+BO12+BO13+BO14+BO15+BO16+BO17+BO19)/T2),0)</f>
        <v/>
      </c>
      <c r="BY19" s="5">
        <f>IFERROR(ROUND(BO19/BQ19,2),0)</f>
        <v/>
      </c>
      <c r="BZ19" s="5">
        <f>IFERROR(ROUND(BO19/BR19,2),0)</f>
        <v/>
      </c>
      <c r="CA19" s="2" t="inlineStr">
        <is>
          <t>2023-09-27</t>
        </is>
      </c>
      <c r="CB19" s="5">
        <f>ROUND(10.920000000000002,2)</f>
        <v/>
      </c>
      <c r="CC19" s="3">
        <f>ROUND(1390.0,2)</f>
        <v/>
      </c>
      <c r="CD19" s="3">
        <f>ROUND(39.0,2)</f>
        <v/>
      </c>
      <c r="CE19" s="3">
        <f>ROUND(177.0,2)</f>
        <v/>
      </c>
      <c r="CF19" s="3">
        <f>ROUND(153.0,2)</f>
        <v/>
      </c>
      <c r="CG19" s="3">
        <f>ROUND(48.0,2)</f>
        <v/>
      </c>
      <c r="CH19" s="3">
        <f>ROUND(30.0,2)</f>
        <v/>
      </c>
      <c r="CI19" s="3">
        <f>ROUND(20.0,2)</f>
        <v/>
      </c>
      <c r="CJ19" s="4">
        <f>IFERROR((CD19/CC19),0)</f>
        <v/>
      </c>
      <c r="CK19" s="4">
        <f>IFERROR(((0+CB11+CB12+CB13+CB14+CB15+CB16+CB17+CB19)/T2),0)</f>
        <v/>
      </c>
      <c r="CL19" s="5">
        <f>IFERROR(ROUND(CB19/CD19,2),0)</f>
        <v/>
      </c>
      <c r="CM19" s="5">
        <f>IFERROR(ROUND(CB19/CE19,2),0)</f>
        <v/>
      </c>
      <c r="CN19" s="2" t="inlineStr">
        <is>
          <t>2023-09-27</t>
        </is>
      </c>
      <c r="CO19" s="5">
        <f>ROUND(1.9600000000000002,2)</f>
        <v/>
      </c>
      <c r="CP19" s="3">
        <f>ROUND(408.0,2)</f>
        <v/>
      </c>
      <c r="CQ19" s="3">
        <f>ROUND(7.0,2)</f>
        <v/>
      </c>
      <c r="CR19" s="3">
        <f>ROUND(4.0,2)</f>
        <v/>
      </c>
      <c r="CS19" s="3">
        <f>ROUND(2.0,2)</f>
        <v/>
      </c>
      <c r="CT19" s="3">
        <f>ROUND(1.0,2)</f>
        <v/>
      </c>
      <c r="CU19" s="3">
        <f>ROUND(1.0,2)</f>
        <v/>
      </c>
      <c r="CV19" s="3">
        <f>ROUND(1.0,2)</f>
        <v/>
      </c>
      <c r="CW19" s="4">
        <f>IFERROR((CQ19/CP19),0)</f>
        <v/>
      </c>
      <c r="CX19" s="4">
        <f>IFERROR(((0+CO11+CO12+CO13+CO14+CO15+CO16+CO17+CO19)/T2),0)</f>
        <v/>
      </c>
      <c r="CY19" s="5">
        <f>IFERROR(ROUND(CO19/CQ19,2),0)</f>
        <v/>
      </c>
      <c r="CZ19" s="5">
        <f>IFERROR(ROUND(CO19/CR19,2),0)</f>
        <v/>
      </c>
      <c r="DA19" s="2" t="inlineStr">
        <is>
          <t>2023-09-27</t>
        </is>
      </c>
      <c r="DB19" s="5">
        <f>ROUND(0.8400000000000001,2)</f>
        <v/>
      </c>
      <c r="DC19" s="3">
        <f>ROUND(176.0,2)</f>
        <v/>
      </c>
      <c r="DD19" s="3">
        <f>ROUND(3.0,2)</f>
        <v/>
      </c>
      <c r="DE19" s="3">
        <f>ROUND(2.0,2)</f>
        <v/>
      </c>
      <c r="DF19" s="3">
        <f>ROUND(2.0,2)</f>
        <v/>
      </c>
      <c r="DG19" s="3">
        <f>ROUND(1.0,2)</f>
        <v/>
      </c>
      <c r="DH19" s="3">
        <f>ROUND(1.0,2)</f>
        <v/>
      </c>
      <c r="DI19" s="3">
        <f>ROUND(1.0,2)</f>
        <v/>
      </c>
      <c r="DJ19" s="4">
        <f>IFERROR((DD19/DC19),0)</f>
        <v/>
      </c>
      <c r="DK19" s="4">
        <f>IFERROR(((0+DB11+DB12+DB13+DB14+DB15+DB16+DB17+DB19)/T2),0)</f>
        <v/>
      </c>
      <c r="DL19" s="5">
        <f>IFERROR(ROUND(DB19/DD19,2),0)</f>
        <v/>
      </c>
      <c r="DM19" s="5">
        <f>IFERROR(ROUND(DB19/DE19,2),0)</f>
        <v/>
      </c>
      <c r="DN19" s="2" t="inlineStr">
        <is>
          <t>2023-09-27</t>
        </is>
      </c>
      <c r="DO19" s="5">
        <f>ROUND(0.28,2)</f>
        <v/>
      </c>
      <c r="DP19" s="3">
        <f>ROUND(83.0,2)</f>
        <v/>
      </c>
      <c r="DQ19" s="3">
        <f>ROUND(1.0,2)</f>
        <v/>
      </c>
      <c r="DR19" s="3">
        <f>ROUND(7.0,2)</f>
        <v/>
      </c>
      <c r="DS19" s="3">
        <f>ROUND(4.0,2)</f>
        <v/>
      </c>
      <c r="DT19" s="3">
        <f>ROUND(4.0,2)</f>
        <v/>
      </c>
      <c r="DU19" s="3">
        <f>ROUND(3.0,2)</f>
        <v/>
      </c>
      <c r="DV19" s="3">
        <f>ROUND(2.0,2)</f>
        <v/>
      </c>
      <c r="DW19" s="4">
        <f>IFERROR((DQ19/DP19),0)</f>
        <v/>
      </c>
      <c r="DX19" s="4">
        <f>IFERROR(((0+DO11+DO12+DO13+DO14+DO15+DO16+DO17+DO19)/T2),0)</f>
        <v/>
      </c>
      <c r="DY19" s="5">
        <f>IFERROR(ROUND(DO19/DQ19,2),0)</f>
        <v/>
      </c>
      <c r="DZ19" s="5">
        <f>IFERROR(ROUND(DO19/DR19,2),0)</f>
        <v/>
      </c>
      <c r="EA19" s="2" t="inlineStr">
        <is>
          <t>2023-09-27</t>
        </is>
      </c>
      <c r="EB19" s="5">
        <f>ROUND(8.120000000000001,2)</f>
        <v/>
      </c>
      <c r="EC19" s="3">
        <f>ROUND(982.0,2)</f>
        <v/>
      </c>
      <c r="ED19" s="3">
        <f>ROUND(29.0,2)</f>
        <v/>
      </c>
      <c r="EE19" s="3">
        <f>ROUND(22.0,2)</f>
        <v/>
      </c>
      <c r="EF19" s="3">
        <f>ROUND(18.0,2)</f>
        <v/>
      </c>
      <c r="EG19" s="3">
        <f>ROUND(13.0,2)</f>
        <v/>
      </c>
      <c r="EH19" s="3">
        <f>ROUND(10.0,2)</f>
        <v/>
      </c>
      <c r="EI19" s="3">
        <f>ROUND(9.0,2)</f>
        <v/>
      </c>
      <c r="EJ19" s="4">
        <f>IFERROR((ED19/EC19),0)</f>
        <v/>
      </c>
      <c r="EK19" s="4">
        <f>IFERROR(((0+EB11+EB12+EB13+EB14+EB15+EB16+EB17+EB19)/T2),0)</f>
        <v/>
      </c>
      <c r="EL19" s="5">
        <f>IFERROR(ROUND(EB19/ED19,2),0)</f>
        <v/>
      </c>
      <c r="EM19" s="5">
        <f>IFERROR(ROUND(EB19/EE19,2),0)</f>
        <v/>
      </c>
      <c r="EN19" s="2" t="inlineStr">
        <is>
          <t>2023-09-27</t>
        </is>
      </c>
      <c r="EO19" s="5">
        <f>ROUND(6.44,2)</f>
        <v/>
      </c>
      <c r="EP19" s="3">
        <f>ROUND(772.0,2)</f>
        <v/>
      </c>
      <c r="EQ19" s="3">
        <f>ROUND(23.0,2)</f>
        <v/>
      </c>
      <c r="ER19" s="3">
        <f>ROUND(90.0,2)</f>
        <v/>
      </c>
      <c r="ES19" s="3">
        <f>ROUND(70.0,2)</f>
        <v/>
      </c>
      <c r="ET19" s="3">
        <f>ROUND(30.0,2)</f>
        <v/>
      </c>
      <c r="EU19" s="3">
        <f>ROUND(22.0,2)</f>
        <v/>
      </c>
      <c r="EV19" s="3">
        <f>ROUND(17.0,2)</f>
        <v/>
      </c>
      <c r="EW19" s="4">
        <f>IFERROR((EQ19/EP19),0)</f>
        <v/>
      </c>
      <c r="EX19" s="4">
        <f>IFERROR(((0+EO11+EO12+EO13+EO14+EO15+EO16+EO17+EO19)/T2),0)</f>
        <v/>
      </c>
      <c r="EY19" s="5">
        <f>IFERROR(ROUND(EO19/EQ19,2),0)</f>
        <v/>
      </c>
      <c r="EZ19" s="5">
        <f>IFERROR(ROUND(EO19/ER19,2),0)</f>
        <v/>
      </c>
      <c r="FA19" s="2" t="inlineStr">
        <is>
          <t>2023-09-27</t>
        </is>
      </c>
      <c r="FB19" s="5">
        <f>ROUND(9.8,2)</f>
        <v/>
      </c>
      <c r="FC19" s="3">
        <f>ROUND(1428.0,2)</f>
        <v/>
      </c>
      <c r="FD19" s="3">
        <f>ROUND(35.0,2)</f>
        <v/>
      </c>
      <c r="FE19" s="3">
        <f>ROUND(105.0,2)</f>
        <v/>
      </c>
      <c r="FF19" s="3">
        <f>ROUND(92.0,2)</f>
        <v/>
      </c>
      <c r="FG19" s="3">
        <f>ROUND(44.0,2)</f>
        <v/>
      </c>
      <c r="FH19" s="3">
        <f>ROUND(30.0,2)</f>
        <v/>
      </c>
      <c r="FI19" s="3">
        <f>ROUND(18.0,2)</f>
        <v/>
      </c>
      <c r="FJ19" s="4">
        <f>IFERROR((FD19/FC19),0)</f>
        <v/>
      </c>
      <c r="FK19" s="4">
        <f>IFERROR(((0+FB11+FB12+FB13+FB14+FB15+FB16+FB17+FB19)/T2),0)</f>
        <v/>
      </c>
      <c r="FL19" s="5">
        <f>IFERROR(ROUND(FB19/FD19,2),0)</f>
        <v/>
      </c>
      <c r="FM19" s="5">
        <f>IFERROR(ROUND(FB19/FE19,2),0)</f>
        <v/>
      </c>
      <c r="FN19" s="2" t="inlineStr">
        <is>
          <t>2023-09-27</t>
        </is>
      </c>
      <c r="FO19" s="5">
        <f>ROUND(3.6400000000000006,2)</f>
        <v/>
      </c>
      <c r="FP19" s="3">
        <f>ROUND(342.0,2)</f>
        <v/>
      </c>
      <c r="FQ19" s="3">
        <f>ROUND(13.0,2)</f>
        <v/>
      </c>
      <c r="FR19" s="3">
        <f>ROUND(52.0,2)</f>
        <v/>
      </c>
      <c r="FS19" s="3">
        <f>ROUND(45.0,2)</f>
        <v/>
      </c>
      <c r="FT19" s="3">
        <f>ROUND(24.0,2)</f>
        <v/>
      </c>
      <c r="FU19" s="3">
        <f>ROUND(16.0,2)</f>
        <v/>
      </c>
      <c r="FV19" s="3">
        <f>ROUND(11.0,2)</f>
        <v/>
      </c>
      <c r="FW19" s="4">
        <f>IFERROR((FQ19/FP19),0)</f>
        <v/>
      </c>
      <c r="FX19" s="4">
        <f>IFERROR(((0+FO11+FO12+FO13+FO14+FO15+FO16+FO17+FO19)/T2),0)</f>
        <v/>
      </c>
      <c r="FY19" s="5">
        <f>IFERROR(ROUND(FO19/FQ19,2),0)</f>
        <v/>
      </c>
      <c r="FZ19" s="5">
        <f>IFERROR(ROUND(FO19/FR19,2),0)</f>
        <v/>
      </c>
      <c r="GA19" s="2" t="inlineStr">
        <is>
          <t>2023-09-27</t>
        </is>
      </c>
      <c r="GB19" s="5">
        <f>ROUND(18.76,2)</f>
        <v/>
      </c>
      <c r="GC19" s="3">
        <f>ROUND(2091.0,2)</f>
        <v/>
      </c>
      <c r="GD19" s="3">
        <f>ROUND(67.0,2)</f>
        <v/>
      </c>
      <c r="GE19" s="3">
        <f>ROUND(141.0,2)</f>
        <v/>
      </c>
      <c r="GF19" s="3">
        <f>ROUND(105.0,2)</f>
        <v/>
      </c>
      <c r="GG19" s="3">
        <f>ROUND(58.0,2)</f>
        <v/>
      </c>
      <c r="GH19" s="3">
        <f>ROUND(39.0,2)</f>
        <v/>
      </c>
      <c r="GI19" s="3">
        <f>ROUND(27.0,2)</f>
        <v/>
      </c>
      <c r="GJ19" s="4">
        <f>IFERROR((GD19/GC19),0)</f>
        <v/>
      </c>
      <c r="GK19" s="4">
        <f>IFERROR(((0+GB11+GB12+GB13+GB14+GB15+GB16+GB17+GB19)/T2),0)</f>
        <v/>
      </c>
      <c r="GL19" s="5">
        <f>IFERROR(ROUND(GB19/GD19,2),0)</f>
        <v/>
      </c>
      <c r="GM19" s="5">
        <f>IFERROR(ROUND(GB19/GE19,2),0)</f>
        <v/>
      </c>
      <c r="GN19" s="2" t="inlineStr">
        <is>
          <t>2023-09-27</t>
        </is>
      </c>
      <c r="GO19" s="5">
        <f>ROUND(5.040000000000001,2)</f>
        <v/>
      </c>
      <c r="GP19" s="3">
        <f>ROUND(723.0,2)</f>
        <v/>
      </c>
      <c r="GQ19" s="3">
        <f>ROUND(18.0,2)</f>
        <v/>
      </c>
      <c r="GR19" s="3">
        <f>ROUND(106.0,2)</f>
        <v/>
      </c>
      <c r="GS19" s="3">
        <f>ROUND(91.0,2)</f>
        <v/>
      </c>
      <c r="GT19" s="3">
        <f>ROUND(45.0,2)</f>
        <v/>
      </c>
      <c r="GU19" s="3">
        <f>ROUND(30.0,2)</f>
        <v/>
      </c>
      <c r="GV19" s="3">
        <f>ROUND(21.0,2)</f>
        <v/>
      </c>
      <c r="GW19" s="4">
        <f>IFERROR((GQ19/GP19),0)</f>
        <v/>
      </c>
      <c r="GX19" s="4">
        <f>IFERROR(((0+GO11+GO12+GO13+GO14+GO15+GO16+GO17+GO19)/T2),0)</f>
        <v/>
      </c>
      <c r="GY19" s="5">
        <f>IFERROR(ROUND(GO19/GQ19,2),0)</f>
        <v/>
      </c>
      <c r="GZ19" s="5">
        <f>IFERROR(ROUND(GO19/GR19,2),0)</f>
        <v/>
      </c>
      <c r="HA19" s="2" t="inlineStr">
        <is>
          <t>2023-09-27</t>
        </is>
      </c>
      <c r="HB19" s="5">
        <f>ROUND(21.0,2)</f>
        <v/>
      </c>
      <c r="HC19" s="3">
        <f>ROUND(3459.0,2)</f>
        <v/>
      </c>
      <c r="HD19" s="3">
        <f>ROUND(75.0,2)</f>
        <v/>
      </c>
      <c r="HE19" s="3">
        <f>ROUND(312.0,2)</f>
        <v/>
      </c>
      <c r="HF19" s="3">
        <f>ROUND(245.0,2)</f>
        <v/>
      </c>
      <c r="HG19" s="3">
        <f>ROUND(98.0,2)</f>
        <v/>
      </c>
      <c r="HH19" s="3">
        <f>ROUND(74.0,2)</f>
        <v/>
      </c>
      <c r="HI19" s="3">
        <f>ROUND(53.0,2)</f>
        <v/>
      </c>
      <c r="HJ19" s="4">
        <f>IFERROR((HD19/HC19),0)</f>
        <v/>
      </c>
      <c r="HK19" s="4">
        <f>IFERROR(((0+HB11+HB12+HB13+HB14+HB15+HB16+HB17+HB19)/T2),0)</f>
        <v/>
      </c>
      <c r="HL19" s="5">
        <f>IFERROR(ROUND(HB19/HD19,2),0)</f>
        <v/>
      </c>
      <c r="HM19" s="5">
        <f>IFERROR(ROUND(HB19/HE19,2),0)</f>
        <v/>
      </c>
      <c r="HN19" s="2" t="inlineStr">
        <is>
          <t>2023-09-27</t>
        </is>
      </c>
      <c r="HO19" s="5">
        <f>ROUND(16.240000000000002,2)</f>
        <v/>
      </c>
      <c r="HP19" s="3">
        <f>ROUND(1922.0,2)</f>
        <v/>
      </c>
      <c r="HQ19" s="3">
        <f>ROUND(58.0,2)</f>
        <v/>
      </c>
      <c r="HR19" s="3">
        <f>ROUND(115.0,2)</f>
        <v/>
      </c>
      <c r="HS19" s="3">
        <f>ROUND(96.0,2)</f>
        <v/>
      </c>
      <c r="HT19" s="3">
        <f>ROUND(49.0,2)</f>
        <v/>
      </c>
      <c r="HU19" s="3">
        <f>ROUND(34.0,2)</f>
        <v/>
      </c>
      <c r="HV19" s="3">
        <f>ROUND(19.0,2)</f>
        <v/>
      </c>
      <c r="HW19" s="4">
        <f>IFERROR((HQ19/HP19),0)</f>
        <v/>
      </c>
      <c r="HX19" s="4">
        <f>IFERROR(((0+HO11+HO12+HO13+HO14+HO15+HO16+HO17+HO19)/T2),0)</f>
        <v/>
      </c>
      <c r="HY19" s="5">
        <f>IFERROR(ROUND(HO19/HQ19,2),0)</f>
        <v/>
      </c>
      <c r="HZ19" s="5">
        <f>IFERROR(ROUND(HO19/HR19,2),0)</f>
        <v/>
      </c>
      <c r="IA19" s="2" t="inlineStr">
        <is>
          <t>2023-09-27</t>
        </is>
      </c>
      <c r="IB19" s="5">
        <f>ROUND(3.3600000000000003,2)</f>
        <v/>
      </c>
      <c r="IC19" s="3">
        <f>ROUND(638.0,2)</f>
        <v/>
      </c>
      <c r="ID19" s="3">
        <f>ROUND(12.0,2)</f>
        <v/>
      </c>
      <c r="IE19" s="3">
        <f>ROUND(145.0,2)</f>
        <v/>
      </c>
      <c r="IF19" s="3">
        <f>ROUND(125.0,2)</f>
        <v/>
      </c>
      <c r="IG19" s="3">
        <f>ROUND(70.0,2)</f>
        <v/>
      </c>
      <c r="IH19" s="3">
        <f>ROUND(55.0,2)</f>
        <v/>
      </c>
      <c r="II19" s="3">
        <f>ROUND(39.0,2)</f>
        <v/>
      </c>
      <c r="IJ19" s="4">
        <f>IFERROR((ID19/IC19),0)</f>
        <v/>
      </c>
      <c r="IK19" s="4">
        <f>IFERROR(((0+IB11+IB12+IB13+IB14+IB15+IB16+IB17+IB19)/T2),0)</f>
        <v/>
      </c>
      <c r="IL19" s="5">
        <f>IFERROR(ROUND(IB19/ID19,2),0)</f>
        <v/>
      </c>
      <c r="IM19" s="5">
        <f>IFERROR(ROUND(IB19/IE19,2),0)</f>
        <v/>
      </c>
      <c r="IN19" s="2" t="inlineStr">
        <is>
          <t>2023-09-27</t>
        </is>
      </c>
      <c r="IO19" s="5">
        <f>ROUND(9.8,2)</f>
        <v/>
      </c>
      <c r="IP19" s="3">
        <f>ROUND(1237.0,2)</f>
        <v/>
      </c>
      <c r="IQ19" s="3">
        <f>ROUND(35.0,2)</f>
        <v/>
      </c>
      <c r="IR19" s="3">
        <f>ROUND(53.0,2)</f>
        <v/>
      </c>
      <c r="IS19" s="3">
        <f>ROUND(37.0,2)</f>
        <v/>
      </c>
      <c r="IT19" s="3">
        <f>ROUND(19.0,2)</f>
        <v/>
      </c>
      <c r="IU19" s="3">
        <f>ROUND(13.0,2)</f>
        <v/>
      </c>
      <c r="IV19" s="3">
        <f>ROUND(9.0,2)</f>
        <v/>
      </c>
      <c r="IW19" s="4">
        <f>IFERROR((IQ19/IP19),0)</f>
        <v/>
      </c>
      <c r="IX19" s="4">
        <f>IFERROR(((0+IO11+IO12+IO13+IO14+IO15+IO16+IO17+IO19)/T2),0)</f>
        <v/>
      </c>
      <c r="IY19" s="5">
        <f>IFERROR(ROUND(IO19/IQ19,2),0)</f>
        <v/>
      </c>
      <c r="IZ19" s="5">
        <f>IFERROR(ROUND(IO19/IR19,2),0)</f>
        <v/>
      </c>
      <c r="JA19" s="2" t="inlineStr">
        <is>
          <t>2023-09-27</t>
        </is>
      </c>
      <c r="JB19" s="5">
        <f>ROUND(1.12,2)</f>
        <v/>
      </c>
      <c r="JC19" s="3">
        <f>ROUND(182.0,2)</f>
        <v/>
      </c>
      <c r="JD19" s="3">
        <f>ROUND(4.0,2)</f>
        <v/>
      </c>
      <c r="JE19" s="3">
        <f>ROUND(21.0,2)</f>
        <v/>
      </c>
      <c r="JF19" s="3">
        <f>ROUND(17.0,2)</f>
        <v/>
      </c>
      <c r="JG19" s="3">
        <f>ROUND(8.0,2)</f>
        <v/>
      </c>
      <c r="JH19" s="3">
        <f>ROUND(5.0,2)</f>
        <v/>
      </c>
      <c r="JI19" s="3">
        <f>ROUND(4.0,2)</f>
        <v/>
      </c>
      <c r="JJ19" s="4">
        <f>IFERROR((JD19/JC19),0)</f>
        <v/>
      </c>
      <c r="JK19" s="4">
        <f>IFERROR(((0+JB11+JB12+JB13+JB14+JB15+JB16+JB17+JB19)/T2),0)</f>
        <v/>
      </c>
      <c r="JL19" s="5">
        <f>IFERROR(ROUND(JB19/JD19,2),0)</f>
        <v/>
      </c>
      <c r="JM19" s="5">
        <f>IFERROR(ROUND(JB19/JE19,2),0)</f>
        <v/>
      </c>
    </row>
    <row r="20">
      <c r="A20" s="2" t="inlineStr">
        <is>
          <t>2023-09-28</t>
        </is>
      </c>
      <c r="B20" s="5">
        <f>ROUND(117.32000000000001,2)</f>
        <v/>
      </c>
      <c r="C20" s="3">
        <f>ROUND(12048.0,2)</f>
        <v/>
      </c>
      <c r="D20" s="3">
        <f>ROUND(419.0,2)</f>
        <v/>
      </c>
      <c r="E20" s="3">
        <f>ROUND(1618.0,2)</f>
        <v/>
      </c>
      <c r="F20" s="3">
        <f>ROUND(1335.0,2)</f>
        <v/>
      </c>
      <c r="G20" s="3">
        <f>ROUND(544.0,2)</f>
        <v/>
      </c>
      <c r="H20" s="3">
        <f>ROUND(361.0,2)</f>
        <v/>
      </c>
      <c r="I20" s="3">
        <f>ROUND(244.0,2)</f>
        <v/>
      </c>
      <c r="J20" s="4">
        <f>IFERROR((D20/C20),0)</f>
        <v/>
      </c>
      <c r="K20" s="4">
        <f>IFERROR(((0+B11+B12+B13+B14+B15+B16+B17+B19+B20)/T2),0)</f>
        <v/>
      </c>
      <c r="L20" s="5">
        <f>IFERROR(ROUND(B20/D20,2),0)</f>
        <v/>
      </c>
      <c r="M20" s="5">
        <f>IFERROR(ROUND(B20/E20,2),0)</f>
        <v/>
      </c>
      <c r="N20" s="2" t="inlineStr">
        <is>
          <t>2023-09-28</t>
        </is>
      </c>
      <c r="O20" s="5">
        <f>ROUND(11.48,2)</f>
        <v/>
      </c>
      <c r="P20" s="3">
        <f>ROUND(1043.0,2)</f>
        <v/>
      </c>
      <c r="Q20" s="3">
        <f>ROUND(41.0,2)</f>
        <v/>
      </c>
      <c r="R20" s="3">
        <f>ROUND(201.0,2)</f>
        <v/>
      </c>
      <c r="S20" s="3">
        <f>ROUND(155.0,2)</f>
        <v/>
      </c>
      <c r="T20" s="3">
        <f>ROUND(78.0,2)</f>
        <v/>
      </c>
      <c r="U20" s="3">
        <f>ROUND(55.0,2)</f>
        <v/>
      </c>
      <c r="V20" s="3">
        <f>ROUND(42.0,2)</f>
        <v/>
      </c>
      <c r="W20" s="4">
        <f>IFERROR((Q20/P20),0)</f>
        <v/>
      </c>
      <c r="X20" s="4">
        <f>IFERROR(((0+O11+O12+O13+O14+O15+O16+O17+O19+O20)/T2),0)</f>
        <v/>
      </c>
      <c r="Y20" s="5">
        <f>IFERROR(ROUND(O20/Q20,2),0)</f>
        <v/>
      </c>
      <c r="Z20" s="5">
        <f>IFERROR(ROUND(O20/R20,2),0)</f>
        <v/>
      </c>
      <c r="AA20" s="2" t="inlineStr">
        <is>
          <t>2023-09-28</t>
        </is>
      </c>
      <c r="AB20" s="5">
        <f>ROUND(2.5200000000000005,2)</f>
        <v/>
      </c>
      <c r="AC20" s="3">
        <f>ROUND(240.0,2)</f>
        <v/>
      </c>
      <c r="AD20" s="3">
        <f>ROUND(9.0,2)</f>
        <v/>
      </c>
      <c r="AE20" s="3">
        <f>ROUND(6.0,2)</f>
        <v/>
      </c>
      <c r="AF20" s="3">
        <f>ROUND(5.0,2)</f>
        <v/>
      </c>
      <c r="AG20" s="3">
        <f>ROUND(4.0,2)</f>
        <v/>
      </c>
      <c r="AH20" s="3">
        <f>ROUND(4.0,2)</f>
        <v/>
      </c>
      <c r="AI20" s="3">
        <f>ROUND(4.0,2)</f>
        <v/>
      </c>
      <c r="AJ20" s="4">
        <f>IFERROR((AD20/AC20),0)</f>
        <v/>
      </c>
      <c r="AK20" s="4">
        <f>IFERROR(((0+AB11+AB12+AB13+AB14+AB15+AB16+AB17+AB19+AB20)/T2),0)</f>
        <v/>
      </c>
      <c r="AL20" s="5">
        <f>IFERROR(ROUND(AB20/AD20,2),0)</f>
        <v/>
      </c>
      <c r="AM20" s="5">
        <f>IFERROR(ROUND(AB20/AE20,2),0)</f>
        <v/>
      </c>
      <c r="AN20" s="2" t="inlineStr">
        <is>
          <t>2023-09-28</t>
        </is>
      </c>
      <c r="AO20" s="5">
        <f>ROUND(0.0,2)</f>
        <v/>
      </c>
      <c r="AP20" s="3">
        <f>ROUND(52.0,2)</f>
        <v/>
      </c>
      <c r="AQ20" s="3">
        <f>ROUND(0.0,2)</f>
        <v/>
      </c>
      <c r="AR20" s="3">
        <f>ROUND(5.0,2)</f>
        <v/>
      </c>
      <c r="AS20" s="3">
        <f>ROUND(5.0,2)</f>
        <v/>
      </c>
      <c r="AT20" s="3">
        <f>ROUND(3.0,2)</f>
        <v/>
      </c>
      <c r="AU20" s="3">
        <f>ROUND(2.0,2)</f>
        <v/>
      </c>
      <c r="AV20" s="3">
        <f>ROUND(2.0,2)</f>
        <v/>
      </c>
      <c r="AW20" s="4">
        <f>IFERROR((AQ20/AP20),0)</f>
        <v/>
      </c>
      <c r="AX20" s="4">
        <f>IFERROR(((0+AO11+AO12+AO13+AO14+AO15+AO16+AO17+AO19+AO20)/T2),0)</f>
        <v/>
      </c>
      <c r="AY20" s="5">
        <f>IFERROR(ROUND(AO20/AQ20,2),0)</f>
        <v/>
      </c>
      <c r="AZ20" s="5">
        <f>IFERROR(ROUND(AO20/AR20,2),0)</f>
        <v/>
      </c>
      <c r="BA20" s="2" t="inlineStr">
        <is>
          <t>2023-09-28</t>
        </is>
      </c>
      <c r="BB20" s="5">
        <f>ROUND(0.8400000000000001,2)</f>
        <v/>
      </c>
      <c r="BC20" s="3">
        <f>ROUND(73.0,2)</f>
        <v/>
      </c>
      <c r="BD20" s="3">
        <f>ROUND(3.0,2)</f>
        <v/>
      </c>
      <c r="BE20" s="3">
        <f>ROUND(3.0,2)</f>
        <v/>
      </c>
      <c r="BF20" s="3">
        <f>ROUND(3.0,2)</f>
        <v/>
      </c>
      <c r="BG20" s="3">
        <f>ROUND(2.0,2)</f>
        <v/>
      </c>
      <c r="BH20" s="3">
        <f>ROUND(1.0,2)</f>
        <v/>
      </c>
      <c r="BI20" s="3">
        <f>ROUND(0.0,2)</f>
        <v/>
      </c>
      <c r="BJ20" s="4">
        <f>IFERROR((BD20/BC20),0)</f>
        <v/>
      </c>
      <c r="BK20" s="4">
        <f>IFERROR(((0+BB11+BB12+BB13+BB14+BB15+BB16+BB17+BB19+BB20)/T2),0)</f>
        <v/>
      </c>
      <c r="BL20" s="5">
        <f>IFERROR(ROUND(BB20/BD20,2),0)</f>
        <v/>
      </c>
      <c r="BM20" s="5">
        <f>IFERROR(ROUND(BB20/BE20,2),0)</f>
        <v/>
      </c>
      <c r="BN20" s="2" t="inlineStr">
        <is>
          <t>2023-09-28</t>
        </is>
      </c>
      <c r="BO20" s="5">
        <f>ROUND(3.6400000000000006,2)</f>
        <v/>
      </c>
      <c r="BP20" s="3">
        <f>ROUND(516.0,2)</f>
        <v/>
      </c>
      <c r="BQ20" s="3">
        <f>ROUND(13.0,2)</f>
        <v/>
      </c>
      <c r="BR20" s="3">
        <f>ROUND(19.0,2)</f>
        <v/>
      </c>
      <c r="BS20" s="3">
        <f>ROUND(16.0,2)</f>
        <v/>
      </c>
      <c r="BT20" s="3">
        <f>ROUND(7.0,2)</f>
        <v/>
      </c>
      <c r="BU20" s="3">
        <f>ROUND(6.0,2)</f>
        <v/>
      </c>
      <c r="BV20" s="3">
        <f>ROUND(5.0,2)</f>
        <v/>
      </c>
      <c r="BW20" s="4">
        <f>IFERROR((BQ20/BP20),0)</f>
        <v/>
      </c>
      <c r="BX20" s="4">
        <f>IFERROR(((0+BO11+BO12+BO13+BO14+BO15+BO16+BO17+BO19+BO20)/T2),0)</f>
        <v/>
      </c>
      <c r="BY20" s="5">
        <f>IFERROR(ROUND(BO20/BQ20,2),0)</f>
        <v/>
      </c>
      <c r="BZ20" s="5">
        <f>IFERROR(ROUND(BO20/BR20,2),0)</f>
        <v/>
      </c>
      <c r="CA20" s="2" t="inlineStr">
        <is>
          <t>2023-09-28</t>
        </is>
      </c>
      <c r="CB20" s="5">
        <f>ROUND(42.56,2)</f>
        <v/>
      </c>
      <c r="CC20" s="3">
        <f>ROUND(4746.0,2)</f>
        <v/>
      </c>
      <c r="CD20" s="3">
        <f>ROUND(152.0,2)</f>
        <v/>
      </c>
      <c r="CE20" s="3">
        <f>ROUND(630.0,2)</f>
        <v/>
      </c>
      <c r="CF20" s="3">
        <f>ROUND(557.0,2)</f>
        <v/>
      </c>
      <c r="CG20" s="3">
        <f>ROUND(184.0,2)</f>
        <v/>
      </c>
      <c r="CH20" s="3">
        <f>ROUND(109.0,2)</f>
        <v/>
      </c>
      <c r="CI20" s="3">
        <f>ROUND(65.0,2)</f>
        <v/>
      </c>
      <c r="CJ20" s="4">
        <f>IFERROR((CD20/CC20),0)</f>
        <v/>
      </c>
      <c r="CK20" s="4">
        <f>IFERROR(((0+CB11+CB12+CB13+CB14+CB15+CB16+CB17+CB19+CB20)/T2),0)</f>
        <v/>
      </c>
      <c r="CL20" s="5">
        <f>IFERROR(ROUND(CB20/CD20,2),0)</f>
        <v/>
      </c>
      <c r="CM20" s="5">
        <f>IFERROR(ROUND(CB20/CE20,2),0)</f>
        <v/>
      </c>
      <c r="CN20" s="2" t="inlineStr">
        <is>
          <t>2023-09-28</t>
        </is>
      </c>
      <c r="CO20" s="5">
        <f>ROUND(1.6800000000000002,2)</f>
        <v/>
      </c>
      <c r="CP20" s="3">
        <f>ROUND(202.0,2)</f>
        <v/>
      </c>
      <c r="CQ20" s="3">
        <f>ROUND(6.0,2)</f>
        <v/>
      </c>
      <c r="CR20" s="3">
        <f>ROUND(4.0,2)</f>
        <v/>
      </c>
      <c r="CS20" s="3">
        <f>ROUND(4.0,2)</f>
        <v/>
      </c>
      <c r="CT20" s="3">
        <f>ROUND(2.0,2)</f>
        <v/>
      </c>
      <c r="CU20" s="3">
        <f>ROUND(1.0,2)</f>
        <v/>
      </c>
      <c r="CV20" s="3">
        <f>ROUND(0.0,2)</f>
        <v/>
      </c>
      <c r="CW20" s="4">
        <f>IFERROR((CQ20/CP20),0)</f>
        <v/>
      </c>
      <c r="CX20" s="4">
        <f>IFERROR(((0+CO11+CO12+CO13+CO14+CO15+CO16+CO17+CO19+CO20)/T2),0)</f>
        <v/>
      </c>
      <c r="CY20" s="5">
        <f>IFERROR(ROUND(CO20/CQ20,2),0)</f>
        <v/>
      </c>
      <c r="CZ20" s="5">
        <f>IFERROR(ROUND(CO20/CR20,2),0)</f>
        <v/>
      </c>
      <c r="DA20" s="2" t="inlineStr">
        <is>
          <t>2023-09-28</t>
        </is>
      </c>
      <c r="DB20" s="5">
        <f>ROUND(0.28,2)</f>
        <v/>
      </c>
      <c r="DC20" s="3">
        <f>ROUND(85.0,2)</f>
        <v/>
      </c>
      <c r="DD20" s="3">
        <f>ROUND(1.0,2)</f>
        <v/>
      </c>
      <c r="DE20" s="3">
        <f>ROUND(1.0,2)</f>
        <v/>
      </c>
      <c r="DF20" s="3">
        <f>ROUND(1.0,2)</f>
        <v/>
      </c>
      <c r="DG20" s="3">
        <f>ROUND(1.0,2)</f>
        <v/>
      </c>
      <c r="DH20" s="3">
        <f>ROUND(0.0,2)</f>
        <v/>
      </c>
      <c r="DI20" s="3">
        <f>ROUND(0.0,2)</f>
        <v/>
      </c>
      <c r="DJ20" s="4">
        <f>IFERROR((DD20/DC20),0)</f>
        <v/>
      </c>
      <c r="DK20" s="4">
        <f>IFERROR(((0+DB11+DB12+DB13+DB14+DB15+DB16+DB17+DB19+DB20)/T2),0)</f>
        <v/>
      </c>
      <c r="DL20" s="5">
        <f>IFERROR(ROUND(DB20/DD20,2),0)</f>
        <v/>
      </c>
      <c r="DM20" s="5">
        <f>IFERROR(ROUND(DB20/DE20,2),0)</f>
        <v/>
      </c>
      <c r="DN20" s="2" t="inlineStr">
        <is>
          <t>2023-09-28</t>
        </is>
      </c>
      <c r="DO20" s="5">
        <f>ROUND(0.0,2)</f>
        <v/>
      </c>
      <c r="DP20" s="3">
        <f>ROUND(39.0,2)</f>
        <v/>
      </c>
      <c r="DQ20" s="3">
        <f>ROUND(0.0,2)</f>
        <v/>
      </c>
      <c r="DR20" s="3">
        <f>ROUND(0.0,2)</f>
        <v/>
      </c>
      <c r="DS20" s="3">
        <f>ROUND(0.0,2)</f>
        <v/>
      </c>
      <c r="DT20" s="3">
        <f>ROUND(0.0,2)</f>
        <v/>
      </c>
      <c r="DU20" s="3">
        <f>ROUND(0.0,2)</f>
        <v/>
      </c>
      <c r="DV20" s="3">
        <f>ROUND(0.0,2)</f>
        <v/>
      </c>
      <c r="DW20" s="4">
        <f>IFERROR((DQ20/DP20),0)</f>
        <v/>
      </c>
      <c r="DX20" s="4">
        <f>IFERROR(((0+DO11+DO12+DO13+DO14+DO15+DO16+DO17+DO19+DO20)/T2),0)</f>
        <v/>
      </c>
      <c r="DY20" s="5">
        <f>IFERROR(ROUND(DO20/DQ20,2),0)</f>
        <v/>
      </c>
      <c r="DZ20" s="5">
        <f>IFERROR(ROUND(DO20/DR20,2),0)</f>
        <v/>
      </c>
      <c r="EA20" s="2" t="inlineStr">
        <is>
          <t>2023-09-28</t>
        </is>
      </c>
      <c r="EB20" s="5">
        <f>ROUND(2.8000000000000003,2)</f>
        <v/>
      </c>
      <c r="EC20" s="3">
        <f>ROUND(254.0,2)</f>
        <v/>
      </c>
      <c r="ED20" s="3">
        <f>ROUND(10.0,2)</f>
        <v/>
      </c>
      <c r="EE20" s="3">
        <f>ROUND(7.0,2)</f>
        <v/>
      </c>
      <c r="EF20" s="3">
        <f>ROUND(5.0,2)</f>
        <v/>
      </c>
      <c r="EG20" s="3">
        <f>ROUND(2.0,2)</f>
        <v/>
      </c>
      <c r="EH20" s="3">
        <f>ROUND(2.0,2)</f>
        <v/>
      </c>
      <c r="EI20" s="3">
        <f>ROUND(2.0,2)</f>
        <v/>
      </c>
      <c r="EJ20" s="4">
        <f>IFERROR((ED20/EC20),0)</f>
        <v/>
      </c>
      <c r="EK20" s="4">
        <f>IFERROR(((0+EB11+EB12+EB13+EB14+EB15+EB16+EB17+EB19+EB20)/T2),0)</f>
        <v/>
      </c>
      <c r="EL20" s="5">
        <f>IFERROR(ROUND(EB20/ED20,2),0)</f>
        <v/>
      </c>
      <c r="EM20" s="5">
        <f>IFERROR(ROUND(EB20/EE20,2),0)</f>
        <v/>
      </c>
      <c r="EN20" s="2" t="inlineStr">
        <is>
          <t>2023-09-28</t>
        </is>
      </c>
      <c r="EO20" s="5">
        <f>ROUND(3.3600000000000003,2)</f>
        <v/>
      </c>
      <c r="EP20" s="3">
        <f>ROUND(233.0,2)</f>
        <v/>
      </c>
      <c r="EQ20" s="3">
        <f>ROUND(12.0,2)</f>
        <v/>
      </c>
      <c r="ER20" s="3">
        <f>ROUND(33.0,2)</f>
        <v/>
      </c>
      <c r="ES20" s="3">
        <f>ROUND(25.0,2)</f>
        <v/>
      </c>
      <c r="ET20" s="3">
        <f>ROUND(9.0,2)</f>
        <v/>
      </c>
      <c r="EU20" s="3">
        <f>ROUND(6.0,2)</f>
        <v/>
      </c>
      <c r="EV20" s="3">
        <f>ROUND(4.0,2)</f>
        <v/>
      </c>
      <c r="EW20" s="4">
        <f>IFERROR((EQ20/EP20),0)</f>
        <v/>
      </c>
      <c r="EX20" s="4">
        <f>IFERROR(((0+EO11+EO12+EO13+EO14+EO15+EO16+EO17+EO19+EO20)/T2),0)</f>
        <v/>
      </c>
      <c r="EY20" s="5">
        <f>IFERROR(ROUND(EO20/EQ20,2),0)</f>
        <v/>
      </c>
      <c r="EZ20" s="5">
        <f>IFERROR(ROUND(EO20/ER20,2),0)</f>
        <v/>
      </c>
      <c r="FA20" s="2" t="inlineStr">
        <is>
          <t>2023-09-28</t>
        </is>
      </c>
      <c r="FB20" s="5">
        <f>ROUND(10.080000000000002,2)</f>
        <v/>
      </c>
      <c r="FC20" s="3">
        <f>ROUND(948.0,2)</f>
        <v/>
      </c>
      <c r="FD20" s="3">
        <f>ROUND(36.0,2)</f>
        <v/>
      </c>
      <c r="FE20" s="3">
        <f>ROUND(139.0,2)</f>
        <v/>
      </c>
      <c r="FF20" s="3">
        <f>ROUND(121.0,2)</f>
        <v/>
      </c>
      <c r="FG20" s="3">
        <f>ROUND(44.0,2)</f>
        <v/>
      </c>
      <c r="FH20" s="3">
        <f>ROUND(28.0,2)</f>
        <v/>
      </c>
      <c r="FI20" s="3">
        <f>ROUND(20.0,2)</f>
        <v/>
      </c>
      <c r="FJ20" s="4">
        <f>IFERROR((FD20/FC20),0)</f>
        <v/>
      </c>
      <c r="FK20" s="4">
        <f>IFERROR(((0+FB11+FB12+FB13+FB14+FB15+FB16+FB17+FB19+FB20)/T2),0)</f>
        <v/>
      </c>
      <c r="FL20" s="5">
        <f>IFERROR(ROUND(FB20/FD20,2),0)</f>
        <v/>
      </c>
      <c r="FM20" s="5">
        <f>IFERROR(ROUND(FB20/FE20,2),0)</f>
        <v/>
      </c>
      <c r="FN20" s="2" t="inlineStr">
        <is>
          <t>2023-09-28</t>
        </is>
      </c>
      <c r="FO20" s="5">
        <f>ROUND(12.600000000000001,2)</f>
        <v/>
      </c>
      <c r="FP20" s="3">
        <f>ROUND(931.0,2)</f>
        <v/>
      </c>
      <c r="FQ20" s="3">
        <f>ROUND(45.0,2)</f>
        <v/>
      </c>
      <c r="FR20" s="3">
        <f>ROUND(175.0,2)</f>
        <v/>
      </c>
      <c r="FS20" s="3">
        <f>ROUND(146.0,2)</f>
        <v/>
      </c>
      <c r="FT20" s="3">
        <f>ROUND(64.0,2)</f>
        <v/>
      </c>
      <c r="FU20" s="3">
        <f>ROUND(42.0,2)</f>
        <v/>
      </c>
      <c r="FV20" s="3">
        <f>ROUND(27.0,2)</f>
        <v/>
      </c>
      <c r="FW20" s="4">
        <f>IFERROR((FQ20/FP20),0)</f>
        <v/>
      </c>
      <c r="FX20" s="4">
        <f>IFERROR(((0+FO11+FO12+FO13+FO14+FO15+FO16+FO17+FO19+FO20)/T2),0)</f>
        <v/>
      </c>
      <c r="FY20" s="5">
        <f>IFERROR(ROUND(FO20/FQ20,2),0)</f>
        <v/>
      </c>
      <c r="FZ20" s="5">
        <f>IFERROR(ROUND(FO20/FR20,2),0)</f>
        <v/>
      </c>
      <c r="GA20" s="2" t="inlineStr">
        <is>
          <t>2023-09-28</t>
        </is>
      </c>
      <c r="GB20" s="5">
        <f>ROUND(8.68,2)</f>
        <v/>
      </c>
      <c r="GC20" s="3">
        <f>ROUND(869.0,2)</f>
        <v/>
      </c>
      <c r="GD20" s="3">
        <f>ROUND(31.0,2)</f>
        <v/>
      </c>
      <c r="GE20" s="3">
        <f>ROUND(155.0,2)</f>
        <v/>
      </c>
      <c r="GF20" s="3">
        <f>ROUND(126.0,2)</f>
        <v/>
      </c>
      <c r="GG20" s="3">
        <f>ROUND(54.0,2)</f>
        <v/>
      </c>
      <c r="GH20" s="3">
        <f>ROUND(37.0,2)</f>
        <v/>
      </c>
      <c r="GI20" s="3">
        <f>ROUND(24.0,2)</f>
        <v/>
      </c>
      <c r="GJ20" s="4">
        <f>IFERROR((GD20/GC20),0)</f>
        <v/>
      </c>
      <c r="GK20" s="4">
        <f>IFERROR(((0+GB11+GB12+GB13+GB14+GB15+GB16+GB17+GB19+GB20)/T2),0)</f>
        <v/>
      </c>
      <c r="GL20" s="5">
        <f>IFERROR(ROUND(GB20/GD20,2),0)</f>
        <v/>
      </c>
      <c r="GM20" s="5">
        <f>IFERROR(ROUND(GB20/GE20,2),0)</f>
        <v/>
      </c>
      <c r="GN20" s="2" t="inlineStr">
        <is>
          <t>2023-09-28</t>
        </is>
      </c>
      <c r="GO20" s="5">
        <f>ROUND(2.5200000000000005,2)</f>
        <v/>
      </c>
      <c r="GP20" s="3">
        <f>ROUND(123.0,2)</f>
        <v/>
      </c>
      <c r="GQ20" s="3">
        <f>ROUND(9.0,2)</f>
        <v/>
      </c>
      <c r="GR20" s="3">
        <f>ROUND(29.0,2)</f>
        <v/>
      </c>
      <c r="GS20" s="3">
        <f>ROUND(22.0,2)</f>
        <v/>
      </c>
      <c r="GT20" s="3">
        <f>ROUND(15.0,2)</f>
        <v/>
      </c>
      <c r="GU20" s="3">
        <f>ROUND(11.0,2)</f>
        <v/>
      </c>
      <c r="GV20" s="3">
        <f>ROUND(8.0,2)</f>
        <v/>
      </c>
      <c r="GW20" s="4">
        <f>IFERROR((GQ20/GP20),0)</f>
        <v/>
      </c>
      <c r="GX20" s="4">
        <f>IFERROR(((0+GO11+GO12+GO13+GO14+GO15+GO16+GO17+GO19+GO20)/T2),0)</f>
        <v/>
      </c>
      <c r="GY20" s="5">
        <f>IFERROR(ROUND(GO20/GQ20,2),0)</f>
        <v/>
      </c>
      <c r="GZ20" s="5">
        <f>IFERROR(ROUND(GO20/GR20,2),0)</f>
        <v/>
      </c>
      <c r="HA20" s="2" t="inlineStr">
        <is>
          <t>2023-09-28</t>
        </is>
      </c>
      <c r="HB20" s="5">
        <f>ROUND(5.32,2)</f>
        <v/>
      </c>
      <c r="HC20" s="3">
        <f>ROUND(855.0,2)</f>
        <v/>
      </c>
      <c r="HD20" s="3">
        <f>ROUND(19.0,2)</f>
        <v/>
      </c>
      <c r="HE20" s="3">
        <f>ROUND(129.0,2)</f>
        <v/>
      </c>
      <c r="HF20" s="3">
        <f>ROUND(89.0,2)</f>
        <v/>
      </c>
      <c r="HG20" s="3">
        <f>ROUND(39.0,2)</f>
        <v/>
      </c>
      <c r="HH20" s="3">
        <f>ROUND(30.0,2)</f>
        <v/>
      </c>
      <c r="HI20" s="3">
        <f>ROUND(20.0,2)</f>
        <v/>
      </c>
      <c r="HJ20" s="4">
        <f>IFERROR((HD20/HC20),0)</f>
        <v/>
      </c>
      <c r="HK20" s="4">
        <f>IFERROR(((0+HB11+HB12+HB13+HB14+HB15+HB16+HB17+HB19+HB20)/T2),0)</f>
        <v/>
      </c>
      <c r="HL20" s="5">
        <f>IFERROR(ROUND(HB20/HD20,2),0)</f>
        <v/>
      </c>
      <c r="HM20" s="5">
        <f>IFERROR(ROUND(HB20/HE20,2),0)</f>
        <v/>
      </c>
      <c r="HN20" s="2" t="inlineStr">
        <is>
          <t>2023-09-28</t>
        </is>
      </c>
      <c r="HO20" s="5">
        <f>ROUND(0.8400000000000001,2)</f>
        <v/>
      </c>
      <c r="HP20" s="3">
        <f>ROUND(118.0,2)</f>
        <v/>
      </c>
      <c r="HQ20" s="3">
        <f>ROUND(3.0,2)</f>
        <v/>
      </c>
      <c r="HR20" s="3">
        <f>ROUND(8.0,2)</f>
        <v/>
      </c>
      <c r="HS20" s="3">
        <f>ROUND(3.0,2)</f>
        <v/>
      </c>
      <c r="HT20" s="3">
        <f>ROUND(2.0,2)</f>
        <v/>
      </c>
      <c r="HU20" s="3">
        <f>ROUND(1.0,2)</f>
        <v/>
      </c>
      <c r="HV20" s="3">
        <f>ROUND(0.0,2)</f>
        <v/>
      </c>
      <c r="HW20" s="4">
        <f>IFERROR((HQ20/HP20),0)</f>
        <v/>
      </c>
      <c r="HX20" s="4">
        <f>IFERROR(((0+HO11+HO12+HO13+HO14+HO15+HO16+HO17+HO19+HO20)/T2),0)</f>
        <v/>
      </c>
      <c r="HY20" s="5">
        <f>IFERROR(ROUND(HO20/HQ20,2),0)</f>
        <v/>
      </c>
      <c r="HZ20" s="5">
        <f>IFERROR(ROUND(HO20/HR20,2),0)</f>
        <v/>
      </c>
      <c r="IA20" s="2" t="inlineStr">
        <is>
          <t>2023-09-28</t>
        </is>
      </c>
      <c r="IB20" s="5">
        <f>ROUND(0.8400000000000001,2)</f>
        <v/>
      </c>
      <c r="IC20" s="3">
        <f>ROUND(89.0,2)</f>
        <v/>
      </c>
      <c r="ID20" s="3">
        <f>ROUND(3.0,2)</f>
        <v/>
      </c>
      <c r="IE20" s="3">
        <f>ROUND(18.0,2)</f>
        <v/>
      </c>
      <c r="IF20" s="3">
        <f>ROUND(14.0,2)</f>
        <v/>
      </c>
      <c r="IG20" s="3">
        <f>ROUND(11.0,2)</f>
        <v/>
      </c>
      <c r="IH20" s="3">
        <f>ROUND(9.0,2)</f>
        <v/>
      </c>
      <c r="II20" s="3">
        <f>ROUND(7.0,2)</f>
        <v/>
      </c>
      <c r="IJ20" s="4">
        <f>IFERROR((ID20/IC20),0)</f>
        <v/>
      </c>
      <c r="IK20" s="4">
        <f>IFERROR(((0+IB11+IB12+IB13+IB14+IB15+IB16+IB17+IB19+IB20)/T2),0)</f>
        <v/>
      </c>
      <c r="IL20" s="5">
        <f>IFERROR(ROUND(IB20/ID20,2),0)</f>
        <v/>
      </c>
      <c r="IM20" s="5">
        <f>IFERROR(ROUND(IB20/IE20,2),0)</f>
        <v/>
      </c>
      <c r="IN20" s="2" t="inlineStr">
        <is>
          <t>2023-09-28</t>
        </is>
      </c>
      <c r="IO20" s="5">
        <f>ROUND(7.28,2)</f>
        <v/>
      </c>
      <c r="IP20" s="3">
        <f>ROUND(573.0,2)</f>
        <v/>
      </c>
      <c r="IQ20" s="3">
        <f>ROUND(26.0,2)</f>
        <v/>
      </c>
      <c r="IR20" s="3">
        <f>ROUND(40.0,2)</f>
        <v/>
      </c>
      <c r="IS20" s="3">
        <f>ROUND(25.0,2)</f>
        <v/>
      </c>
      <c r="IT20" s="3">
        <f>ROUND(14.0,2)</f>
        <v/>
      </c>
      <c r="IU20" s="3">
        <f>ROUND(11.0,2)</f>
        <v/>
      </c>
      <c r="IV20" s="3">
        <f>ROUND(9.0,2)</f>
        <v/>
      </c>
      <c r="IW20" s="4">
        <f>IFERROR((IQ20/IP20),0)</f>
        <v/>
      </c>
      <c r="IX20" s="4">
        <f>IFERROR(((0+IO11+IO12+IO13+IO14+IO15+IO16+IO17+IO19+IO20)/T2),0)</f>
        <v/>
      </c>
      <c r="IY20" s="5">
        <f>IFERROR(ROUND(IO20/IQ20,2),0)</f>
        <v/>
      </c>
      <c r="IZ20" s="5">
        <f>IFERROR(ROUND(IO20/IR20,2),0)</f>
        <v/>
      </c>
      <c r="JA20" s="2" t="inlineStr">
        <is>
          <t>2023-09-28</t>
        </is>
      </c>
      <c r="JB20" s="5">
        <f>ROUND(0.0,2)</f>
        <v/>
      </c>
      <c r="JC20" s="3">
        <f>ROUND(59.0,2)</f>
        <v/>
      </c>
      <c r="JD20" s="3">
        <f>ROUND(0.0,2)</f>
        <v/>
      </c>
      <c r="JE20" s="3">
        <f>ROUND(16.0,2)</f>
        <v/>
      </c>
      <c r="JF20" s="3">
        <f>ROUND(13.0,2)</f>
        <v/>
      </c>
      <c r="JG20" s="3">
        <f>ROUND(9.0,2)</f>
        <v/>
      </c>
      <c r="JH20" s="3">
        <f>ROUND(6.0,2)</f>
        <v/>
      </c>
      <c r="JI20" s="3">
        <f>ROUND(5.0,2)</f>
        <v/>
      </c>
      <c r="JJ20" s="4">
        <f>IFERROR((JD20/JC20),0)</f>
        <v/>
      </c>
      <c r="JK20" s="4">
        <f>IFERROR(((0+JB11+JB12+JB13+JB14+JB15+JB16+JB17+JB19+JB20)/T2),0)</f>
        <v/>
      </c>
      <c r="JL20" s="5">
        <f>IFERROR(ROUND(JB20/JD20,2),0)</f>
        <v/>
      </c>
      <c r="JM20" s="5">
        <f>IFERROR(ROUND(JB20/JE20,2),0)</f>
        <v/>
      </c>
    </row>
    <row r="21">
      <c r="A21" s="2" t="inlineStr">
        <is>
          <t>2023-09-29</t>
        </is>
      </c>
      <c r="B21" s="5">
        <f>ROUND(121.52000000000001,2)</f>
        <v/>
      </c>
      <c r="C21" s="3">
        <f>ROUND(14817.0,2)</f>
        <v/>
      </c>
      <c r="D21" s="3">
        <f>ROUND(434.0,2)</f>
        <v/>
      </c>
      <c r="E21" s="3">
        <f>ROUND(1771.0,2)</f>
        <v/>
      </c>
      <c r="F21" s="3">
        <f>ROUND(1510.0,2)</f>
        <v/>
      </c>
      <c r="G21" s="3">
        <f>ROUND(546.0,2)</f>
        <v/>
      </c>
      <c r="H21" s="3">
        <f>ROUND(341.0,2)</f>
        <v/>
      </c>
      <c r="I21" s="3">
        <f>ROUND(222.0,2)</f>
        <v/>
      </c>
      <c r="J21" s="4">
        <f>IFERROR((D21/C21),0)</f>
        <v/>
      </c>
      <c r="K21" s="4">
        <f>IFERROR(((0+B11+B12+B13+B14+B15+B16+B17+B19+B20+B21)/T2),0)</f>
        <v/>
      </c>
      <c r="L21" s="5">
        <f>IFERROR(ROUND(B21/D21,2),0)</f>
        <v/>
      </c>
      <c r="M21" s="5">
        <f>IFERROR(ROUND(B21/E21,2),0)</f>
        <v/>
      </c>
      <c r="N21" s="2" t="inlineStr">
        <is>
          <t>2023-09-29</t>
        </is>
      </c>
      <c r="O21" s="5">
        <f>ROUND(1.12,2)</f>
        <v/>
      </c>
      <c r="P21" s="3">
        <f>ROUND(88.0,2)</f>
        <v/>
      </c>
      <c r="Q21" s="3">
        <f>ROUND(4.0,2)</f>
        <v/>
      </c>
      <c r="R21" s="3">
        <f>ROUND(11.0,2)</f>
        <v/>
      </c>
      <c r="S21" s="3">
        <f>ROUND(9.0,2)</f>
        <v/>
      </c>
      <c r="T21" s="3">
        <f>ROUND(4.0,2)</f>
        <v/>
      </c>
      <c r="U21" s="3">
        <f>ROUND(3.0,2)</f>
        <v/>
      </c>
      <c r="V21" s="3">
        <f>ROUND(2.0,2)</f>
        <v/>
      </c>
      <c r="W21" s="4">
        <f>IFERROR((Q21/P21),0)</f>
        <v/>
      </c>
      <c r="X21" s="4">
        <f>IFERROR(((0+O11+O12+O13+O14+O15+O16+O17+O19+O20+O21)/T2),0)</f>
        <v/>
      </c>
      <c r="Y21" s="5">
        <f>IFERROR(ROUND(O21/Q21,2),0)</f>
        <v/>
      </c>
      <c r="Z21" s="5">
        <f>IFERROR(ROUND(O21/R21,2),0)</f>
        <v/>
      </c>
      <c r="AA21" s="2" t="inlineStr">
        <is>
          <t>2023-09-29</t>
        </is>
      </c>
      <c r="AB21" s="5">
        <f>ROUND(0.0,2)</f>
        <v/>
      </c>
      <c r="AC21" s="3">
        <f>ROUND(28.0,2)</f>
        <v/>
      </c>
      <c r="AD21" s="3">
        <f>ROUND(0.0,2)</f>
        <v/>
      </c>
      <c r="AE21" s="3">
        <f>ROUND(0.0,2)</f>
        <v/>
      </c>
      <c r="AF21" s="3">
        <f>ROUND(0.0,2)</f>
        <v/>
      </c>
      <c r="AG21" s="3">
        <f>ROUND(0.0,2)</f>
        <v/>
      </c>
      <c r="AH21" s="3">
        <f>ROUND(0.0,2)</f>
        <v/>
      </c>
      <c r="AI21" s="3">
        <f>ROUND(0.0,2)</f>
        <v/>
      </c>
      <c r="AJ21" s="4">
        <f>IFERROR((AD21/AC21),0)</f>
        <v/>
      </c>
      <c r="AK21" s="4">
        <f>IFERROR(((0+AB11+AB12+AB13+AB14+AB15+AB16+AB17+AB19+AB20+AB21)/T2),0)</f>
        <v/>
      </c>
      <c r="AL21" s="5">
        <f>IFERROR(ROUND(AB21/AD21,2),0)</f>
        <v/>
      </c>
      <c r="AM21" s="5">
        <f>IFERROR(ROUND(AB21/AE21,2),0)</f>
        <v/>
      </c>
      <c r="AN21" s="2" t="inlineStr">
        <is>
          <t>2023-09-29</t>
        </is>
      </c>
      <c r="AO21" s="5">
        <f>ROUND(0.0,2)</f>
        <v/>
      </c>
      <c r="AP21" s="3">
        <f>ROUND(11.0,2)</f>
        <v/>
      </c>
      <c r="AQ21" s="3">
        <f>ROUND(0.0,2)</f>
        <v/>
      </c>
      <c r="AR21" s="3">
        <f>ROUND(0.0,2)</f>
        <v/>
      </c>
      <c r="AS21" s="3">
        <f>ROUND(0.0,2)</f>
        <v/>
      </c>
      <c r="AT21" s="3">
        <f>ROUND(0.0,2)</f>
        <v/>
      </c>
      <c r="AU21" s="3">
        <f>ROUND(0.0,2)</f>
        <v/>
      </c>
      <c r="AV21" s="3">
        <f>ROUND(0.0,2)</f>
        <v/>
      </c>
      <c r="AW21" s="4">
        <f>IFERROR((AQ21/AP21),0)</f>
        <v/>
      </c>
      <c r="AX21" s="4">
        <f>IFERROR(((0+AO11+AO12+AO13+AO14+AO15+AO16+AO17+AO19+AO20+AO21)/T2),0)</f>
        <v/>
      </c>
      <c r="AY21" s="5">
        <f>IFERROR(ROUND(AO21/AQ21,2),0)</f>
        <v/>
      </c>
      <c r="AZ21" s="5">
        <f>IFERROR(ROUND(AO21/AR21,2),0)</f>
        <v/>
      </c>
      <c r="BA21" s="2" t="inlineStr">
        <is>
          <t>2023-09-29</t>
        </is>
      </c>
      <c r="BB21" s="5">
        <f>ROUND(1.12,2)</f>
        <v/>
      </c>
      <c r="BC21" s="3">
        <f>ROUND(131.0,2)</f>
        <v/>
      </c>
      <c r="BD21" s="3">
        <f>ROUND(4.0,2)</f>
        <v/>
      </c>
      <c r="BE21" s="3">
        <f>ROUND(13.0,2)</f>
        <v/>
      </c>
      <c r="BF21" s="3">
        <f>ROUND(12.0,2)</f>
        <v/>
      </c>
      <c r="BG21" s="3">
        <f>ROUND(4.0,2)</f>
        <v/>
      </c>
      <c r="BH21" s="3">
        <f>ROUND(2.0,2)</f>
        <v/>
      </c>
      <c r="BI21" s="3">
        <f>ROUND(1.0,2)</f>
        <v/>
      </c>
      <c r="BJ21" s="4">
        <f>IFERROR((BD21/BC21),0)</f>
        <v/>
      </c>
      <c r="BK21" s="4">
        <f>IFERROR(((0+BB11+BB12+BB13+BB14+BB15+BB16+BB17+BB19+BB20+BB21)/T2),0)</f>
        <v/>
      </c>
      <c r="BL21" s="5">
        <f>IFERROR(ROUND(BB21/BD21,2),0)</f>
        <v/>
      </c>
      <c r="BM21" s="5">
        <f>IFERROR(ROUND(BB21/BE21,2),0)</f>
        <v/>
      </c>
      <c r="BN21" s="2" t="inlineStr">
        <is>
          <t>2023-09-29</t>
        </is>
      </c>
      <c r="BO21" s="5">
        <f>ROUND(0.56,2)</f>
        <v/>
      </c>
      <c r="BP21" s="3">
        <f>ROUND(83.0,2)</f>
        <v/>
      </c>
      <c r="BQ21" s="3">
        <f>ROUND(2.0,2)</f>
        <v/>
      </c>
      <c r="BR21" s="3">
        <f>ROUND(4.0,2)</f>
        <v/>
      </c>
      <c r="BS21" s="3">
        <f>ROUND(3.0,2)</f>
        <v/>
      </c>
      <c r="BT21" s="3">
        <f>ROUND(1.0,2)</f>
        <v/>
      </c>
      <c r="BU21" s="3">
        <f>ROUND(0.0,2)</f>
        <v/>
      </c>
      <c r="BV21" s="3">
        <f>ROUND(0.0,2)</f>
        <v/>
      </c>
      <c r="BW21" s="4">
        <f>IFERROR((BQ21/BP21),0)</f>
        <v/>
      </c>
      <c r="BX21" s="4">
        <f>IFERROR(((0+BO11+BO12+BO13+BO14+BO15+BO16+BO17+BO19+BO20+BO21)/T2),0)</f>
        <v/>
      </c>
      <c r="BY21" s="5">
        <f>IFERROR(ROUND(BO21/BQ21,2),0)</f>
        <v/>
      </c>
      <c r="BZ21" s="5">
        <f>IFERROR(ROUND(BO21/BR21,2),0)</f>
        <v/>
      </c>
      <c r="CA21" s="2" t="inlineStr">
        <is>
          <t>2023-09-29</t>
        </is>
      </c>
      <c r="CB21" s="5">
        <f>ROUND(54.60000000000001,2)</f>
        <v/>
      </c>
      <c r="CC21" s="3">
        <f>ROUND(7348.0,2)</f>
        <v/>
      </c>
      <c r="CD21" s="3">
        <f>ROUND(195.0,2)</f>
        <v/>
      </c>
      <c r="CE21" s="3">
        <f>ROUND(784.0,2)</f>
        <v/>
      </c>
      <c r="CF21" s="3">
        <f>ROUND(684.0,2)</f>
        <v/>
      </c>
      <c r="CG21" s="3">
        <f>ROUND(204.0,2)</f>
        <v/>
      </c>
      <c r="CH21" s="3">
        <f>ROUND(116.0,2)</f>
        <v/>
      </c>
      <c r="CI21" s="3">
        <f>ROUND(69.0,2)</f>
        <v/>
      </c>
      <c r="CJ21" s="4">
        <f>IFERROR((CD21/CC21),0)</f>
        <v/>
      </c>
      <c r="CK21" s="4">
        <f>IFERROR(((0+CB11+CB12+CB13+CB14+CB15+CB16+CB17+CB19+CB20+CB21)/T2),0)</f>
        <v/>
      </c>
      <c r="CL21" s="5">
        <f>IFERROR(ROUND(CB21/CD21,2),0)</f>
        <v/>
      </c>
      <c r="CM21" s="5">
        <f>IFERROR(ROUND(CB21/CE21,2),0)</f>
        <v/>
      </c>
      <c r="CN21" s="2" t="inlineStr">
        <is>
          <t>2023-09-29</t>
        </is>
      </c>
      <c r="CO21" s="5">
        <f>ROUND(0.56,2)</f>
        <v/>
      </c>
      <c r="CP21" s="3">
        <f>ROUND(30.0,2)</f>
        <v/>
      </c>
      <c r="CQ21" s="3">
        <f>ROUND(2.0,2)</f>
        <v/>
      </c>
      <c r="CR21" s="3">
        <f>ROUND(2.0,2)</f>
        <v/>
      </c>
      <c r="CS21" s="3">
        <f>ROUND(1.0,2)</f>
        <v/>
      </c>
      <c r="CT21" s="3">
        <f>ROUND(0.0,2)</f>
        <v/>
      </c>
      <c r="CU21" s="3">
        <f>ROUND(0.0,2)</f>
        <v/>
      </c>
      <c r="CV21" s="3">
        <f>ROUND(0.0,2)</f>
        <v/>
      </c>
      <c r="CW21" s="4">
        <f>IFERROR((CQ21/CP21),0)</f>
        <v/>
      </c>
      <c r="CX21" s="4">
        <f>IFERROR(((0+CO11+CO12+CO13+CO14+CO15+CO16+CO17+CO19+CO20+CO21)/T2),0)</f>
        <v/>
      </c>
      <c r="CY21" s="5">
        <f>IFERROR(ROUND(CO21/CQ21,2),0)</f>
        <v/>
      </c>
      <c r="CZ21" s="5">
        <f>IFERROR(ROUND(CO21/CR21,2),0)</f>
        <v/>
      </c>
      <c r="DA21" s="2" t="inlineStr">
        <is>
          <t>2023-09-29</t>
        </is>
      </c>
      <c r="DB21" s="5">
        <f>ROUND(0.28,2)</f>
        <v/>
      </c>
      <c r="DC21" s="3">
        <f>ROUND(33.0,2)</f>
        <v/>
      </c>
      <c r="DD21" s="3">
        <f>ROUND(1.0,2)</f>
        <v/>
      </c>
      <c r="DE21" s="3">
        <f>ROUND(1.0,2)</f>
        <v/>
      </c>
      <c r="DF21" s="3">
        <f>ROUND(1.0,2)</f>
        <v/>
      </c>
      <c r="DG21" s="3">
        <f>ROUND(0.0,2)</f>
        <v/>
      </c>
      <c r="DH21" s="3">
        <f>ROUND(0.0,2)</f>
        <v/>
      </c>
      <c r="DI21" s="3">
        <f>ROUND(0.0,2)</f>
        <v/>
      </c>
      <c r="DJ21" s="4">
        <f>IFERROR((DD21/DC21),0)</f>
        <v/>
      </c>
      <c r="DK21" s="4">
        <f>IFERROR(((0+DB11+DB12+DB13+DB14+DB15+DB16+DB17+DB19+DB20+DB21)/T2),0)</f>
        <v/>
      </c>
      <c r="DL21" s="5">
        <f>IFERROR(ROUND(DB21/DD21,2),0)</f>
        <v/>
      </c>
      <c r="DM21" s="5">
        <f>IFERROR(ROUND(DB21/DE21,2),0)</f>
        <v/>
      </c>
      <c r="DN21" s="2" t="inlineStr">
        <is>
          <t>2023-09-29</t>
        </is>
      </c>
      <c r="DO21" s="5">
        <f>ROUND(0.0,2)</f>
        <v/>
      </c>
      <c r="DP21" s="3">
        <f>ROUND(23.0,2)</f>
        <v/>
      </c>
      <c r="DQ21" s="3">
        <f>ROUND(0.0,2)</f>
        <v/>
      </c>
      <c r="DR21" s="3">
        <f>ROUND(2.0,2)</f>
        <v/>
      </c>
      <c r="DS21" s="3">
        <f>ROUND(2.0,2)</f>
        <v/>
      </c>
      <c r="DT21" s="3">
        <f>ROUND(1.0,2)</f>
        <v/>
      </c>
      <c r="DU21" s="3">
        <f>ROUND(0.0,2)</f>
        <v/>
      </c>
      <c r="DV21" s="3">
        <f>ROUND(0.0,2)</f>
        <v/>
      </c>
      <c r="DW21" s="4">
        <f>IFERROR((DQ21/DP21),0)</f>
        <v/>
      </c>
      <c r="DX21" s="4">
        <f>IFERROR(((0+DO11+DO12+DO13+DO14+DO15+DO16+DO17+DO19+DO20+DO21)/T2),0)</f>
        <v/>
      </c>
      <c r="DY21" s="5">
        <f>IFERROR(ROUND(DO21/DQ21,2),0)</f>
        <v/>
      </c>
      <c r="DZ21" s="5">
        <f>IFERROR(ROUND(DO21/DR21,2),0)</f>
        <v/>
      </c>
      <c r="EA21" s="2" t="inlineStr">
        <is>
          <t>2023-09-29</t>
        </is>
      </c>
      <c r="EB21" s="5">
        <f>ROUND(0.8400000000000001,2)</f>
        <v/>
      </c>
      <c r="EC21" s="3">
        <f>ROUND(89.0,2)</f>
        <v/>
      </c>
      <c r="ED21" s="3">
        <f>ROUND(3.0,2)</f>
        <v/>
      </c>
      <c r="EE21" s="3">
        <f>ROUND(5.0,2)</f>
        <v/>
      </c>
      <c r="EF21" s="3">
        <f>ROUND(5.0,2)</f>
        <v/>
      </c>
      <c r="EG21" s="3">
        <f>ROUND(2.0,2)</f>
        <v/>
      </c>
      <c r="EH21" s="3">
        <f>ROUND(2.0,2)</f>
        <v/>
      </c>
      <c r="EI21" s="3">
        <f>ROUND(2.0,2)</f>
        <v/>
      </c>
      <c r="EJ21" s="4">
        <f>IFERROR((ED21/EC21),0)</f>
        <v/>
      </c>
      <c r="EK21" s="4">
        <f>IFERROR(((0+EB11+EB12+EB13+EB14+EB15+EB16+EB17+EB19+EB20+EB21)/T2),0)</f>
        <v/>
      </c>
      <c r="EL21" s="5">
        <f>IFERROR(ROUND(EB21/ED21,2),0)</f>
        <v/>
      </c>
      <c r="EM21" s="5">
        <f>IFERROR(ROUND(EB21/EE21,2),0)</f>
        <v/>
      </c>
      <c r="EN21" s="2" t="inlineStr">
        <is>
          <t>2023-09-29</t>
        </is>
      </c>
      <c r="EO21" s="5">
        <f>ROUND(1.9600000000000002,2)</f>
        <v/>
      </c>
      <c r="EP21" s="3">
        <f>ROUND(247.0,2)</f>
        <v/>
      </c>
      <c r="EQ21" s="3">
        <f>ROUND(7.0,2)</f>
        <v/>
      </c>
      <c r="ER21" s="3">
        <f>ROUND(36.0,2)</f>
        <v/>
      </c>
      <c r="ES21" s="3">
        <f>ROUND(27.0,2)</f>
        <v/>
      </c>
      <c r="ET21" s="3">
        <f>ROUND(10.0,2)</f>
        <v/>
      </c>
      <c r="EU21" s="3">
        <f>ROUND(8.0,2)</f>
        <v/>
      </c>
      <c r="EV21" s="3">
        <f>ROUND(5.0,2)</f>
        <v/>
      </c>
      <c r="EW21" s="4">
        <f>IFERROR((EQ21/EP21),0)</f>
        <v/>
      </c>
      <c r="EX21" s="4">
        <f>IFERROR(((0+EO11+EO12+EO13+EO14+EO15+EO16+EO17+EO19+EO20+EO21)/T2),0)</f>
        <v/>
      </c>
      <c r="EY21" s="5">
        <f>IFERROR(ROUND(EO21/EQ21,2),0)</f>
        <v/>
      </c>
      <c r="EZ21" s="5">
        <f>IFERROR(ROUND(EO21/ER21,2),0)</f>
        <v/>
      </c>
      <c r="FA21" s="2" t="inlineStr">
        <is>
          <t>2023-09-29</t>
        </is>
      </c>
      <c r="FB21" s="5">
        <f>ROUND(9.520000000000001,2)</f>
        <v/>
      </c>
      <c r="FC21" s="3">
        <f>ROUND(1505.0,2)</f>
        <v/>
      </c>
      <c r="FD21" s="3">
        <f>ROUND(34.0,2)</f>
        <v/>
      </c>
      <c r="FE21" s="3">
        <f>ROUND(175.0,2)</f>
        <v/>
      </c>
      <c r="FF21" s="3">
        <f>ROUND(161.0,2)</f>
        <v/>
      </c>
      <c r="FG21" s="3">
        <f>ROUND(55.0,2)</f>
        <v/>
      </c>
      <c r="FH21" s="3">
        <f>ROUND(31.0,2)</f>
        <v/>
      </c>
      <c r="FI21" s="3">
        <f>ROUND(18.0,2)</f>
        <v/>
      </c>
      <c r="FJ21" s="4">
        <f>IFERROR((FD21/FC21),0)</f>
        <v/>
      </c>
      <c r="FK21" s="4">
        <f>IFERROR(((0+FB11+FB12+FB13+FB14+FB15+FB16+FB17+FB19+FB20+FB21)/T2),0)</f>
        <v/>
      </c>
      <c r="FL21" s="5">
        <f>IFERROR(ROUND(FB21/FD21,2),0)</f>
        <v/>
      </c>
      <c r="FM21" s="5">
        <f>IFERROR(ROUND(FB21/FE21,2),0)</f>
        <v/>
      </c>
      <c r="FN21" s="2" t="inlineStr">
        <is>
          <t>2023-09-29</t>
        </is>
      </c>
      <c r="FO21" s="5">
        <f>ROUND(5.32,2)</f>
        <v/>
      </c>
      <c r="FP21" s="3">
        <f>ROUND(578.0,2)</f>
        <v/>
      </c>
      <c r="FQ21" s="3">
        <f>ROUND(19.0,2)</f>
        <v/>
      </c>
      <c r="FR21" s="3">
        <f>ROUND(85.0,2)</f>
        <v/>
      </c>
      <c r="FS21" s="3">
        <f>ROUND(73.0,2)</f>
        <v/>
      </c>
      <c r="FT21" s="3">
        <f>ROUND(33.0,2)</f>
        <v/>
      </c>
      <c r="FU21" s="3">
        <f>ROUND(21.0,2)</f>
        <v/>
      </c>
      <c r="FV21" s="3">
        <f>ROUND(12.0,2)</f>
        <v/>
      </c>
      <c r="FW21" s="4">
        <f>IFERROR((FQ21/FP21),0)</f>
        <v/>
      </c>
      <c r="FX21" s="4">
        <f>IFERROR(((0+FO11+FO12+FO13+FO14+FO15+FO16+FO17+FO19+FO20+FO21)/T2),0)</f>
        <v/>
      </c>
      <c r="FY21" s="5">
        <f>IFERROR(ROUND(FO21/FQ21,2),0)</f>
        <v/>
      </c>
      <c r="FZ21" s="5">
        <f>IFERROR(ROUND(FO21/FR21,2),0)</f>
        <v/>
      </c>
      <c r="GA21" s="2" t="inlineStr">
        <is>
          <t>2023-09-29</t>
        </is>
      </c>
      <c r="GB21" s="5">
        <f>ROUND(19.32,2)</f>
        <v/>
      </c>
      <c r="GC21" s="3">
        <f>ROUND(1629.0,2)</f>
        <v/>
      </c>
      <c r="GD21" s="3">
        <f>ROUND(69.0,2)</f>
        <v/>
      </c>
      <c r="GE21" s="3">
        <f>ROUND(239.0,2)</f>
        <v/>
      </c>
      <c r="GF21" s="3">
        <f>ROUND(198.0,2)</f>
        <v/>
      </c>
      <c r="GG21" s="3">
        <f>ROUND(73.0,2)</f>
        <v/>
      </c>
      <c r="GH21" s="3">
        <f>ROUND(46.0,2)</f>
        <v/>
      </c>
      <c r="GI21" s="3">
        <f>ROUND(31.0,2)</f>
        <v/>
      </c>
      <c r="GJ21" s="4">
        <f>IFERROR((GD21/GC21),0)</f>
        <v/>
      </c>
      <c r="GK21" s="4">
        <f>IFERROR(((0+GB11+GB12+GB13+GB14+GB15+GB16+GB17+GB19+GB20+GB21)/T2),0)</f>
        <v/>
      </c>
      <c r="GL21" s="5">
        <f>IFERROR(ROUND(GB21/GD21,2),0)</f>
        <v/>
      </c>
      <c r="GM21" s="5">
        <f>IFERROR(ROUND(GB21/GE21,2),0)</f>
        <v/>
      </c>
      <c r="GN21" s="2" t="inlineStr">
        <is>
          <t>2023-09-29</t>
        </is>
      </c>
      <c r="GO21" s="5">
        <f>ROUND(7.000000000000001,2)</f>
        <v/>
      </c>
      <c r="GP21" s="3">
        <f>ROUND(449.0,2)</f>
        <v/>
      </c>
      <c r="GQ21" s="3">
        <f>ROUND(25.0,2)</f>
        <v/>
      </c>
      <c r="GR21" s="3">
        <f>ROUND(116.0,2)</f>
        <v/>
      </c>
      <c r="GS21" s="3">
        <f>ROUND(101.0,2)</f>
        <v/>
      </c>
      <c r="GT21" s="3">
        <f>ROUND(52.0,2)</f>
        <v/>
      </c>
      <c r="GU21" s="3">
        <f>ROUND(39.0,2)</f>
        <v/>
      </c>
      <c r="GV21" s="3">
        <f>ROUND(29.0,2)</f>
        <v/>
      </c>
      <c r="GW21" s="4">
        <f>IFERROR((GQ21/GP21),0)</f>
        <v/>
      </c>
      <c r="GX21" s="4">
        <f>IFERROR(((0+GO11+GO12+GO13+GO14+GO15+GO16+GO17+GO19+GO20+GO21)/T2),0)</f>
        <v/>
      </c>
      <c r="GY21" s="5">
        <f>IFERROR(ROUND(GO21/GQ21,2),0)</f>
        <v/>
      </c>
      <c r="GZ21" s="5">
        <f>IFERROR(ROUND(GO21/GR21,2),0)</f>
        <v/>
      </c>
      <c r="HA21" s="2" t="inlineStr">
        <is>
          <t>2023-09-29</t>
        </is>
      </c>
      <c r="HB21" s="5">
        <f>ROUND(4.760000000000001,2)</f>
        <v/>
      </c>
      <c r="HC21" s="3">
        <f>ROUND(929.0,2)</f>
        <v/>
      </c>
      <c r="HD21" s="3">
        <f>ROUND(17.0,2)</f>
        <v/>
      </c>
      <c r="HE21" s="3">
        <f>ROUND(90.0,2)</f>
        <v/>
      </c>
      <c r="HF21" s="3">
        <f>ROUND(66.0,2)</f>
        <v/>
      </c>
      <c r="HG21" s="3">
        <f>ROUND(26.0,2)</f>
        <v/>
      </c>
      <c r="HH21" s="3">
        <f>ROUND(18.0,2)</f>
        <v/>
      </c>
      <c r="HI21" s="3">
        <f>ROUND(14.0,2)</f>
        <v/>
      </c>
      <c r="HJ21" s="4">
        <f>IFERROR((HD21/HC21),0)</f>
        <v/>
      </c>
      <c r="HK21" s="4">
        <f>IFERROR(((0+HB11+HB12+HB13+HB14+HB15+HB16+HB17+HB19+HB20+HB21)/T2),0)</f>
        <v/>
      </c>
      <c r="HL21" s="5">
        <f>IFERROR(ROUND(HB21/HD21,2),0)</f>
        <v/>
      </c>
      <c r="HM21" s="5">
        <f>IFERROR(ROUND(HB21/HE21,2),0)</f>
        <v/>
      </c>
      <c r="HN21" s="2" t="inlineStr">
        <is>
          <t>2023-09-29</t>
        </is>
      </c>
      <c r="HO21" s="5">
        <f>ROUND(5.6000000000000005,2)</f>
        <v/>
      </c>
      <c r="HP21" s="3">
        <f>ROUND(490.0,2)</f>
        <v/>
      </c>
      <c r="HQ21" s="3">
        <f>ROUND(20.0,2)</f>
        <v/>
      </c>
      <c r="HR21" s="3">
        <f>ROUND(20.0,2)</f>
        <v/>
      </c>
      <c r="HS21" s="3">
        <f>ROUND(10.0,2)</f>
        <v/>
      </c>
      <c r="HT21" s="3">
        <f>ROUND(5.0,2)</f>
        <v/>
      </c>
      <c r="HU21" s="3">
        <f>ROUND(2.0,2)</f>
        <v/>
      </c>
      <c r="HV21" s="3">
        <f>ROUND(1.0,2)</f>
        <v/>
      </c>
      <c r="HW21" s="4">
        <f>IFERROR((HQ21/HP21),0)</f>
        <v/>
      </c>
      <c r="HX21" s="4">
        <f>IFERROR(((0+HO11+HO12+HO13+HO14+HO15+HO16+HO17+HO19+HO20+HO21)/T2),0)</f>
        <v/>
      </c>
      <c r="HY21" s="5">
        <f>IFERROR(ROUND(HO21/HQ21,2),0)</f>
        <v/>
      </c>
      <c r="HZ21" s="5">
        <f>IFERROR(ROUND(HO21/HR21,2),0)</f>
        <v/>
      </c>
      <c r="IA21" s="2" t="inlineStr">
        <is>
          <t>2023-09-29</t>
        </is>
      </c>
      <c r="IB21" s="5">
        <f>ROUND(0.56,2)</f>
        <v/>
      </c>
      <c r="IC21" s="3">
        <f>ROUND(155.0,2)</f>
        <v/>
      </c>
      <c r="ID21" s="3">
        <f>ROUND(2.0,2)</f>
        <v/>
      </c>
      <c r="IE21" s="3">
        <f>ROUND(34.0,2)</f>
        <v/>
      </c>
      <c r="IF21" s="3">
        <f>ROUND(29.0,2)</f>
        <v/>
      </c>
      <c r="IG21" s="3">
        <f>ROUND(17.0,2)</f>
        <v/>
      </c>
      <c r="IH21" s="3">
        <f>ROUND(15.0,2)</f>
        <v/>
      </c>
      <c r="II21" s="3">
        <f>ROUND(7.0,2)</f>
        <v/>
      </c>
      <c r="IJ21" s="4">
        <f>IFERROR((ID21/IC21),0)</f>
        <v/>
      </c>
      <c r="IK21" s="4">
        <f>IFERROR(((0+IB11+IB12+IB13+IB14+IB15+IB16+IB17+IB19+IB20+IB21)/T2),0)</f>
        <v/>
      </c>
      <c r="IL21" s="5">
        <f>IFERROR(ROUND(IB21/ID21,2),0)</f>
        <v/>
      </c>
      <c r="IM21" s="5">
        <f>IFERROR(ROUND(IB21/IE21,2),0)</f>
        <v/>
      </c>
      <c r="IN21" s="2" t="inlineStr">
        <is>
          <t>2023-09-29</t>
        </is>
      </c>
      <c r="IO21" s="5">
        <f>ROUND(7.280000000000001,2)</f>
        <v/>
      </c>
      <c r="IP21" s="3">
        <f>ROUND(811.0,2)</f>
        <v/>
      </c>
      <c r="IQ21" s="3">
        <f>ROUND(26.0,2)</f>
        <v/>
      </c>
      <c r="IR21" s="3">
        <f>ROUND(121.0,2)</f>
        <v/>
      </c>
      <c r="IS21" s="3">
        <f>ROUND(97.0,2)</f>
        <v/>
      </c>
      <c r="IT21" s="3">
        <f>ROUND(45.0,2)</f>
        <v/>
      </c>
      <c r="IU21" s="3">
        <f>ROUND(29.0,2)</f>
        <v/>
      </c>
      <c r="IV21" s="3">
        <f>ROUND(25.0,2)</f>
        <v/>
      </c>
      <c r="IW21" s="4">
        <f>IFERROR((IQ21/IP21),0)</f>
        <v/>
      </c>
      <c r="IX21" s="4">
        <f>IFERROR(((0+IO11+IO12+IO13+IO14+IO15+IO16+IO17+IO19+IO20+IO21)/T2),0)</f>
        <v/>
      </c>
      <c r="IY21" s="5">
        <f>IFERROR(ROUND(IO21/IQ21,2),0)</f>
        <v/>
      </c>
      <c r="IZ21" s="5">
        <f>IFERROR(ROUND(IO21/IR21,2),0)</f>
        <v/>
      </c>
      <c r="JA21" s="2" t="inlineStr">
        <is>
          <t>2023-09-29</t>
        </is>
      </c>
      <c r="JB21" s="5">
        <f>ROUND(1.12,2)</f>
        <v/>
      </c>
      <c r="JC21" s="3">
        <f>ROUND(160.0,2)</f>
        <v/>
      </c>
      <c r="JD21" s="3">
        <f>ROUND(4.0,2)</f>
        <v/>
      </c>
      <c r="JE21" s="3">
        <f>ROUND(33.0,2)</f>
        <v/>
      </c>
      <c r="JF21" s="3">
        <f>ROUND(31.0,2)</f>
        <v/>
      </c>
      <c r="JG21" s="3">
        <f>ROUND(14.0,2)</f>
        <v/>
      </c>
      <c r="JH21" s="3">
        <f>ROUND(9.0,2)</f>
        <v/>
      </c>
      <c r="JI21" s="3">
        <f>ROUND(6.0,2)</f>
        <v/>
      </c>
      <c r="JJ21" s="4">
        <f>IFERROR((JD21/JC21),0)</f>
        <v/>
      </c>
      <c r="JK21" s="4">
        <f>IFERROR(((0+JB11+JB12+JB13+JB14+JB15+JB16+JB17+JB19+JB20+JB21)/T2),0)</f>
        <v/>
      </c>
      <c r="JL21" s="5">
        <f>IFERROR(ROUND(JB21/JD21,2),0)</f>
        <v/>
      </c>
      <c r="JM21" s="5">
        <f>IFERROR(ROUND(JB21/JE21,2),0)</f>
        <v/>
      </c>
    </row>
    <row r="22">
      <c r="A22" s="2" t="inlineStr">
        <is>
          <t>2023-09-30</t>
        </is>
      </c>
      <c r="B22" s="5">
        <f>ROUND(82.88000000000001,2)</f>
        <v/>
      </c>
      <c r="C22" s="3">
        <f>ROUND(10154.0,2)</f>
        <v/>
      </c>
      <c r="D22" s="3">
        <f>ROUND(296.0,2)</f>
        <v/>
      </c>
      <c r="E22" s="3">
        <f>ROUND(863.0,2)</f>
        <v/>
      </c>
      <c r="F22" s="3">
        <f>ROUND(726.0,2)</f>
        <v/>
      </c>
      <c r="G22" s="3">
        <f>ROUND(306.0,2)</f>
        <v/>
      </c>
      <c r="H22" s="3">
        <f>ROUND(211.0,2)</f>
        <v/>
      </c>
      <c r="I22" s="3">
        <f>ROUND(148.0,2)</f>
        <v/>
      </c>
      <c r="J22" s="4">
        <f>IFERROR((D22/C22),0)</f>
        <v/>
      </c>
      <c r="K22" s="4">
        <f>IFERROR(((0+B11+B12+B13+B14+B15+B16+B17+B19+B20+B21+B22)/T2),0)</f>
        <v/>
      </c>
      <c r="L22" s="5">
        <f>IFERROR(ROUND(B22/D22,2),0)</f>
        <v/>
      </c>
      <c r="M22" s="5">
        <f>IFERROR(ROUND(B22/E22,2),0)</f>
        <v/>
      </c>
      <c r="N22" s="2" t="inlineStr">
        <is>
          <t>2023-09-30</t>
        </is>
      </c>
      <c r="O22" s="5">
        <f>ROUND(5.32,2)</f>
        <v/>
      </c>
      <c r="P22" s="3">
        <f>ROUND(773.0,2)</f>
        <v/>
      </c>
      <c r="Q22" s="3">
        <f>ROUND(19.0,2)</f>
        <v/>
      </c>
      <c r="R22" s="3">
        <f>ROUND(29.0,2)</f>
        <v/>
      </c>
      <c r="S22" s="3">
        <f>ROUND(18.0,2)</f>
        <v/>
      </c>
      <c r="T22" s="3">
        <f>ROUND(13.0,2)</f>
        <v/>
      </c>
      <c r="U22" s="3">
        <f>ROUND(11.0,2)</f>
        <v/>
      </c>
      <c r="V22" s="3">
        <f>ROUND(9.0,2)</f>
        <v/>
      </c>
      <c r="W22" s="4">
        <f>IFERROR((Q22/P22),0)</f>
        <v/>
      </c>
      <c r="X22" s="4">
        <f>IFERROR(((0+O11+O12+O13+O14+O15+O16+O17+O19+O20+O21+O22)/T2),0)</f>
        <v/>
      </c>
      <c r="Y22" s="5">
        <f>IFERROR(ROUND(O22/Q22,2),0)</f>
        <v/>
      </c>
      <c r="Z22" s="5">
        <f>IFERROR(ROUND(O22/R22,2),0)</f>
        <v/>
      </c>
      <c r="AA22" s="2" t="inlineStr">
        <is>
          <t>2023-09-30</t>
        </is>
      </c>
      <c r="AB22" s="5">
        <f>ROUND(3.3600000000000003,2)</f>
        <v/>
      </c>
      <c r="AC22" s="3">
        <f>ROUND(341.0,2)</f>
        <v/>
      </c>
      <c r="AD22" s="3">
        <f>ROUND(12.0,2)</f>
        <v/>
      </c>
      <c r="AE22" s="3">
        <f>ROUND(12.0,2)</f>
        <v/>
      </c>
      <c r="AF22" s="3">
        <f>ROUND(9.0,2)</f>
        <v/>
      </c>
      <c r="AG22" s="3">
        <f>ROUND(7.0,2)</f>
        <v/>
      </c>
      <c r="AH22" s="3">
        <f>ROUND(4.0,2)</f>
        <v/>
      </c>
      <c r="AI22" s="3">
        <f>ROUND(4.0,2)</f>
        <v/>
      </c>
      <c r="AJ22" s="4">
        <f>IFERROR((AD22/AC22),0)</f>
        <v/>
      </c>
      <c r="AK22" s="4">
        <f>IFERROR(((0+AB11+AB12+AB13+AB14+AB15+AB16+AB17+AB19+AB20+AB21+AB22)/T2),0)</f>
        <v/>
      </c>
      <c r="AL22" s="5">
        <f>IFERROR(ROUND(AB22/AD22,2),0)</f>
        <v/>
      </c>
      <c r="AM22" s="5">
        <f>IFERROR(ROUND(AB22/AE22,2),0)</f>
        <v/>
      </c>
      <c r="AN22" s="2" t="inlineStr">
        <is>
          <t>2023-09-30</t>
        </is>
      </c>
      <c r="AO22" s="5">
        <f>ROUND(0.56,2)</f>
        <v/>
      </c>
      <c r="AP22" s="3">
        <f>ROUND(132.0,2)</f>
        <v/>
      </c>
      <c r="AQ22" s="3">
        <f>ROUND(2.0,2)</f>
        <v/>
      </c>
      <c r="AR22" s="3">
        <f>ROUND(0.0,2)</f>
        <v/>
      </c>
      <c r="AS22" s="3">
        <f>ROUND(0.0,2)</f>
        <v/>
      </c>
      <c r="AT22" s="3">
        <f>ROUND(0.0,2)</f>
        <v/>
      </c>
      <c r="AU22" s="3">
        <f>ROUND(0.0,2)</f>
        <v/>
      </c>
      <c r="AV22" s="3">
        <f>ROUND(0.0,2)</f>
        <v/>
      </c>
      <c r="AW22" s="4">
        <f>IFERROR((AQ22/AP22),0)</f>
        <v/>
      </c>
      <c r="AX22" s="4">
        <f>IFERROR(((0+AO11+AO12+AO13+AO14+AO15+AO16+AO17+AO19+AO20+AO21+AO22)/T2),0)</f>
        <v/>
      </c>
      <c r="AY22" s="5">
        <f>IFERROR(ROUND(AO22/AQ22,2),0)</f>
        <v/>
      </c>
      <c r="AZ22" s="5">
        <f>IFERROR(ROUND(AO22/AR22,2),0)</f>
        <v/>
      </c>
      <c r="BA22" s="2" t="inlineStr">
        <is>
          <t>2023-09-30</t>
        </is>
      </c>
      <c r="BB22" s="5">
        <f>ROUND(1.6800000000000002,2)</f>
        <v/>
      </c>
      <c r="BC22" s="3">
        <f>ROUND(240.0,2)</f>
        <v/>
      </c>
      <c r="BD22" s="3">
        <f>ROUND(6.0,2)</f>
        <v/>
      </c>
      <c r="BE22" s="3">
        <f>ROUND(9.0,2)</f>
        <v/>
      </c>
      <c r="BF22" s="3">
        <f>ROUND(8.0,2)</f>
        <v/>
      </c>
      <c r="BG22" s="3">
        <f>ROUND(4.0,2)</f>
        <v/>
      </c>
      <c r="BH22" s="3">
        <f>ROUND(3.0,2)</f>
        <v/>
      </c>
      <c r="BI22" s="3">
        <f>ROUND(2.0,2)</f>
        <v/>
      </c>
      <c r="BJ22" s="4">
        <f>IFERROR((BD22/BC22),0)</f>
        <v/>
      </c>
      <c r="BK22" s="4">
        <f>IFERROR(((0+BB11+BB12+BB13+BB14+BB15+BB16+BB17+BB19+BB20+BB21+BB22)/T2),0)</f>
        <v/>
      </c>
      <c r="BL22" s="5">
        <f>IFERROR(ROUND(BB22/BD22,2),0)</f>
        <v/>
      </c>
      <c r="BM22" s="5">
        <f>IFERROR(ROUND(BB22/BE22,2),0)</f>
        <v/>
      </c>
      <c r="BN22" s="2" t="inlineStr">
        <is>
          <t>2023-09-30</t>
        </is>
      </c>
      <c r="BO22" s="5">
        <f>ROUND(12.040000000000001,2)</f>
        <v/>
      </c>
      <c r="BP22" s="3">
        <f>ROUND(1313.0,2)</f>
        <v/>
      </c>
      <c r="BQ22" s="3">
        <f>ROUND(43.0,2)</f>
        <v/>
      </c>
      <c r="BR22" s="3">
        <f>ROUND(34.0,2)</f>
        <v/>
      </c>
      <c r="BS22" s="3">
        <f>ROUND(26.0,2)</f>
        <v/>
      </c>
      <c r="BT22" s="3">
        <f>ROUND(15.0,2)</f>
        <v/>
      </c>
      <c r="BU22" s="3">
        <f>ROUND(11.0,2)</f>
        <v/>
      </c>
      <c r="BV22" s="3">
        <f>ROUND(9.0,2)</f>
        <v/>
      </c>
      <c r="BW22" s="4">
        <f>IFERROR((BQ22/BP22),0)</f>
        <v/>
      </c>
      <c r="BX22" s="4">
        <f>IFERROR(((0+BO11+BO12+BO13+BO14+BO15+BO16+BO17+BO19+BO20+BO21+BO22)/T2),0)</f>
        <v/>
      </c>
      <c r="BY22" s="5">
        <f>IFERROR(ROUND(BO22/BQ22,2),0)</f>
        <v/>
      </c>
      <c r="BZ22" s="5">
        <f>IFERROR(ROUND(BO22/BR22,2),0)</f>
        <v/>
      </c>
      <c r="CA22" s="2" t="inlineStr">
        <is>
          <t>2023-09-30</t>
        </is>
      </c>
      <c r="CB22" s="5">
        <f>ROUND(12.040000000000003,2)</f>
        <v/>
      </c>
      <c r="CC22" s="3">
        <f>ROUND(1881.0,2)</f>
        <v/>
      </c>
      <c r="CD22" s="3">
        <f>ROUND(43.0,2)</f>
        <v/>
      </c>
      <c r="CE22" s="3">
        <f>ROUND(171.0,2)</f>
        <v/>
      </c>
      <c r="CF22" s="3">
        <f>ROUND(152.0,2)</f>
        <v/>
      </c>
      <c r="CG22" s="3">
        <f>ROUND(46.0,2)</f>
        <v/>
      </c>
      <c r="CH22" s="3">
        <f>ROUND(24.0,2)</f>
        <v/>
      </c>
      <c r="CI22" s="3">
        <f>ROUND(15.0,2)</f>
        <v/>
      </c>
      <c r="CJ22" s="4">
        <f>IFERROR((CD22/CC22),0)</f>
        <v/>
      </c>
      <c r="CK22" s="4">
        <f>IFERROR(((0+CB11+CB12+CB13+CB14+CB15+CB16+CB17+CB19+CB20+CB21+CB22)/T2),0)</f>
        <v/>
      </c>
      <c r="CL22" s="5">
        <f>IFERROR(ROUND(CB22/CD22,2),0)</f>
        <v/>
      </c>
      <c r="CM22" s="5">
        <f>IFERROR(ROUND(CB22/CE22,2),0)</f>
        <v/>
      </c>
      <c r="CN22" s="2" t="inlineStr">
        <is>
          <t>2023-09-30</t>
        </is>
      </c>
      <c r="CO22" s="5">
        <f>ROUND(3.08,2)</f>
        <v/>
      </c>
      <c r="CP22" s="3">
        <f>ROUND(333.0,2)</f>
        <v/>
      </c>
      <c r="CQ22" s="3">
        <f>ROUND(11.0,2)</f>
        <v/>
      </c>
      <c r="CR22" s="3">
        <f>ROUND(10.0,2)</f>
        <v/>
      </c>
      <c r="CS22" s="3">
        <f>ROUND(8.0,2)</f>
        <v/>
      </c>
      <c r="CT22" s="3">
        <f>ROUND(4.0,2)</f>
        <v/>
      </c>
      <c r="CU22" s="3">
        <f>ROUND(4.0,2)</f>
        <v/>
      </c>
      <c r="CV22" s="3">
        <f>ROUND(2.0,2)</f>
        <v/>
      </c>
      <c r="CW22" s="4">
        <f>IFERROR((CQ22/CP22),0)</f>
        <v/>
      </c>
      <c r="CX22" s="4">
        <f>IFERROR(((0+CO11+CO12+CO13+CO14+CO15+CO16+CO17+CO19+CO20+CO21+CO22)/T2),0)</f>
        <v/>
      </c>
      <c r="CY22" s="5">
        <f>IFERROR(ROUND(CO22/CQ22,2),0)</f>
        <v/>
      </c>
      <c r="CZ22" s="5">
        <f>IFERROR(ROUND(CO22/CR22,2),0)</f>
        <v/>
      </c>
      <c r="DA22" s="2" t="inlineStr">
        <is>
          <t>2023-09-30</t>
        </is>
      </c>
      <c r="DB22" s="5">
        <f>ROUND(0.8400000000000001,2)</f>
        <v/>
      </c>
      <c r="DC22" s="3">
        <f>ROUND(132.0,2)</f>
        <v/>
      </c>
      <c r="DD22" s="3">
        <f>ROUND(3.0,2)</f>
        <v/>
      </c>
      <c r="DE22" s="3">
        <f>ROUND(9.0,2)</f>
        <v/>
      </c>
      <c r="DF22" s="3">
        <f>ROUND(6.0,2)</f>
        <v/>
      </c>
      <c r="DG22" s="3">
        <f>ROUND(4.0,2)</f>
        <v/>
      </c>
      <c r="DH22" s="3">
        <f>ROUND(3.0,2)</f>
        <v/>
      </c>
      <c r="DI22" s="3">
        <f>ROUND(2.0,2)</f>
        <v/>
      </c>
      <c r="DJ22" s="4">
        <f>IFERROR((DD22/DC22),0)</f>
        <v/>
      </c>
      <c r="DK22" s="4">
        <f>IFERROR(((0+DB11+DB12+DB13+DB14+DB15+DB16+DB17+DB19+DB20+DB21+DB22)/T2),0)</f>
        <v/>
      </c>
      <c r="DL22" s="5">
        <f>IFERROR(ROUND(DB22/DD22,2),0)</f>
        <v/>
      </c>
      <c r="DM22" s="5">
        <f>IFERROR(ROUND(DB22/DE22,2),0)</f>
        <v/>
      </c>
      <c r="DN22" s="2" t="inlineStr">
        <is>
          <t>2023-09-30</t>
        </is>
      </c>
      <c r="DO22" s="5">
        <f>ROUND(0.0,2)</f>
        <v/>
      </c>
      <c r="DP22" s="3">
        <f>ROUND(85.0,2)</f>
        <v/>
      </c>
      <c r="DQ22" s="3">
        <f>ROUND(0.0,2)</f>
        <v/>
      </c>
      <c r="DR22" s="3">
        <f>ROUND(6.0,2)</f>
        <v/>
      </c>
      <c r="DS22" s="3">
        <f>ROUND(6.0,2)</f>
        <v/>
      </c>
      <c r="DT22" s="3">
        <f>ROUND(4.0,2)</f>
        <v/>
      </c>
      <c r="DU22" s="3">
        <f>ROUND(3.0,2)</f>
        <v/>
      </c>
      <c r="DV22" s="3">
        <f>ROUND(3.0,2)</f>
        <v/>
      </c>
      <c r="DW22" s="4">
        <f>IFERROR((DQ22/DP22),0)</f>
        <v/>
      </c>
      <c r="DX22" s="4">
        <f>IFERROR(((0+DO11+DO12+DO13+DO14+DO15+DO16+DO17+DO19+DO20+DO21+DO22)/T2),0)</f>
        <v/>
      </c>
      <c r="DY22" s="5">
        <f>IFERROR(ROUND(DO22/DQ22,2),0)</f>
        <v/>
      </c>
      <c r="DZ22" s="5">
        <f>IFERROR(ROUND(DO22/DR22,2),0)</f>
        <v/>
      </c>
      <c r="EA22" s="2" t="inlineStr">
        <is>
          <t>2023-09-30</t>
        </is>
      </c>
      <c r="EB22" s="5">
        <f>ROUND(1.9600000000000002,2)</f>
        <v/>
      </c>
      <c r="EC22" s="3">
        <f>ROUND(216.0,2)</f>
        <v/>
      </c>
      <c r="ED22" s="3">
        <f>ROUND(7.0,2)</f>
        <v/>
      </c>
      <c r="EE22" s="3">
        <f>ROUND(15.0,2)</f>
        <v/>
      </c>
      <c r="EF22" s="3">
        <f>ROUND(12.0,2)</f>
        <v/>
      </c>
      <c r="EG22" s="3">
        <f>ROUND(10.0,2)</f>
        <v/>
      </c>
      <c r="EH22" s="3">
        <f>ROUND(8.0,2)</f>
        <v/>
      </c>
      <c r="EI22" s="3">
        <f>ROUND(7.0,2)</f>
        <v/>
      </c>
      <c r="EJ22" s="4">
        <f>IFERROR((ED22/EC22),0)</f>
        <v/>
      </c>
      <c r="EK22" s="4">
        <f>IFERROR(((0+EB11+EB12+EB13+EB14+EB15+EB16+EB17+EB19+EB20+EB21+EB22)/T2),0)</f>
        <v/>
      </c>
      <c r="EL22" s="5">
        <f>IFERROR(ROUND(EB22/ED22,2),0)</f>
        <v/>
      </c>
      <c r="EM22" s="5">
        <f>IFERROR(ROUND(EB22/EE22,2),0)</f>
        <v/>
      </c>
      <c r="EN22" s="2" t="inlineStr">
        <is>
          <t>2023-09-30</t>
        </is>
      </c>
      <c r="EO22" s="5">
        <f>ROUND(11.760000000000002,2)</f>
        <v/>
      </c>
      <c r="EP22" s="3">
        <f>ROUND(1070.0,2)</f>
        <v/>
      </c>
      <c r="EQ22" s="3">
        <f>ROUND(42.0,2)</f>
        <v/>
      </c>
      <c r="ER22" s="3">
        <f>ROUND(164.0,2)</f>
        <v/>
      </c>
      <c r="ES22" s="3">
        <f>ROUND(135.0,2)</f>
        <v/>
      </c>
      <c r="ET22" s="3">
        <f>ROUND(49.0,2)</f>
        <v/>
      </c>
      <c r="EU22" s="3">
        <f>ROUND(34.0,2)</f>
        <v/>
      </c>
      <c r="EV22" s="3">
        <f>ROUND(21.0,2)</f>
        <v/>
      </c>
      <c r="EW22" s="4">
        <f>IFERROR((EQ22/EP22),0)</f>
        <v/>
      </c>
      <c r="EX22" s="4">
        <f>IFERROR(((0+EO11+EO12+EO13+EO14+EO15+EO16+EO17+EO19+EO20+EO21+EO22)/T2),0)</f>
        <v/>
      </c>
      <c r="EY22" s="5">
        <f>IFERROR(ROUND(EO22/EQ22,2),0)</f>
        <v/>
      </c>
      <c r="EZ22" s="5">
        <f>IFERROR(ROUND(EO22/ER22,2),0)</f>
        <v/>
      </c>
      <c r="FA22" s="2" t="inlineStr">
        <is>
          <t>2023-09-30</t>
        </is>
      </c>
      <c r="FB22" s="5">
        <f>ROUND(2.5200000000000005,2)</f>
        <v/>
      </c>
      <c r="FC22" s="3">
        <f>ROUND(345.0,2)</f>
        <v/>
      </c>
      <c r="FD22" s="3">
        <f>ROUND(9.0,2)</f>
        <v/>
      </c>
      <c r="FE22" s="3">
        <f>ROUND(40.0,2)</f>
        <v/>
      </c>
      <c r="FF22" s="3">
        <f>ROUND(36.0,2)</f>
        <v/>
      </c>
      <c r="FG22" s="3">
        <f>ROUND(14.0,2)</f>
        <v/>
      </c>
      <c r="FH22" s="3">
        <f>ROUND(8.0,2)</f>
        <v/>
      </c>
      <c r="FI22" s="3">
        <f>ROUND(5.0,2)</f>
        <v/>
      </c>
      <c r="FJ22" s="4">
        <f>IFERROR((FD22/FC22),0)</f>
        <v/>
      </c>
      <c r="FK22" s="4">
        <f>IFERROR(((0+FB11+FB12+FB13+FB14+FB15+FB16+FB17+FB19+FB20+FB21+FB22)/T2),0)</f>
        <v/>
      </c>
      <c r="FL22" s="5">
        <f>IFERROR(ROUND(FB22/FD22,2),0)</f>
        <v/>
      </c>
      <c r="FM22" s="5">
        <f>IFERROR(ROUND(FB22/FE22,2),0)</f>
        <v/>
      </c>
      <c r="FN22" s="2" t="inlineStr">
        <is>
          <t>2023-09-30</t>
        </is>
      </c>
      <c r="FO22" s="5">
        <f>ROUND(1.9600000000000002,2)</f>
        <v/>
      </c>
      <c r="FP22" s="3">
        <f>ROUND(169.0,2)</f>
        <v/>
      </c>
      <c r="FQ22" s="3">
        <f>ROUND(7.0,2)</f>
        <v/>
      </c>
      <c r="FR22" s="3">
        <f>ROUND(20.0,2)</f>
        <v/>
      </c>
      <c r="FS22" s="3">
        <f>ROUND(16.0,2)</f>
        <v/>
      </c>
      <c r="FT22" s="3">
        <f>ROUND(6.0,2)</f>
        <v/>
      </c>
      <c r="FU22" s="3">
        <f>ROUND(5.0,2)</f>
        <v/>
      </c>
      <c r="FV22" s="3">
        <f>ROUND(5.0,2)</f>
        <v/>
      </c>
      <c r="FW22" s="4">
        <f>IFERROR((FQ22/FP22),0)</f>
        <v/>
      </c>
      <c r="FX22" s="4">
        <f>IFERROR(((0+FO11+FO12+FO13+FO14+FO15+FO16+FO17+FO19+FO20+FO21+FO22)/T2),0)</f>
        <v/>
      </c>
      <c r="FY22" s="5">
        <f>IFERROR(ROUND(FO22/FQ22,2),0)</f>
        <v/>
      </c>
      <c r="FZ22" s="5">
        <f>IFERROR(ROUND(FO22/FR22,2),0)</f>
        <v/>
      </c>
      <c r="GA22" s="2" t="inlineStr">
        <is>
          <t>2023-09-30</t>
        </is>
      </c>
      <c r="GB22" s="5">
        <f>ROUND(5.040000000000001,2)</f>
        <v/>
      </c>
      <c r="GC22" s="3">
        <f>ROUND(451.0,2)</f>
        <v/>
      </c>
      <c r="GD22" s="3">
        <f>ROUND(18.0,2)</f>
        <v/>
      </c>
      <c r="GE22" s="3">
        <f>ROUND(60.0,2)</f>
        <v/>
      </c>
      <c r="GF22" s="3">
        <f>ROUND(48.0,2)</f>
        <v/>
      </c>
      <c r="GG22" s="3">
        <f>ROUND(17.0,2)</f>
        <v/>
      </c>
      <c r="GH22" s="3">
        <f>ROUND(11.0,2)</f>
        <v/>
      </c>
      <c r="GI22" s="3">
        <f>ROUND(7.0,2)</f>
        <v/>
      </c>
      <c r="GJ22" s="4">
        <f>IFERROR((GD22/GC22),0)</f>
        <v/>
      </c>
      <c r="GK22" s="4">
        <f>IFERROR(((0+GB11+GB12+GB13+GB14+GB15+GB16+GB17+GB19+GB20+GB21+GB22)/T2),0)</f>
        <v/>
      </c>
      <c r="GL22" s="5">
        <f>IFERROR(ROUND(GB22/GD22,2),0)</f>
        <v/>
      </c>
      <c r="GM22" s="5">
        <f>IFERROR(ROUND(GB22/GE22,2),0)</f>
        <v/>
      </c>
      <c r="GN22" s="2" t="inlineStr">
        <is>
          <t>2023-09-30</t>
        </is>
      </c>
      <c r="GO22" s="5">
        <f>ROUND(4.2,2)</f>
        <v/>
      </c>
      <c r="GP22" s="3">
        <f>ROUND(555.0,2)</f>
        <v/>
      </c>
      <c r="GQ22" s="3">
        <f>ROUND(15.0,2)</f>
        <v/>
      </c>
      <c r="GR22" s="3">
        <f>ROUND(78.0,2)</f>
        <v/>
      </c>
      <c r="GS22" s="3">
        <f>ROUND(70.0,2)</f>
        <v/>
      </c>
      <c r="GT22" s="3">
        <f>ROUND(27.0,2)</f>
        <v/>
      </c>
      <c r="GU22" s="3">
        <f>ROUND(19.0,2)</f>
        <v/>
      </c>
      <c r="GV22" s="3">
        <f>ROUND(13.0,2)</f>
        <v/>
      </c>
      <c r="GW22" s="4">
        <f>IFERROR((GQ22/GP22),0)</f>
        <v/>
      </c>
      <c r="GX22" s="4">
        <f>IFERROR(((0+GO11+GO12+GO13+GO14+GO15+GO16+GO17+GO19+GO20+GO21+GO22)/T2),0)</f>
        <v/>
      </c>
      <c r="GY22" s="5">
        <f>IFERROR(ROUND(GO22/GQ22,2),0)</f>
        <v/>
      </c>
      <c r="GZ22" s="5">
        <f>IFERROR(ROUND(GO22/GR22,2),0)</f>
        <v/>
      </c>
      <c r="HA22" s="2" t="inlineStr">
        <is>
          <t>2023-09-30</t>
        </is>
      </c>
      <c r="HB22" s="5">
        <f>ROUND(2.5200000000000005,2)</f>
        <v/>
      </c>
      <c r="HC22" s="3">
        <f>ROUND(502.0,2)</f>
        <v/>
      </c>
      <c r="HD22" s="3">
        <f>ROUND(9.0,2)</f>
        <v/>
      </c>
      <c r="HE22" s="3">
        <f>ROUND(54.0,2)</f>
        <v/>
      </c>
      <c r="HF22" s="3">
        <f>ROUND(45.0,2)</f>
        <v/>
      </c>
      <c r="HG22" s="3">
        <f>ROUND(19.0,2)</f>
        <v/>
      </c>
      <c r="HH22" s="3">
        <f>ROUND(14.0,2)</f>
        <v/>
      </c>
      <c r="HI22" s="3">
        <f>ROUND(11.0,2)</f>
        <v/>
      </c>
      <c r="HJ22" s="4">
        <f>IFERROR((HD22/HC22),0)</f>
        <v/>
      </c>
      <c r="HK22" s="4">
        <f>IFERROR(((0+HB11+HB12+HB13+HB14+HB15+HB16+HB17+HB19+HB20+HB21+HB22)/T2),0)</f>
        <v/>
      </c>
      <c r="HL22" s="5">
        <f>IFERROR(ROUND(HB22/HD22,2),0)</f>
        <v/>
      </c>
      <c r="HM22" s="5">
        <f>IFERROR(ROUND(HB22/HE22,2),0)</f>
        <v/>
      </c>
      <c r="HN22" s="2" t="inlineStr">
        <is>
          <t>2023-09-30</t>
        </is>
      </c>
      <c r="HO22" s="5">
        <f>ROUND(8.400000000000002,2)</f>
        <v/>
      </c>
      <c r="HP22" s="3">
        <f>ROUND(800.0,2)</f>
        <v/>
      </c>
      <c r="HQ22" s="3">
        <f>ROUND(30.0,2)</f>
        <v/>
      </c>
      <c r="HR22" s="3">
        <f>ROUND(31.0,2)</f>
        <v/>
      </c>
      <c r="HS22" s="3">
        <f>ROUND(26.0,2)</f>
        <v/>
      </c>
      <c r="HT22" s="3">
        <f>ROUND(12.0,2)</f>
        <v/>
      </c>
      <c r="HU22" s="3">
        <f>ROUND(8.0,2)</f>
        <v/>
      </c>
      <c r="HV22" s="3">
        <f>ROUND(5.0,2)</f>
        <v/>
      </c>
      <c r="HW22" s="4">
        <f>IFERROR((HQ22/HP22),0)</f>
        <v/>
      </c>
      <c r="HX22" s="4">
        <f>IFERROR(((0+HO11+HO12+HO13+HO14+HO15+HO16+HO17+HO19+HO20+HO21+HO22)/T2),0)</f>
        <v/>
      </c>
      <c r="HY22" s="5">
        <f>IFERROR(ROUND(HO22/HQ22,2),0)</f>
        <v/>
      </c>
      <c r="HZ22" s="5">
        <f>IFERROR(ROUND(HO22/HR22,2),0)</f>
        <v/>
      </c>
      <c r="IA22" s="2" t="inlineStr">
        <is>
          <t>2023-09-30</t>
        </is>
      </c>
      <c r="IB22" s="5">
        <f>ROUND(0.56,2)</f>
        <v/>
      </c>
      <c r="IC22" s="3">
        <f>ROUND(253.0,2)</f>
        <v/>
      </c>
      <c r="ID22" s="3">
        <f>ROUND(2.0,2)</f>
        <v/>
      </c>
      <c r="IE22" s="3">
        <f>ROUND(22.0,2)</f>
        <v/>
      </c>
      <c r="IF22" s="3">
        <f>ROUND(20.0,2)</f>
        <v/>
      </c>
      <c r="IG22" s="3">
        <f>ROUND(10.0,2)</f>
        <v/>
      </c>
      <c r="IH22" s="3">
        <f>ROUND(8.0,2)</f>
        <v/>
      </c>
      <c r="II22" s="3">
        <f>ROUND(3.0,2)</f>
        <v/>
      </c>
      <c r="IJ22" s="4">
        <f>IFERROR((ID22/IC22),0)</f>
        <v/>
      </c>
      <c r="IK22" s="4">
        <f>IFERROR(((0+IB11+IB12+IB13+IB14+IB15+IB16+IB17+IB19+IB20+IB21+IB22)/T2),0)</f>
        <v/>
      </c>
      <c r="IL22" s="5">
        <f>IFERROR(ROUND(IB22/ID22,2),0)</f>
        <v/>
      </c>
      <c r="IM22" s="5">
        <f>IFERROR(ROUND(IB22/IE22,2),0)</f>
        <v/>
      </c>
      <c r="IN22" s="2" t="inlineStr">
        <is>
          <t>2023-09-30</t>
        </is>
      </c>
      <c r="IO22" s="5">
        <f>ROUND(4.48,2)</f>
        <v/>
      </c>
      <c r="IP22" s="3">
        <f>ROUND(513.0,2)</f>
        <v/>
      </c>
      <c r="IQ22" s="3">
        <f>ROUND(16.0,2)</f>
        <v/>
      </c>
      <c r="IR22" s="3">
        <f>ROUND(87.0,2)</f>
        <v/>
      </c>
      <c r="IS22" s="3">
        <f>ROUND(74.0,2)</f>
        <v/>
      </c>
      <c r="IT22" s="3">
        <f>ROUND(39.0,2)</f>
        <v/>
      </c>
      <c r="IU22" s="3">
        <f>ROUND(28.0,2)</f>
        <v/>
      </c>
      <c r="IV22" s="3">
        <f>ROUND(22.0,2)</f>
        <v/>
      </c>
      <c r="IW22" s="4">
        <f>IFERROR((IQ22/IP22),0)</f>
        <v/>
      </c>
      <c r="IX22" s="4">
        <f>IFERROR(((0+IO11+IO12+IO13+IO14+IO15+IO16+IO17+IO19+IO20+IO21+IO22)/T2),0)</f>
        <v/>
      </c>
      <c r="IY22" s="5">
        <f>IFERROR(ROUND(IO22/IQ22,2),0)</f>
        <v/>
      </c>
      <c r="IZ22" s="5">
        <f>IFERROR(ROUND(IO22/IR22,2),0)</f>
        <v/>
      </c>
      <c r="JA22" s="2" t="inlineStr">
        <is>
          <t>2023-09-30</t>
        </is>
      </c>
      <c r="JB22" s="5">
        <f>ROUND(0.56,2)</f>
        <v/>
      </c>
      <c r="JC22" s="3">
        <f>ROUND(50.0,2)</f>
        <v/>
      </c>
      <c r="JD22" s="3">
        <f>ROUND(2.0,2)</f>
        <v/>
      </c>
      <c r="JE22" s="3">
        <f>ROUND(12.0,2)</f>
        <v/>
      </c>
      <c r="JF22" s="3">
        <f>ROUND(11.0,2)</f>
        <v/>
      </c>
      <c r="JG22" s="3">
        <f>ROUND(6.0,2)</f>
        <v/>
      </c>
      <c r="JH22" s="3">
        <f>ROUND(5.0,2)</f>
        <v/>
      </c>
      <c r="JI22" s="3">
        <f>ROUND(3.0,2)</f>
        <v/>
      </c>
      <c r="JJ22" s="4">
        <f>IFERROR((JD22/JC22),0)</f>
        <v/>
      </c>
      <c r="JK22" s="4">
        <f>IFERROR(((0+JB11+JB12+JB13+JB14+JB15+JB16+JB17+JB19+JB20+JB21+JB22)/T2),0)</f>
        <v/>
      </c>
      <c r="JL22" s="5">
        <f>IFERROR(ROUND(JB22/JD22,2),0)</f>
        <v/>
      </c>
      <c r="JM22" s="5">
        <f>IFERROR(ROUND(JB22/JE22,2),0)</f>
        <v/>
      </c>
    </row>
    <row r="23">
      <c r="A23" s="2" t="inlineStr">
        <is>
          <t>2023-10-01</t>
        </is>
      </c>
      <c r="B23" s="5">
        <f>ROUND(0.0,2)</f>
        <v/>
      </c>
      <c r="C23" s="3">
        <f>ROUND(0.0,2)</f>
        <v/>
      </c>
      <c r="D23" s="3">
        <f>ROUND(0.0,2)</f>
        <v/>
      </c>
      <c r="E23" s="3">
        <f>ROUND(0.0,2)</f>
        <v/>
      </c>
      <c r="F23" s="3">
        <f>ROUND(0.0,2)</f>
        <v/>
      </c>
      <c r="G23" s="3">
        <f>ROUND(0.0,2)</f>
        <v/>
      </c>
      <c r="H23" s="3">
        <f>ROUND(0.0,2)</f>
        <v/>
      </c>
      <c r="I23" s="3">
        <f>ROUND(0.0,2)</f>
        <v/>
      </c>
      <c r="J23" s="4">
        <f>IFERROR((D23/C23),0)</f>
        <v/>
      </c>
      <c r="K23" s="4">
        <f>IFERROR(((0+B11+B12+B13+B14+B15+B16+B17+B19+B20+B21+B22+B23)/T2),0)</f>
        <v/>
      </c>
      <c r="L23" s="5">
        <f>IFERROR(ROUND(B23/D23,2),0)</f>
        <v/>
      </c>
      <c r="M23" s="5">
        <f>IFERROR(ROUND(B23/E23,2),0)</f>
        <v/>
      </c>
      <c r="N23" s="2" t="inlineStr">
        <is>
          <t>2023-10-01</t>
        </is>
      </c>
      <c r="O23" s="5">
        <f>ROUND(0.0,2)</f>
        <v/>
      </c>
      <c r="P23" s="3">
        <f>ROUND(0.0,2)</f>
        <v/>
      </c>
      <c r="Q23" s="3">
        <f>ROUND(0.0,2)</f>
        <v/>
      </c>
      <c r="R23" s="3">
        <f>ROUND(0.0,2)</f>
        <v/>
      </c>
      <c r="S23" s="3">
        <f>ROUND(0.0,2)</f>
        <v/>
      </c>
      <c r="T23" s="3">
        <f>ROUND(0.0,2)</f>
        <v/>
      </c>
      <c r="U23" s="3">
        <f>ROUND(0.0,2)</f>
        <v/>
      </c>
      <c r="V23" s="3">
        <f>ROUND(0.0,2)</f>
        <v/>
      </c>
      <c r="W23" s="4">
        <f>IFERROR((Q23/P23),0)</f>
        <v/>
      </c>
      <c r="X23" s="4">
        <f>IFERROR(((0+O11+O12+O13+O14+O15+O16+O17+O19+O20+O21+O22+O23)/T2),0)</f>
        <v/>
      </c>
      <c r="Y23" s="5">
        <f>IFERROR(ROUND(O23/Q23,2),0)</f>
        <v/>
      </c>
      <c r="Z23" s="5">
        <f>IFERROR(ROUND(O23/R23,2),0)</f>
        <v/>
      </c>
      <c r="AA23" s="2" t="inlineStr">
        <is>
          <t>2023-10-01</t>
        </is>
      </c>
      <c r="AB23" s="5">
        <f>ROUND(0.0,2)</f>
        <v/>
      </c>
      <c r="AC23" s="3">
        <f>ROUND(0.0,2)</f>
        <v/>
      </c>
      <c r="AD23" s="3">
        <f>ROUND(0.0,2)</f>
        <v/>
      </c>
      <c r="AE23" s="3">
        <f>ROUND(0.0,2)</f>
        <v/>
      </c>
      <c r="AF23" s="3">
        <f>ROUND(0.0,2)</f>
        <v/>
      </c>
      <c r="AG23" s="3">
        <f>ROUND(0.0,2)</f>
        <v/>
      </c>
      <c r="AH23" s="3">
        <f>ROUND(0.0,2)</f>
        <v/>
      </c>
      <c r="AI23" s="3">
        <f>ROUND(0.0,2)</f>
        <v/>
      </c>
      <c r="AJ23" s="4">
        <f>IFERROR((AD23/AC23),0)</f>
        <v/>
      </c>
      <c r="AK23" s="4">
        <f>IFERROR(((0+AB11+AB12+AB13+AB14+AB15+AB16+AB17+AB19+AB20+AB21+AB22+AB23)/T2),0)</f>
        <v/>
      </c>
      <c r="AL23" s="5">
        <f>IFERROR(ROUND(AB23/AD23,2),0)</f>
        <v/>
      </c>
      <c r="AM23" s="5">
        <f>IFERROR(ROUND(AB23/AE23,2),0)</f>
        <v/>
      </c>
      <c r="AN23" s="2" t="inlineStr">
        <is>
          <t>2023-10-01</t>
        </is>
      </c>
      <c r="AO23" s="5">
        <f>ROUND(0.0,2)</f>
        <v/>
      </c>
      <c r="AP23" s="3">
        <f>ROUND(0.0,2)</f>
        <v/>
      </c>
      <c r="AQ23" s="3">
        <f>ROUND(0.0,2)</f>
        <v/>
      </c>
      <c r="AR23" s="3">
        <f>ROUND(0.0,2)</f>
        <v/>
      </c>
      <c r="AS23" s="3">
        <f>ROUND(0.0,2)</f>
        <v/>
      </c>
      <c r="AT23" s="3">
        <f>ROUND(0.0,2)</f>
        <v/>
      </c>
      <c r="AU23" s="3">
        <f>ROUND(0.0,2)</f>
        <v/>
      </c>
      <c r="AV23" s="3">
        <f>ROUND(0.0,2)</f>
        <v/>
      </c>
      <c r="AW23" s="4">
        <f>IFERROR((AQ23/AP23),0)</f>
        <v/>
      </c>
      <c r="AX23" s="4">
        <f>IFERROR(((0+AO11+AO12+AO13+AO14+AO15+AO16+AO17+AO19+AO20+AO21+AO22+AO23)/T2),0)</f>
        <v/>
      </c>
      <c r="AY23" s="5">
        <f>IFERROR(ROUND(AO23/AQ23,2),0)</f>
        <v/>
      </c>
      <c r="AZ23" s="5">
        <f>IFERROR(ROUND(AO23/AR23,2),0)</f>
        <v/>
      </c>
      <c r="BA23" s="2" t="inlineStr">
        <is>
          <t>2023-10-01</t>
        </is>
      </c>
      <c r="BB23" s="5">
        <f>ROUND(0.0,2)</f>
        <v/>
      </c>
      <c r="BC23" s="3">
        <f>ROUND(0.0,2)</f>
        <v/>
      </c>
      <c r="BD23" s="3">
        <f>ROUND(0.0,2)</f>
        <v/>
      </c>
      <c r="BE23" s="3">
        <f>ROUND(0.0,2)</f>
        <v/>
      </c>
      <c r="BF23" s="3">
        <f>ROUND(0.0,2)</f>
        <v/>
      </c>
      <c r="BG23" s="3">
        <f>ROUND(0.0,2)</f>
        <v/>
      </c>
      <c r="BH23" s="3">
        <f>ROUND(0.0,2)</f>
        <v/>
      </c>
      <c r="BI23" s="3">
        <f>ROUND(0.0,2)</f>
        <v/>
      </c>
      <c r="BJ23" s="4">
        <f>IFERROR((BD23/BC23),0)</f>
        <v/>
      </c>
      <c r="BK23" s="4">
        <f>IFERROR(((0+BB11+BB12+BB13+BB14+BB15+BB16+BB17+BB19+BB20+BB21+BB22+BB23)/T2),0)</f>
        <v/>
      </c>
      <c r="BL23" s="5">
        <f>IFERROR(ROUND(BB23/BD23,2),0)</f>
        <v/>
      </c>
      <c r="BM23" s="5">
        <f>IFERROR(ROUND(BB23/BE23,2),0)</f>
        <v/>
      </c>
      <c r="BN23" s="2" t="inlineStr">
        <is>
          <t>2023-10-01</t>
        </is>
      </c>
      <c r="BO23" s="5">
        <f>ROUND(0.0,2)</f>
        <v/>
      </c>
      <c r="BP23" s="3">
        <f>ROUND(0.0,2)</f>
        <v/>
      </c>
      <c r="BQ23" s="3">
        <f>ROUND(0.0,2)</f>
        <v/>
      </c>
      <c r="BR23" s="3">
        <f>ROUND(0.0,2)</f>
        <v/>
      </c>
      <c r="BS23" s="3">
        <f>ROUND(0.0,2)</f>
        <v/>
      </c>
      <c r="BT23" s="3">
        <f>ROUND(0.0,2)</f>
        <v/>
      </c>
      <c r="BU23" s="3">
        <f>ROUND(0.0,2)</f>
        <v/>
      </c>
      <c r="BV23" s="3">
        <f>ROUND(0.0,2)</f>
        <v/>
      </c>
      <c r="BW23" s="4">
        <f>IFERROR((BQ23/BP23),0)</f>
        <v/>
      </c>
      <c r="BX23" s="4">
        <f>IFERROR(((0+BO11+BO12+BO13+BO14+BO15+BO16+BO17+BO19+BO20+BO21+BO22+BO23)/T2),0)</f>
        <v/>
      </c>
      <c r="BY23" s="5">
        <f>IFERROR(ROUND(BO23/BQ23,2),0)</f>
        <v/>
      </c>
      <c r="BZ23" s="5">
        <f>IFERROR(ROUND(BO23/BR23,2),0)</f>
        <v/>
      </c>
      <c r="CA23" s="2" t="inlineStr">
        <is>
          <t>2023-10-01</t>
        </is>
      </c>
      <c r="CB23" s="5">
        <f>ROUND(0.0,2)</f>
        <v/>
      </c>
      <c r="CC23" s="3">
        <f>ROUND(0.0,2)</f>
        <v/>
      </c>
      <c r="CD23" s="3">
        <f>ROUND(0.0,2)</f>
        <v/>
      </c>
      <c r="CE23" s="3">
        <f>ROUND(0.0,2)</f>
        <v/>
      </c>
      <c r="CF23" s="3">
        <f>ROUND(0.0,2)</f>
        <v/>
      </c>
      <c r="CG23" s="3">
        <f>ROUND(0.0,2)</f>
        <v/>
      </c>
      <c r="CH23" s="3">
        <f>ROUND(0.0,2)</f>
        <v/>
      </c>
      <c r="CI23" s="3">
        <f>ROUND(0.0,2)</f>
        <v/>
      </c>
      <c r="CJ23" s="4">
        <f>IFERROR((CD23/CC23),0)</f>
        <v/>
      </c>
      <c r="CK23" s="4">
        <f>IFERROR(((0+CB11+CB12+CB13+CB14+CB15+CB16+CB17+CB19+CB20+CB21+CB22+CB23)/T2),0)</f>
        <v/>
      </c>
      <c r="CL23" s="5">
        <f>IFERROR(ROUND(CB23/CD23,2),0)</f>
        <v/>
      </c>
      <c r="CM23" s="5">
        <f>IFERROR(ROUND(CB23/CE23,2),0)</f>
        <v/>
      </c>
      <c r="CN23" s="2" t="inlineStr">
        <is>
          <t>2023-10-01</t>
        </is>
      </c>
      <c r="CO23" s="5">
        <f>ROUND(0.0,2)</f>
        <v/>
      </c>
      <c r="CP23" s="3">
        <f>ROUND(0.0,2)</f>
        <v/>
      </c>
      <c r="CQ23" s="3">
        <f>ROUND(0.0,2)</f>
        <v/>
      </c>
      <c r="CR23" s="3">
        <f>ROUND(0.0,2)</f>
        <v/>
      </c>
      <c r="CS23" s="3">
        <f>ROUND(0.0,2)</f>
        <v/>
      </c>
      <c r="CT23" s="3">
        <f>ROUND(0.0,2)</f>
        <v/>
      </c>
      <c r="CU23" s="3">
        <f>ROUND(0.0,2)</f>
        <v/>
      </c>
      <c r="CV23" s="3">
        <f>ROUND(0.0,2)</f>
        <v/>
      </c>
      <c r="CW23" s="4">
        <f>IFERROR((CQ23/CP23),0)</f>
        <v/>
      </c>
      <c r="CX23" s="4">
        <f>IFERROR(((0+CO11+CO12+CO13+CO14+CO15+CO16+CO17+CO19+CO20+CO21+CO22+CO23)/T2),0)</f>
        <v/>
      </c>
      <c r="CY23" s="5">
        <f>IFERROR(ROUND(CO23/CQ23,2),0)</f>
        <v/>
      </c>
      <c r="CZ23" s="5">
        <f>IFERROR(ROUND(CO23/CR23,2),0)</f>
        <v/>
      </c>
      <c r="DA23" s="2" t="inlineStr">
        <is>
          <t>2023-10-01</t>
        </is>
      </c>
      <c r="DB23" s="5">
        <f>ROUND(0.0,2)</f>
        <v/>
      </c>
      <c r="DC23" s="3">
        <f>ROUND(0.0,2)</f>
        <v/>
      </c>
      <c r="DD23" s="3">
        <f>ROUND(0.0,2)</f>
        <v/>
      </c>
      <c r="DE23" s="3">
        <f>ROUND(0.0,2)</f>
        <v/>
      </c>
      <c r="DF23" s="3">
        <f>ROUND(0.0,2)</f>
        <v/>
      </c>
      <c r="DG23" s="3">
        <f>ROUND(0.0,2)</f>
        <v/>
      </c>
      <c r="DH23" s="3">
        <f>ROUND(0.0,2)</f>
        <v/>
      </c>
      <c r="DI23" s="3">
        <f>ROUND(0.0,2)</f>
        <v/>
      </c>
      <c r="DJ23" s="4">
        <f>IFERROR((DD23/DC23),0)</f>
        <v/>
      </c>
      <c r="DK23" s="4">
        <f>IFERROR(((0+DB11+DB12+DB13+DB14+DB15+DB16+DB17+DB19+DB20+DB21+DB22+DB23)/T2),0)</f>
        <v/>
      </c>
      <c r="DL23" s="5">
        <f>IFERROR(ROUND(DB23/DD23,2),0)</f>
        <v/>
      </c>
      <c r="DM23" s="5">
        <f>IFERROR(ROUND(DB23/DE23,2),0)</f>
        <v/>
      </c>
      <c r="DN23" s="2" t="inlineStr">
        <is>
          <t>2023-10-01</t>
        </is>
      </c>
      <c r="DO23" s="5">
        <f>ROUND(0.0,2)</f>
        <v/>
      </c>
      <c r="DP23" s="3">
        <f>ROUND(0.0,2)</f>
        <v/>
      </c>
      <c r="DQ23" s="3">
        <f>ROUND(0.0,2)</f>
        <v/>
      </c>
      <c r="DR23" s="3">
        <f>ROUND(0.0,2)</f>
        <v/>
      </c>
      <c r="DS23" s="3">
        <f>ROUND(0.0,2)</f>
        <v/>
      </c>
      <c r="DT23" s="3">
        <f>ROUND(0.0,2)</f>
        <v/>
      </c>
      <c r="DU23" s="3">
        <f>ROUND(0.0,2)</f>
        <v/>
      </c>
      <c r="DV23" s="3">
        <f>ROUND(0.0,2)</f>
        <v/>
      </c>
      <c r="DW23" s="4">
        <f>IFERROR((DQ23/DP23),0)</f>
        <v/>
      </c>
      <c r="DX23" s="4">
        <f>IFERROR(((0+DO11+DO12+DO13+DO14+DO15+DO16+DO17+DO19+DO20+DO21+DO22+DO23)/T2),0)</f>
        <v/>
      </c>
      <c r="DY23" s="5">
        <f>IFERROR(ROUND(DO23/DQ23,2),0)</f>
        <v/>
      </c>
      <c r="DZ23" s="5">
        <f>IFERROR(ROUND(DO23/DR23,2),0)</f>
        <v/>
      </c>
      <c r="EA23" s="2" t="inlineStr">
        <is>
          <t>2023-10-01</t>
        </is>
      </c>
      <c r="EB23" s="5">
        <f>ROUND(0.0,2)</f>
        <v/>
      </c>
      <c r="EC23" s="3">
        <f>ROUND(0.0,2)</f>
        <v/>
      </c>
      <c r="ED23" s="3">
        <f>ROUND(0.0,2)</f>
        <v/>
      </c>
      <c r="EE23" s="3">
        <f>ROUND(0.0,2)</f>
        <v/>
      </c>
      <c r="EF23" s="3">
        <f>ROUND(0.0,2)</f>
        <v/>
      </c>
      <c r="EG23" s="3">
        <f>ROUND(0.0,2)</f>
        <v/>
      </c>
      <c r="EH23" s="3">
        <f>ROUND(0.0,2)</f>
        <v/>
      </c>
      <c r="EI23" s="3">
        <f>ROUND(0.0,2)</f>
        <v/>
      </c>
      <c r="EJ23" s="4">
        <f>IFERROR((ED23/EC23),0)</f>
        <v/>
      </c>
      <c r="EK23" s="4">
        <f>IFERROR(((0+EB11+EB12+EB13+EB14+EB15+EB16+EB17+EB19+EB20+EB21+EB22+EB23)/T2),0)</f>
        <v/>
      </c>
      <c r="EL23" s="5">
        <f>IFERROR(ROUND(EB23/ED23,2),0)</f>
        <v/>
      </c>
      <c r="EM23" s="5">
        <f>IFERROR(ROUND(EB23/EE23,2),0)</f>
        <v/>
      </c>
      <c r="EN23" s="2" t="inlineStr">
        <is>
          <t>2023-10-01</t>
        </is>
      </c>
      <c r="EO23" s="5">
        <f>ROUND(0.0,2)</f>
        <v/>
      </c>
      <c r="EP23" s="3">
        <f>ROUND(0.0,2)</f>
        <v/>
      </c>
      <c r="EQ23" s="3">
        <f>ROUND(0.0,2)</f>
        <v/>
      </c>
      <c r="ER23" s="3">
        <f>ROUND(0.0,2)</f>
        <v/>
      </c>
      <c r="ES23" s="3">
        <f>ROUND(0.0,2)</f>
        <v/>
      </c>
      <c r="ET23" s="3">
        <f>ROUND(0.0,2)</f>
        <v/>
      </c>
      <c r="EU23" s="3">
        <f>ROUND(0.0,2)</f>
        <v/>
      </c>
      <c r="EV23" s="3">
        <f>ROUND(0.0,2)</f>
        <v/>
      </c>
      <c r="EW23" s="4">
        <f>IFERROR((EQ23/EP23),0)</f>
        <v/>
      </c>
      <c r="EX23" s="4">
        <f>IFERROR(((0+EO11+EO12+EO13+EO14+EO15+EO16+EO17+EO19+EO20+EO21+EO22+EO23)/T2),0)</f>
        <v/>
      </c>
      <c r="EY23" s="5">
        <f>IFERROR(ROUND(EO23/EQ23,2),0)</f>
        <v/>
      </c>
      <c r="EZ23" s="5">
        <f>IFERROR(ROUND(EO23/ER23,2),0)</f>
        <v/>
      </c>
      <c r="FA23" s="2" t="inlineStr">
        <is>
          <t>2023-10-01</t>
        </is>
      </c>
      <c r="FB23" s="5">
        <f>ROUND(0.0,2)</f>
        <v/>
      </c>
      <c r="FC23" s="3">
        <f>ROUND(0.0,2)</f>
        <v/>
      </c>
      <c r="FD23" s="3">
        <f>ROUND(0.0,2)</f>
        <v/>
      </c>
      <c r="FE23" s="3">
        <f>ROUND(0.0,2)</f>
        <v/>
      </c>
      <c r="FF23" s="3">
        <f>ROUND(0.0,2)</f>
        <v/>
      </c>
      <c r="FG23" s="3">
        <f>ROUND(0.0,2)</f>
        <v/>
      </c>
      <c r="FH23" s="3">
        <f>ROUND(0.0,2)</f>
        <v/>
      </c>
      <c r="FI23" s="3">
        <f>ROUND(0.0,2)</f>
        <v/>
      </c>
      <c r="FJ23" s="4">
        <f>IFERROR((FD23/FC23),0)</f>
        <v/>
      </c>
      <c r="FK23" s="4">
        <f>IFERROR(((0+FB11+FB12+FB13+FB14+FB15+FB16+FB17+FB19+FB20+FB21+FB22+FB23)/T2),0)</f>
        <v/>
      </c>
      <c r="FL23" s="5">
        <f>IFERROR(ROUND(FB23/FD23,2),0)</f>
        <v/>
      </c>
      <c r="FM23" s="5">
        <f>IFERROR(ROUND(FB23/FE23,2),0)</f>
        <v/>
      </c>
      <c r="FN23" s="2" t="inlineStr">
        <is>
          <t>2023-10-01</t>
        </is>
      </c>
      <c r="FO23" s="5">
        <f>ROUND(0.0,2)</f>
        <v/>
      </c>
      <c r="FP23" s="3">
        <f>ROUND(0.0,2)</f>
        <v/>
      </c>
      <c r="FQ23" s="3">
        <f>ROUND(0.0,2)</f>
        <v/>
      </c>
      <c r="FR23" s="3">
        <f>ROUND(0.0,2)</f>
        <v/>
      </c>
      <c r="FS23" s="3">
        <f>ROUND(0.0,2)</f>
        <v/>
      </c>
      <c r="FT23" s="3">
        <f>ROUND(0.0,2)</f>
        <v/>
      </c>
      <c r="FU23" s="3">
        <f>ROUND(0.0,2)</f>
        <v/>
      </c>
      <c r="FV23" s="3">
        <f>ROUND(0.0,2)</f>
        <v/>
      </c>
      <c r="FW23" s="4">
        <f>IFERROR((FQ23/FP23),0)</f>
        <v/>
      </c>
      <c r="FX23" s="4">
        <f>IFERROR(((0+FO11+FO12+FO13+FO14+FO15+FO16+FO17+FO19+FO20+FO21+FO22+FO23)/T2),0)</f>
        <v/>
      </c>
      <c r="FY23" s="5">
        <f>IFERROR(ROUND(FO23/FQ23,2),0)</f>
        <v/>
      </c>
      <c r="FZ23" s="5">
        <f>IFERROR(ROUND(FO23/FR23,2),0)</f>
        <v/>
      </c>
      <c r="GA23" s="2" t="inlineStr">
        <is>
          <t>2023-10-01</t>
        </is>
      </c>
      <c r="GB23" s="5">
        <f>ROUND(0.0,2)</f>
        <v/>
      </c>
      <c r="GC23" s="3">
        <f>ROUND(0.0,2)</f>
        <v/>
      </c>
      <c r="GD23" s="3">
        <f>ROUND(0.0,2)</f>
        <v/>
      </c>
      <c r="GE23" s="3">
        <f>ROUND(0.0,2)</f>
        <v/>
      </c>
      <c r="GF23" s="3">
        <f>ROUND(0.0,2)</f>
        <v/>
      </c>
      <c r="GG23" s="3">
        <f>ROUND(0.0,2)</f>
        <v/>
      </c>
      <c r="GH23" s="3">
        <f>ROUND(0.0,2)</f>
        <v/>
      </c>
      <c r="GI23" s="3">
        <f>ROUND(0.0,2)</f>
        <v/>
      </c>
      <c r="GJ23" s="4">
        <f>IFERROR((GD23/GC23),0)</f>
        <v/>
      </c>
      <c r="GK23" s="4">
        <f>IFERROR(((0+GB11+GB12+GB13+GB14+GB15+GB16+GB17+GB19+GB20+GB21+GB22+GB23)/T2),0)</f>
        <v/>
      </c>
      <c r="GL23" s="5">
        <f>IFERROR(ROUND(GB23/GD23,2),0)</f>
        <v/>
      </c>
      <c r="GM23" s="5">
        <f>IFERROR(ROUND(GB23/GE23,2),0)</f>
        <v/>
      </c>
      <c r="GN23" s="2" t="inlineStr">
        <is>
          <t>2023-10-01</t>
        </is>
      </c>
      <c r="GO23" s="5">
        <f>ROUND(0.0,2)</f>
        <v/>
      </c>
      <c r="GP23" s="3">
        <f>ROUND(0.0,2)</f>
        <v/>
      </c>
      <c r="GQ23" s="3">
        <f>ROUND(0.0,2)</f>
        <v/>
      </c>
      <c r="GR23" s="3">
        <f>ROUND(0.0,2)</f>
        <v/>
      </c>
      <c r="GS23" s="3">
        <f>ROUND(0.0,2)</f>
        <v/>
      </c>
      <c r="GT23" s="3">
        <f>ROUND(0.0,2)</f>
        <v/>
      </c>
      <c r="GU23" s="3">
        <f>ROUND(0.0,2)</f>
        <v/>
      </c>
      <c r="GV23" s="3">
        <f>ROUND(0.0,2)</f>
        <v/>
      </c>
      <c r="GW23" s="4">
        <f>IFERROR((GQ23/GP23),0)</f>
        <v/>
      </c>
      <c r="GX23" s="4">
        <f>IFERROR(((0+GO11+GO12+GO13+GO14+GO15+GO16+GO17+GO19+GO20+GO21+GO22+GO23)/T2),0)</f>
        <v/>
      </c>
      <c r="GY23" s="5">
        <f>IFERROR(ROUND(GO23/GQ23,2),0)</f>
        <v/>
      </c>
      <c r="GZ23" s="5">
        <f>IFERROR(ROUND(GO23/GR23,2),0)</f>
        <v/>
      </c>
      <c r="HA23" s="2" t="inlineStr">
        <is>
          <t>2023-10-01</t>
        </is>
      </c>
      <c r="HB23" s="5">
        <f>ROUND(0.0,2)</f>
        <v/>
      </c>
      <c r="HC23" s="3">
        <f>ROUND(0.0,2)</f>
        <v/>
      </c>
      <c r="HD23" s="3">
        <f>ROUND(0.0,2)</f>
        <v/>
      </c>
      <c r="HE23" s="3">
        <f>ROUND(0.0,2)</f>
        <v/>
      </c>
      <c r="HF23" s="3">
        <f>ROUND(0.0,2)</f>
        <v/>
      </c>
      <c r="HG23" s="3">
        <f>ROUND(0.0,2)</f>
        <v/>
      </c>
      <c r="HH23" s="3">
        <f>ROUND(0.0,2)</f>
        <v/>
      </c>
      <c r="HI23" s="3">
        <f>ROUND(0.0,2)</f>
        <v/>
      </c>
      <c r="HJ23" s="4">
        <f>IFERROR((HD23/HC23),0)</f>
        <v/>
      </c>
      <c r="HK23" s="4">
        <f>IFERROR(((0+HB11+HB12+HB13+HB14+HB15+HB16+HB17+HB19+HB20+HB21+HB22+HB23)/T2),0)</f>
        <v/>
      </c>
      <c r="HL23" s="5">
        <f>IFERROR(ROUND(HB23/HD23,2),0)</f>
        <v/>
      </c>
      <c r="HM23" s="5">
        <f>IFERROR(ROUND(HB23/HE23,2),0)</f>
        <v/>
      </c>
      <c r="HN23" s="2" t="inlineStr">
        <is>
          <t>2023-10-01</t>
        </is>
      </c>
      <c r="HO23" s="5">
        <f>ROUND(0.0,2)</f>
        <v/>
      </c>
      <c r="HP23" s="3">
        <f>ROUND(0.0,2)</f>
        <v/>
      </c>
      <c r="HQ23" s="3">
        <f>ROUND(0.0,2)</f>
        <v/>
      </c>
      <c r="HR23" s="3">
        <f>ROUND(0.0,2)</f>
        <v/>
      </c>
      <c r="HS23" s="3">
        <f>ROUND(0.0,2)</f>
        <v/>
      </c>
      <c r="HT23" s="3">
        <f>ROUND(0.0,2)</f>
        <v/>
      </c>
      <c r="HU23" s="3">
        <f>ROUND(0.0,2)</f>
        <v/>
      </c>
      <c r="HV23" s="3">
        <f>ROUND(0.0,2)</f>
        <v/>
      </c>
      <c r="HW23" s="4">
        <f>IFERROR((HQ23/HP23),0)</f>
        <v/>
      </c>
      <c r="HX23" s="4">
        <f>IFERROR(((0+HO11+HO12+HO13+HO14+HO15+HO16+HO17+HO19+HO20+HO21+HO22+HO23)/T2),0)</f>
        <v/>
      </c>
      <c r="HY23" s="5">
        <f>IFERROR(ROUND(HO23/HQ23,2),0)</f>
        <v/>
      </c>
      <c r="HZ23" s="5">
        <f>IFERROR(ROUND(HO23/HR23,2),0)</f>
        <v/>
      </c>
      <c r="IA23" s="2" t="inlineStr">
        <is>
          <t>2023-10-01</t>
        </is>
      </c>
      <c r="IB23" s="5">
        <f>ROUND(0.0,2)</f>
        <v/>
      </c>
      <c r="IC23" s="3">
        <f>ROUND(0.0,2)</f>
        <v/>
      </c>
      <c r="ID23" s="3">
        <f>ROUND(0.0,2)</f>
        <v/>
      </c>
      <c r="IE23" s="3">
        <f>ROUND(0.0,2)</f>
        <v/>
      </c>
      <c r="IF23" s="3">
        <f>ROUND(0.0,2)</f>
        <v/>
      </c>
      <c r="IG23" s="3">
        <f>ROUND(0.0,2)</f>
        <v/>
      </c>
      <c r="IH23" s="3">
        <f>ROUND(0.0,2)</f>
        <v/>
      </c>
      <c r="II23" s="3">
        <f>ROUND(0.0,2)</f>
        <v/>
      </c>
      <c r="IJ23" s="4">
        <f>IFERROR((ID23/IC23),0)</f>
        <v/>
      </c>
      <c r="IK23" s="4">
        <f>IFERROR(((0+IB11+IB12+IB13+IB14+IB15+IB16+IB17+IB19+IB20+IB21+IB22+IB23)/T2),0)</f>
        <v/>
      </c>
      <c r="IL23" s="5">
        <f>IFERROR(ROUND(IB23/ID23,2),0)</f>
        <v/>
      </c>
      <c r="IM23" s="5">
        <f>IFERROR(ROUND(IB23/IE23,2),0)</f>
        <v/>
      </c>
      <c r="IN23" s="2" t="inlineStr">
        <is>
          <t>2023-10-01</t>
        </is>
      </c>
      <c r="IO23" s="5">
        <f>ROUND(0.0,2)</f>
        <v/>
      </c>
      <c r="IP23" s="3">
        <f>ROUND(0.0,2)</f>
        <v/>
      </c>
      <c r="IQ23" s="3">
        <f>ROUND(0.0,2)</f>
        <v/>
      </c>
      <c r="IR23" s="3">
        <f>ROUND(0.0,2)</f>
        <v/>
      </c>
      <c r="IS23" s="3">
        <f>ROUND(0.0,2)</f>
        <v/>
      </c>
      <c r="IT23" s="3">
        <f>ROUND(0.0,2)</f>
        <v/>
      </c>
      <c r="IU23" s="3">
        <f>ROUND(0.0,2)</f>
        <v/>
      </c>
      <c r="IV23" s="3">
        <f>ROUND(0.0,2)</f>
        <v/>
      </c>
      <c r="IW23" s="4">
        <f>IFERROR((IQ23/IP23),0)</f>
        <v/>
      </c>
      <c r="IX23" s="4">
        <f>IFERROR(((0+IO11+IO12+IO13+IO14+IO15+IO16+IO17+IO19+IO20+IO21+IO22+IO23)/T2),0)</f>
        <v/>
      </c>
      <c r="IY23" s="5">
        <f>IFERROR(ROUND(IO23/IQ23,2),0)</f>
        <v/>
      </c>
      <c r="IZ23" s="5">
        <f>IFERROR(ROUND(IO23/IR23,2),0)</f>
        <v/>
      </c>
      <c r="JA23" s="2" t="inlineStr">
        <is>
          <t>2023-10-01</t>
        </is>
      </c>
      <c r="JB23" s="5">
        <f>ROUND(0.0,2)</f>
        <v/>
      </c>
      <c r="JC23" s="3">
        <f>ROUND(0.0,2)</f>
        <v/>
      </c>
      <c r="JD23" s="3">
        <f>ROUND(0.0,2)</f>
        <v/>
      </c>
      <c r="JE23" s="3">
        <f>ROUND(0.0,2)</f>
        <v/>
      </c>
      <c r="JF23" s="3">
        <f>ROUND(0.0,2)</f>
        <v/>
      </c>
      <c r="JG23" s="3">
        <f>ROUND(0.0,2)</f>
        <v/>
      </c>
      <c r="JH23" s="3">
        <f>ROUND(0.0,2)</f>
        <v/>
      </c>
      <c r="JI23" s="3">
        <f>ROUND(0.0,2)</f>
        <v/>
      </c>
      <c r="JJ23" s="4">
        <f>IFERROR((JD23/JC23),0)</f>
        <v/>
      </c>
      <c r="JK23" s="4">
        <f>IFERROR(((0+JB11+JB12+JB13+JB14+JB15+JB16+JB17+JB19+JB20+JB21+JB22+JB23)/T2),0)</f>
        <v/>
      </c>
      <c r="JL23" s="5">
        <f>IFERROR(ROUND(JB23/JD23,2),0)</f>
        <v/>
      </c>
      <c r="JM23" s="5">
        <f>IFERROR(ROUND(JB23/JE23,2),0)</f>
        <v/>
      </c>
    </row>
    <row r="24">
      <c r="A24" s="2" t="inlineStr">
        <is>
          <t>2023-10-02</t>
        </is>
      </c>
      <c r="B24" s="5">
        <f>ROUND(0.0,2)</f>
        <v/>
      </c>
      <c r="C24" s="3">
        <f>ROUND(0.0,2)</f>
        <v/>
      </c>
      <c r="D24" s="3">
        <f>ROUND(0.0,2)</f>
        <v/>
      </c>
      <c r="E24" s="3">
        <f>ROUND(0.0,2)</f>
        <v/>
      </c>
      <c r="F24" s="3">
        <f>ROUND(0.0,2)</f>
        <v/>
      </c>
      <c r="G24" s="3">
        <f>ROUND(0.0,2)</f>
        <v/>
      </c>
      <c r="H24" s="3">
        <f>ROUND(0.0,2)</f>
        <v/>
      </c>
      <c r="I24" s="3">
        <f>ROUND(0.0,2)</f>
        <v/>
      </c>
      <c r="J24" s="4">
        <f>IFERROR((D24/C24),0)</f>
        <v/>
      </c>
      <c r="K24" s="4">
        <f>IFERROR(((0+B11+B12+B13+B14+B15+B16+B17+B19+B20+B21+B22+B23+B24)/T2),0)</f>
        <v/>
      </c>
      <c r="L24" s="5">
        <f>IFERROR(ROUND(B24/D24,2),0)</f>
        <v/>
      </c>
      <c r="M24" s="5">
        <f>IFERROR(ROUND(B24/E24,2),0)</f>
        <v/>
      </c>
      <c r="N24" s="2" t="inlineStr">
        <is>
          <t>2023-10-02</t>
        </is>
      </c>
      <c r="O24" s="5">
        <f>ROUND(0.0,2)</f>
        <v/>
      </c>
      <c r="P24" s="3">
        <f>ROUND(0.0,2)</f>
        <v/>
      </c>
      <c r="Q24" s="3">
        <f>ROUND(0.0,2)</f>
        <v/>
      </c>
      <c r="R24" s="3">
        <f>ROUND(0.0,2)</f>
        <v/>
      </c>
      <c r="S24" s="3">
        <f>ROUND(0.0,2)</f>
        <v/>
      </c>
      <c r="T24" s="3">
        <f>ROUND(0.0,2)</f>
        <v/>
      </c>
      <c r="U24" s="3">
        <f>ROUND(0.0,2)</f>
        <v/>
      </c>
      <c r="V24" s="3">
        <f>ROUND(0.0,2)</f>
        <v/>
      </c>
      <c r="W24" s="4">
        <f>IFERROR((Q24/P24),0)</f>
        <v/>
      </c>
      <c r="X24" s="4">
        <f>IFERROR(((0+O11+O12+O13+O14+O15+O16+O17+O19+O20+O21+O22+O23+O24)/T2),0)</f>
        <v/>
      </c>
      <c r="Y24" s="5">
        <f>IFERROR(ROUND(O24/Q24,2),0)</f>
        <v/>
      </c>
      <c r="Z24" s="5">
        <f>IFERROR(ROUND(O24/R24,2),0)</f>
        <v/>
      </c>
      <c r="AA24" s="2" t="inlineStr">
        <is>
          <t>2023-10-02</t>
        </is>
      </c>
      <c r="AB24" s="5">
        <f>ROUND(0.0,2)</f>
        <v/>
      </c>
      <c r="AC24" s="3">
        <f>ROUND(0.0,2)</f>
        <v/>
      </c>
      <c r="AD24" s="3">
        <f>ROUND(0.0,2)</f>
        <v/>
      </c>
      <c r="AE24" s="3">
        <f>ROUND(0.0,2)</f>
        <v/>
      </c>
      <c r="AF24" s="3">
        <f>ROUND(0.0,2)</f>
        <v/>
      </c>
      <c r="AG24" s="3">
        <f>ROUND(0.0,2)</f>
        <v/>
      </c>
      <c r="AH24" s="3">
        <f>ROUND(0.0,2)</f>
        <v/>
      </c>
      <c r="AI24" s="3">
        <f>ROUND(0.0,2)</f>
        <v/>
      </c>
      <c r="AJ24" s="4">
        <f>IFERROR((AD24/AC24),0)</f>
        <v/>
      </c>
      <c r="AK24" s="4">
        <f>IFERROR(((0+AB11+AB12+AB13+AB14+AB15+AB16+AB17+AB19+AB20+AB21+AB22+AB23+AB24)/T2),0)</f>
        <v/>
      </c>
      <c r="AL24" s="5">
        <f>IFERROR(ROUND(AB24/AD24,2),0)</f>
        <v/>
      </c>
      <c r="AM24" s="5">
        <f>IFERROR(ROUND(AB24/AE24,2),0)</f>
        <v/>
      </c>
      <c r="AN24" s="2" t="inlineStr">
        <is>
          <t>2023-10-02</t>
        </is>
      </c>
      <c r="AO24" s="5">
        <f>ROUND(0.0,2)</f>
        <v/>
      </c>
      <c r="AP24" s="3">
        <f>ROUND(0.0,2)</f>
        <v/>
      </c>
      <c r="AQ24" s="3">
        <f>ROUND(0.0,2)</f>
        <v/>
      </c>
      <c r="AR24" s="3">
        <f>ROUND(0.0,2)</f>
        <v/>
      </c>
      <c r="AS24" s="3">
        <f>ROUND(0.0,2)</f>
        <v/>
      </c>
      <c r="AT24" s="3">
        <f>ROUND(0.0,2)</f>
        <v/>
      </c>
      <c r="AU24" s="3">
        <f>ROUND(0.0,2)</f>
        <v/>
      </c>
      <c r="AV24" s="3">
        <f>ROUND(0.0,2)</f>
        <v/>
      </c>
      <c r="AW24" s="4">
        <f>IFERROR((AQ24/AP24),0)</f>
        <v/>
      </c>
      <c r="AX24" s="4">
        <f>IFERROR(((0+AO11+AO12+AO13+AO14+AO15+AO16+AO17+AO19+AO20+AO21+AO22+AO23+AO24)/T2),0)</f>
        <v/>
      </c>
      <c r="AY24" s="5">
        <f>IFERROR(ROUND(AO24/AQ24,2),0)</f>
        <v/>
      </c>
      <c r="AZ24" s="5">
        <f>IFERROR(ROUND(AO24/AR24,2),0)</f>
        <v/>
      </c>
      <c r="BA24" s="2" t="inlineStr">
        <is>
          <t>2023-10-02</t>
        </is>
      </c>
      <c r="BB24" s="5">
        <f>ROUND(0.0,2)</f>
        <v/>
      </c>
      <c r="BC24" s="3">
        <f>ROUND(0.0,2)</f>
        <v/>
      </c>
      <c r="BD24" s="3">
        <f>ROUND(0.0,2)</f>
        <v/>
      </c>
      <c r="BE24" s="3">
        <f>ROUND(0.0,2)</f>
        <v/>
      </c>
      <c r="BF24" s="3">
        <f>ROUND(0.0,2)</f>
        <v/>
      </c>
      <c r="BG24" s="3">
        <f>ROUND(0.0,2)</f>
        <v/>
      </c>
      <c r="BH24" s="3">
        <f>ROUND(0.0,2)</f>
        <v/>
      </c>
      <c r="BI24" s="3">
        <f>ROUND(0.0,2)</f>
        <v/>
      </c>
      <c r="BJ24" s="4">
        <f>IFERROR((BD24/BC24),0)</f>
        <v/>
      </c>
      <c r="BK24" s="4">
        <f>IFERROR(((0+BB11+BB12+BB13+BB14+BB15+BB16+BB17+BB19+BB20+BB21+BB22+BB23+BB24)/T2),0)</f>
        <v/>
      </c>
      <c r="BL24" s="5">
        <f>IFERROR(ROUND(BB24/BD24,2),0)</f>
        <v/>
      </c>
      <c r="BM24" s="5">
        <f>IFERROR(ROUND(BB24/BE24,2),0)</f>
        <v/>
      </c>
      <c r="BN24" s="2" t="inlineStr">
        <is>
          <t>2023-10-02</t>
        </is>
      </c>
      <c r="BO24" s="5">
        <f>ROUND(0.0,2)</f>
        <v/>
      </c>
      <c r="BP24" s="3">
        <f>ROUND(0.0,2)</f>
        <v/>
      </c>
      <c r="BQ24" s="3">
        <f>ROUND(0.0,2)</f>
        <v/>
      </c>
      <c r="BR24" s="3">
        <f>ROUND(0.0,2)</f>
        <v/>
      </c>
      <c r="BS24" s="3">
        <f>ROUND(0.0,2)</f>
        <v/>
      </c>
      <c r="BT24" s="3">
        <f>ROUND(0.0,2)</f>
        <v/>
      </c>
      <c r="BU24" s="3">
        <f>ROUND(0.0,2)</f>
        <v/>
      </c>
      <c r="BV24" s="3">
        <f>ROUND(0.0,2)</f>
        <v/>
      </c>
      <c r="BW24" s="4">
        <f>IFERROR((BQ24/BP24),0)</f>
        <v/>
      </c>
      <c r="BX24" s="4">
        <f>IFERROR(((0+BO11+BO12+BO13+BO14+BO15+BO16+BO17+BO19+BO20+BO21+BO22+BO23+BO24)/T2),0)</f>
        <v/>
      </c>
      <c r="BY24" s="5">
        <f>IFERROR(ROUND(BO24/BQ24,2),0)</f>
        <v/>
      </c>
      <c r="BZ24" s="5">
        <f>IFERROR(ROUND(BO24/BR24,2),0)</f>
        <v/>
      </c>
      <c r="CA24" s="2" t="inlineStr">
        <is>
          <t>2023-10-02</t>
        </is>
      </c>
      <c r="CB24" s="5">
        <f>ROUND(0.0,2)</f>
        <v/>
      </c>
      <c r="CC24" s="3">
        <f>ROUND(0.0,2)</f>
        <v/>
      </c>
      <c r="CD24" s="3">
        <f>ROUND(0.0,2)</f>
        <v/>
      </c>
      <c r="CE24" s="3">
        <f>ROUND(0.0,2)</f>
        <v/>
      </c>
      <c r="CF24" s="3">
        <f>ROUND(0.0,2)</f>
        <v/>
      </c>
      <c r="CG24" s="3">
        <f>ROUND(0.0,2)</f>
        <v/>
      </c>
      <c r="CH24" s="3">
        <f>ROUND(0.0,2)</f>
        <v/>
      </c>
      <c r="CI24" s="3">
        <f>ROUND(0.0,2)</f>
        <v/>
      </c>
      <c r="CJ24" s="4">
        <f>IFERROR((CD24/CC24),0)</f>
        <v/>
      </c>
      <c r="CK24" s="4">
        <f>IFERROR(((0+CB11+CB12+CB13+CB14+CB15+CB16+CB17+CB19+CB20+CB21+CB22+CB23+CB24)/T2),0)</f>
        <v/>
      </c>
      <c r="CL24" s="5">
        <f>IFERROR(ROUND(CB24/CD24,2),0)</f>
        <v/>
      </c>
      <c r="CM24" s="5">
        <f>IFERROR(ROUND(CB24/CE24,2),0)</f>
        <v/>
      </c>
      <c r="CN24" s="2" t="inlineStr">
        <is>
          <t>2023-10-02</t>
        </is>
      </c>
      <c r="CO24" s="5">
        <f>ROUND(0.0,2)</f>
        <v/>
      </c>
      <c r="CP24" s="3">
        <f>ROUND(0.0,2)</f>
        <v/>
      </c>
      <c r="CQ24" s="3">
        <f>ROUND(0.0,2)</f>
        <v/>
      </c>
      <c r="CR24" s="3">
        <f>ROUND(0.0,2)</f>
        <v/>
      </c>
      <c r="CS24" s="3">
        <f>ROUND(0.0,2)</f>
        <v/>
      </c>
      <c r="CT24" s="3">
        <f>ROUND(0.0,2)</f>
        <v/>
      </c>
      <c r="CU24" s="3">
        <f>ROUND(0.0,2)</f>
        <v/>
      </c>
      <c r="CV24" s="3">
        <f>ROUND(0.0,2)</f>
        <v/>
      </c>
      <c r="CW24" s="4">
        <f>IFERROR((CQ24/CP24),0)</f>
        <v/>
      </c>
      <c r="CX24" s="4">
        <f>IFERROR(((0+CO11+CO12+CO13+CO14+CO15+CO16+CO17+CO19+CO20+CO21+CO22+CO23+CO24)/T2),0)</f>
        <v/>
      </c>
      <c r="CY24" s="5">
        <f>IFERROR(ROUND(CO24/CQ24,2),0)</f>
        <v/>
      </c>
      <c r="CZ24" s="5">
        <f>IFERROR(ROUND(CO24/CR24,2),0)</f>
        <v/>
      </c>
      <c r="DA24" s="2" t="inlineStr">
        <is>
          <t>2023-10-02</t>
        </is>
      </c>
      <c r="DB24" s="5">
        <f>ROUND(0.0,2)</f>
        <v/>
      </c>
      <c r="DC24" s="3">
        <f>ROUND(0.0,2)</f>
        <v/>
      </c>
      <c r="DD24" s="3">
        <f>ROUND(0.0,2)</f>
        <v/>
      </c>
      <c r="DE24" s="3">
        <f>ROUND(0.0,2)</f>
        <v/>
      </c>
      <c r="DF24" s="3">
        <f>ROUND(0.0,2)</f>
        <v/>
      </c>
      <c r="DG24" s="3">
        <f>ROUND(0.0,2)</f>
        <v/>
      </c>
      <c r="DH24" s="3">
        <f>ROUND(0.0,2)</f>
        <v/>
      </c>
      <c r="DI24" s="3">
        <f>ROUND(0.0,2)</f>
        <v/>
      </c>
      <c r="DJ24" s="4">
        <f>IFERROR((DD24/DC24),0)</f>
        <v/>
      </c>
      <c r="DK24" s="4">
        <f>IFERROR(((0+DB11+DB12+DB13+DB14+DB15+DB16+DB17+DB19+DB20+DB21+DB22+DB23+DB24)/T2),0)</f>
        <v/>
      </c>
      <c r="DL24" s="5">
        <f>IFERROR(ROUND(DB24/DD24,2),0)</f>
        <v/>
      </c>
      <c r="DM24" s="5">
        <f>IFERROR(ROUND(DB24/DE24,2),0)</f>
        <v/>
      </c>
      <c r="DN24" s="2" t="inlineStr">
        <is>
          <t>2023-10-02</t>
        </is>
      </c>
      <c r="DO24" s="5">
        <f>ROUND(0.0,2)</f>
        <v/>
      </c>
      <c r="DP24" s="3">
        <f>ROUND(0.0,2)</f>
        <v/>
      </c>
      <c r="DQ24" s="3">
        <f>ROUND(0.0,2)</f>
        <v/>
      </c>
      <c r="DR24" s="3">
        <f>ROUND(0.0,2)</f>
        <v/>
      </c>
      <c r="DS24" s="3">
        <f>ROUND(0.0,2)</f>
        <v/>
      </c>
      <c r="DT24" s="3">
        <f>ROUND(0.0,2)</f>
        <v/>
      </c>
      <c r="DU24" s="3">
        <f>ROUND(0.0,2)</f>
        <v/>
      </c>
      <c r="DV24" s="3">
        <f>ROUND(0.0,2)</f>
        <v/>
      </c>
      <c r="DW24" s="4">
        <f>IFERROR((DQ24/DP24),0)</f>
        <v/>
      </c>
      <c r="DX24" s="4">
        <f>IFERROR(((0+DO11+DO12+DO13+DO14+DO15+DO16+DO17+DO19+DO20+DO21+DO22+DO23+DO24)/T2),0)</f>
        <v/>
      </c>
      <c r="DY24" s="5">
        <f>IFERROR(ROUND(DO24/DQ24,2),0)</f>
        <v/>
      </c>
      <c r="DZ24" s="5">
        <f>IFERROR(ROUND(DO24/DR24,2),0)</f>
        <v/>
      </c>
      <c r="EA24" s="2" t="inlineStr">
        <is>
          <t>2023-10-02</t>
        </is>
      </c>
      <c r="EB24" s="5">
        <f>ROUND(0.0,2)</f>
        <v/>
      </c>
      <c r="EC24" s="3">
        <f>ROUND(0.0,2)</f>
        <v/>
      </c>
      <c r="ED24" s="3">
        <f>ROUND(0.0,2)</f>
        <v/>
      </c>
      <c r="EE24" s="3">
        <f>ROUND(0.0,2)</f>
        <v/>
      </c>
      <c r="EF24" s="3">
        <f>ROUND(0.0,2)</f>
        <v/>
      </c>
      <c r="EG24" s="3">
        <f>ROUND(0.0,2)</f>
        <v/>
      </c>
      <c r="EH24" s="3">
        <f>ROUND(0.0,2)</f>
        <v/>
      </c>
      <c r="EI24" s="3">
        <f>ROUND(0.0,2)</f>
        <v/>
      </c>
      <c r="EJ24" s="4">
        <f>IFERROR((ED24/EC24),0)</f>
        <v/>
      </c>
      <c r="EK24" s="4">
        <f>IFERROR(((0+EB11+EB12+EB13+EB14+EB15+EB16+EB17+EB19+EB20+EB21+EB22+EB23+EB24)/T2),0)</f>
        <v/>
      </c>
      <c r="EL24" s="5">
        <f>IFERROR(ROUND(EB24/ED24,2),0)</f>
        <v/>
      </c>
      <c r="EM24" s="5">
        <f>IFERROR(ROUND(EB24/EE24,2),0)</f>
        <v/>
      </c>
      <c r="EN24" s="2" t="inlineStr">
        <is>
          <t>2023-10-02</t>
        </is>
      </c>
      <c r="EO24" s="5">
        <f>ROUND(0.0,2)</f>
        <v/>
      </c>
      <c r="EP24" s="3">
        <f>ROUND(0.0,2)</f>
        <v/>
      </c>
      <c r="EQ24" s="3">
        <f>ROUND(0.0,2)</f>
        <v/>
      </c>
      <c r="ER24" s="3">
        <f>ROUND(0.0,2)</f>
        <v/>
      </c>
      <c r="ES24" s="3">
        <f>ROUND(0.0,2)</f>
        <v/>
      </c>
      <c r="ET24" s="3">
        <f>ROUND(0.0,2)</f>
        <v/>
      </c>
      <c r="EU24" s="3">
        <f>ROUND(0.0,2)</f>
        <v/>
      </c>
      <c r="EV24" s="3">
        <f>ROUND(0.0,2)</f>
        <v/>
      </c>
      <c r="EW24" s="4">
        <f>IFERROR((EQ24/EP24),0)</f>
        <v/>
      </c>
      <c r="EX24" s="4">
        <f>IFERROR(((0+EO11+EO12+EO13+EO14+EO15+EO16+EO17+EO19+EO20+EO21+EO22+EO23+EO24)/T2),0)</f>
        <v/>
      </c>
      <c r="EY24" s="5">
        <f>IFERROR(ROUND(EO24/EQ24,2),0)</f>
        <v/>
      </c>
      <c r="EZ24" s="5">
        <f>IFERROR(ROUND(EO24/ER24,2),0)</f>
        <v/>
      </c>
      <c r="FA24" s="2" t="inlineStr">
        <is>
          <t>2023-10-02</t>
        </is>
      </c>
      <c r="FB24" s="5">
        <f>ROUND(0.0,2)</f>
        <v/>
      </c>
      <c r="FC24" s="3">
        <f>ROUND(0.0,2)</f>
        <v/>
      </c>
      <c r="FD24" s="3">
        <f>ROUND(0.0,2)</f>
        <v/>
      </c>
      <c r="FE24" s="3">
        <f>ROUND(0.0,2)</f>
        <v/>
      </c>
      <c r="FF24" s="3">
        <f>ROUND(0.0,2)</f>
        <v/>
      </c>
      <c r="FG24" s="3">
        <f>ROUND(0.0,2)</f>
        <v/>
      </c>
      <c r="FH24" s="3">
        <f>ROUND(0.0,2)</f>
        <v/>
      </c>
      <c r="FI24" s="3">
        <f>ROUND(0.0,2)</f>
        <v/>
      </c>
      <c r="FJ24" s="4">
        <f>IFERROR((FD24/FC24),0)</f>
        <v/>
      </c>
      <c r="FK24" s="4">
        <f>IFERROR(((0+FB11+FB12+FB13+FB14+FB15+FB16+FB17+FB19+FB20+FB21+FB22+FB23+FB24)/T2),0)</f>
        <v/>
      </c>
      <c r="FL24" s="5">
        <f>IFERROR(ROUND(FB24/FD24,2),0)</f>
        <v/>
      </c>
      <c r="FM24" s="5">
        <f>IFERROR(ROUND(FB24/FE24,2),0)</f>
        <v/>
      </c>
      <c r="FN24" s="2" t="inlineStr">
        <is>
          <t>2023-10-02</t>
        </is>
      </c>
      <c r="FO24" s="5">
        <f>ROUND(0.0,2)</f>
        <v/>
      </c>
      <c r="FP24" s="3">
        <f>ROUND(0.0,2)</f>
        <v/>
      </c>
      <c r="FQ24" s="3">
        <f>ROUND(0.0,2)</f>
        <v/>
      </c>
      <c r="FR24" s="3">
        <f>ROUND(0.0,2)</f>
        <v/>
      </c>
      <c r="FS24" s="3">
        <f>ROUND(0.0,2)</f>
        <v/>
      </c>
      <c r="FT24" s="3">
        <f>ROUND(0.0,2)</f>
        <v/>
      </c>
      <c r="FU24" s="3">
        <f>ROUND(0.0,2)</f>
        <v/>
      </c>
      <c r="FV24" s="3">
        <f>ROUND(0.0,2)</f>
        <v/>
      </c>
      <c r="FW24" s="4">
        <f>IFERROR((FQ24/FP24),0)</f>
        <v/>
      </c>
      <c r="FX24" s="4">
        <f>IFERROR(((0+FO11+FO12+FO13+FO14+FO15+FO16+FO17+FO19+FO20+FO21+FO22+FO23+FO24)/T2),0)</f>
        <v/>
      </c>
      <c r="FY24" s="5">
        <f>IFERROR(ROUND(FO24/FQ24,2),0)</f>
        <v/>
      </c>
      <c r="FZ24" s="5">
        <f>IFERROR(ROUND(FO24/FR24,2),0)</f>
        <v/>
      </c>
      <c r="GA24" s="2" t="inlineStr">
        <is>
          <t>2023-10-02</t>
        </is>
      </c>
      <c r="GB24" s="5">
        <f>ROUND(0.0,2)</f>
        <v/>
      </c>
      <c r="GC24" s="3">
        <f>ROUND(0.0,2)</f>
        <v/>
      </c>
      <c r="GD24" s="3">
        <f>ROUND(0.0,2)</f>
        <v/>
      </c>
      <c r="GE24" s="3">
        <f>ROUND(0.0,2)</f>
        <v/>
      </c>
      <c r="GF24" s="3">
        <f>ROUND(0.0,2)</f>
        <v/>
      </c>
      <c r="GG24" s="3">
        <f>ROUND(0.0,2)</f>
        <v/>
      </c>
      <c r="GH24" s="3">
        <f>ROUND(0.0,2)</f>
        <v/>
      </c>
      <c r="GI24" s="3">
        <f>ROUND(0.0,2)</f>
        <v/>
      </c>
      <c r="GJ24" s="4">
        <f>IFERROR((GD24/GC24),0)</f>
        <v/>
      </c>
      <c r="GK24" s="4">
        <f>IFERROR(((0+GB11+GB12+GB13+GB14+GB15+GB16+GB17+GB19+GB20+GB21+GB22+GB23+GB24)/T2),0)</f>
        <v/>
      </c>
      <c r="GL24" s="5">
        <f>IFERROR(ROUND(GB24/GD24,2),0)</f>
        <v/>
      </c>
      <c r="GM24" s="5">
        <f>IFERROR(ROUND(GB24/GE24,2),0)</f>
        <v/>
      </c>
      <c r="GN24" s="2" t="inlineStr">
        <is>
          <t>2023-10-02</t>
        </is>
      </c>
      <c r="GO24" s="5">
        <f>ROUND(0.0,2)</f>
        <v/>
      </c>
      <c r="GP24" s="3">
        <f>ROUND(0.0,2)</f>
        <v/>
      </c>
      <c r="GQ24" s="3">
        <f>ROUND(0.0,2)</f>
        <v/>
      </c>
      <c r="GR24" s="3">
        <f>ROUND(0.0,2)</f>
        <v/>
      </c>
      <c r="GS24" s="3">
        <f>ROUND(0.0,2)</f>
        <v/>
      </c>
      <c r="GT24" s="3">
        <f>ROUND(0.0,2)</f>
        <v/>
      </c>
      <c r="GU24" s="3">
        <f>ROUND(0.0,2)</f>
        <v/>
      </c>
      <c r="GV24" s="3">
        <f>ROUND(0.0,2)</f>
        <v/>
      </c>
      <c r="GW24" s="4">
        <f>IFERROR((GQ24/GP24),0)</f>
        <v/>
      </c>
      <c r="GX24" s="4">
        <f>IFERROR(((0+GO11+GO12+GO13+GO14+GO15+GO16+GO17+GO19+GO20+GO21+GO22+GO23+GO24)/T2),0)</f>
        <v/>
      </c>
      <c r="GY24" s="5">
        <f>IFERROR(ROUND(GO24/GQ24,2),0)</f>
        <v/>
      </c>
      <c r="GZ24" s="5">
        <f>IFERROR(ROUND(GO24/GR24,2),0)</f>
        <v/>
      </c>
      <c r="HA24" s="2" t="inlineStr">
        <is>
          <t>2023-10-02</t>
        </is>
      </c>
      <c r="HB24" s="5">
        <f>ROUND(0.0,2)</f>
        <v/>
      </c>
      <c r="HC24" s="3">
        <f>ROUND(0.0,2)</f>
        <v/>
      </c>
      <c r="HD24" s="3">
        <f>ROUND(0.0,2)</f>
        <v/>
      </c>
      <c r="HE24" s="3">
        <f>ROUND(0.0,2)</f>
        <v/>
      </c>
      <c r="HF24" s="3">
        <f>ROUND(0.0,2)</f>
        <v/>
      </c>
      <c r="HG24" s="3">
        <f>ROUND(0.0,2)</f>
        <v/>
      </c>
      <c r="HH24" s="3">
        <f>ROUND(0.0,2)</f>
        <v/>
      </c>
      <c r="HI24" s="3">
        <f>ROUND(0.0,2)</f>
        <v/>
      </c>
      <c r="HJ24" s="4">
        <f>IFERROR((HD24/HC24),0)</f>
        <v/>
      </c>
      <c r="HK24" s="4">
        <f>IFERROR(((0+HB11+HB12+HB13+HB14+HB15+HB16+HB17+HB19+HB20+HB21+HB22+HB23+HB24)/T2),0)</f>
        <v/>
      </c>
      <c r="HL24" s="5">
        <f>IFERROR(ROUND(HB24/HD24,2),0)</f>
        <v/>
      </c>
      <c r="HM24" s="5">
        <f>IFERROR(ROUND(HB24/HE24,2),0)</f>
        <v/>
      </c>
      <c r="HN24" s="2" t="inlineStr">
        <is>
          <t>2023-10-02</t>
        </is>
      </c>
      <c r="HO24" s="5">
        <f>ROUND(0.0,2)</f>
        <v/>
      </c>
      <c r="HP24" s="3">
        <f>ROUND(0.0,2)</f>
        <v/>
      </c>
      <c r="HQ24" s="3">
        <f>ROUND(0.0,2)</f>
        <v/>
      </c>
      <c r="HR24" s="3">
        <f>ROUND(0.0,2)</f>
        <v/>
      </c>
      <c r="HS24" s="3">
        <f>ROUND(0.0,2)</f>
        <v/>
      </c>
      <c r="HT24" s="3">
        <f>ROUND(0.0,2)</f>
        <v/>
      </c>
      <c r="HU24" s="3">
        <f>ROUND(0.0,2)</f>
        <v/>
      </c>
      <c r="HV24" s="3">
        <f>ROUND(0.0,2)</f>
        <v/>
      </c>
      <c r="HW24" s="4">
        <f>IFERROR((HQ24/HP24),0)</f>
        <v/>
      </c>
      <c r="HX24" s="4">
        <f>IFERROR(((0+HO11+HO12+HO13+HO14+HO15+HO16+HO17+HO19+HO20+HO21+HO22+HO23+HO24)/T2),0)</f>
        <v/>
      </c>
      <c r="HY24" s="5">
        <f>IFERROR(ROUND(HO24/HQ24,2),0)</f>
        <v/>
      </c>
      <c r="HZ24" s="5">
        <f>IFERROR(ROUND(HO24/HR24,2),0)</f>
        <v/>
      </c>
      <c r="IA24" s="2" t="inlineStr">
        <is>
          <t>2023-10-02</t>
        </is>
      </c>
      <c r="IB24" s="5">
        <f>ROUND(0.0,2)</f>
        <v/>
      </c>
      <c r="IC24" s="3">
        <f>ROUND(0.0,2)</f>
        <v/>
      </c>
      <c r="ID24" s="3">
        <f>ROUND(0.0,2)</f>
        <v/>
      </c>
      <c r="IE24" s="3">
        <f>ROUND(0.0,2)</f>
        <v/>
      </c>
      <c r="IF24" s="3">
        <f>ROUND(0.0,2)</f>
        <v/>
      </c>
      <c r="IG24" s="3">
        <f>ROUND(0.0,2)</f>
        <v/>
      </c>
      <c r="IH24" s="3">
        <f>ROUND(0.0,2)</f>
        <v/>
      </c>
      <c r="II24" s="3">
        <f>ROUND(0.0,2)</f>
        <v/>
      </c>
      <c r="IJ24" s="4">
        <f>IFERROR((ID24/IC24),0)</f>
        <v/>
      </c>
      <c r="IK24" s="4">
        <f>IFERROR(((0+IB11+IB12+IB13+IB14+IB15+IB16+IB17+IB19+IB20+IB21+IB22+IB23+IB24)/T2),0)</f>
        <v/>
      </c>
      <c r="IL24" s="5">
        <f>IFERROR(ROUND(IB24/ID24,2),0)</f>
        <v/>
      </c>
      <c r="IM24" s="5">
        <f>IFERROR(ROUND(IB24/IE24,2),0)</f>
        <v/>
      </c>
      <c r="IN24" s="2" t="inlineStr">
        <is>
          <t>2023-10-02</t>
        </is>
      </c>
      <c r="IO24" s="5">
        <f>ROUND(0.0,2)</f>
        <v/>
      </c>
      <c r="IP24" s="3">
        <f>ROUND(0.0,2)</f>
        <v/>
      </c>
      <c r="IQ24" s="3">
        <f>ROUND(0.0,2)</f>
        <v/>
      </c>
      <c r="IR24" s="3">
        <f>ROUND(0.0,2)</f>
        <v/>
      </c>
      <c r="IS24" s="3">
        <f>ROUND(0.0,2)</f>
        <v/>
      </c>
      <c r="IT24" s="3">
        <f>ROUND(0.0,2)</f>
        <v/>
      </c>
      <c r="IU24" s="3">
        <f>ROUND(0.0,2)</f>
        <v/>
      </c>
      <c r="IV24" s="3">
        <f>ROUND(0.0,2)</f>
        <v/>
      </c>
      <c r="IW24" s="4">
        <f>IFERROR((IQ24/IP24),0)</f>
        <v/>
      </c>
      <c r="IX24" s="4">
        <f>IFERROR(((0+IO11+IO12+IO13+IO14+IO15+IO16+IO17+IO19+IO20+IO21+IO22+IO23+IO24)/T2),0)</f>
        <v/>
      </c>
      <c r="IY24" s="5">
        <f>IFERROR(ROUND(IO24/IQ24,2),0)</f>
        <v/>
      </c>
      <c r="IZ24" s="5">
        <f>IFERROR(ROUND(IO24/IR24,2),0)</f>
        <v/>
      </c>
      <c r="JA24" s="2" t="inlineStr">
        <is>
          <t>2023-10-02</t>
        </is>
      </c>
      <c r="JB24" s="5">
        <f>ROUND(0.0,2)</f>
        <v/>
      </c>
      <c r="JC24" s="3">
        <f>ROUND(0.0,2)</f>
        <v/>
      </c>
      <c r="JD24" s="3">
        <f>ROUND(0.0,2)</f>
        <v/>
      </c>
      <c r="JE24" s="3">
        <f>ROUND(0.0,2)</f>
        <v/>
      </c>
      <c r="JF24" s="3">
        <f>ROUND(0.0,2)</f>
        <v/>
      </c>
      <c r="JG24" s="3">
        <f>ROUND(0.0,2)</f>
        <v/>
      </c>
      <c r="JH24" s="3">
        <f>ROUND(0.0,2)</f>
        <v/>
      </c>
      <c r="JI24" s="3">
        <f>ROUND(0.0,2)</f>
        <v/>
      </c>
      <c r="JJ24" s="4">
        <f>IFERROR((JD24/JC24),0)</f>
        <v/>
      </c>
      <c r="JK24" s="4">
        <f>IFERROR(((0+JB11+JB12+JB13+JB14+JB15+JB16+JB17+JB19+JB20+JB21+JB22+JB23+JB24)/T2),0)</f>
        <v/>
      </c>
      <c r="JL24" s="5">
        <f>IFERROR(ROUND(JB24/JD24,2),0)</f>
        <v/>
      </c>
      <c r="JM24" s="5">
        <f>IFERROR(ROUND(JB24/JE24,2),0)</f>
        <v/>
      </c>
    </row>
    <row r="25">
      <c r="A25" s="2" t="inlineStr">
        <is>
          <t>2023-10-03</t>
        </is>
      </c>
      <c r="B25" s="5">
        <f>ROUND(3544.5200000000004,2)</f>
        <v/>
      </c>
      <c r="C25" s="3">
        <f>ROUND(410805.0,2)</f>
        <v/>
      </c>
      <c r="D25" s="3">
        <f>ROUND(12659.0,2)</f>
        <v/>
      </c>
      <c r="E25" s="3">
        <f>ROUND(19094.0,2)</f>
        <v/>
      </c>
      <c r="F25" s="3">
        <f>ROUND(14140.0,2)</f>
        <v/>
      </c>
      <c r="G25" s="3">
        <f>ROUND(6430.0,2)</f>
        <v/>
      </c>
      <c r="H25" s="3">
        <f>ROUND(4498.0,2)</f>
        <v/>
      </c>
      <c r="I25" s="3">
        <f>ROUND(3226.0,2)</f>
        <v/>
      </c>
      <c r="J25" s="4">
        <f>IFERROR((D25/C25),0)</f>
        <v/>
      </c>
      <c r="K25" s="4">
        <f>IFERROR(((0+B11+B12+B13+B14+B15+B16+B17+B19+B20+B21+B22+B23+B24+B25)/T2),0)</f>
        <v/>
      </c>
      <c r="L25" s="5">
        <f>IFERROR(ROUND(B25/D25,2),0)</f>
        <v/>
      </c>
      <c r="M25" s="5">
        <f>IFERROR(ROUND(B25/E25,2),0)</f>
        <v/>
      </c>
      <c r="N25" s="2" t="inlineStr">
        <is>
          <t>2023-10-03</t>
        </is>
      </c>
      <c r="O25" s="5">
        <f>ROUND(122.08000000000001,2)</f>
        <v/>
      </c>
      <c r="P25" s="3">
        <f>ROUND(19481.0,2)</f>
        <v/>
      </c>
      <c r="Q25" s="3">
        <f>ROUND(436.0,2)</f>
        <v/>
      </c>
      <c r="R25" s="3">
        <f>ROUND(974.0,2)</f>
        <v/>
      </c>
      <c r="S25" s="3">
        <f>ROUND(668.0,2)</f>
        <v/>
      </c>
      <c r="T25" s="3">
        <f>ROUND(279.0,2)</f>
        <v/>
      </c>
      <c r="U25" s="3">
        <f>ROUND(208.0,2)</f>
        <v/>
      </c>
      <c r="V25" s="3">
        <f>ROUND(153.0,2)</f>
        <v/>
      </c>
      <c r="W25" s="4">
        <f>IFERROR((Q25/P25),0)</f>
        <v/>
      </c>
      <c r="X25" s="4">
        <f>IFERROR(((0+O11+O12+O13+O14+O15+O16+O17+O19+O20+O21+O22+O23+O24+O25)/T2),0)</f>
        <v/>
      </c>
      <c r="Y25" s="5">
        <f>IFERROR(ROUND(O25/Q25,2),0)</f>
        <v/>
      </c>
      <c r="Z25" s="5">
        <f>IFERROR(ROUND(O25/R25,2),0)</f>
        <v/>
      </c>
      <c r="AA25" s="2" t="inlineStr">
        <is>
          <t>2023-10-03</t>
        </is>
      </c>
      <c r="AB25" s="5">
        <f>ROUND(264.32,2)</f>
        <v/>
      </c>
      <c r="AC25" s="3">
        <f>ROUND(26538.0,2)</f>
        <v/>
      </c>
      <c r="AD25" s="3">
        <f>ROUND(944.0,2)</f>
        <v/>
      </c>
      <c r="AE25" s="3">
        <f>ROUND(814.0,2)</f>
        <v/>
      </c>
      <c r="AF25" s="3">
        <f>ROUND(526.0,2)</f>
        <v/>
      </c>
      <c r="AG25" s="3">
        <f>ROUND(315.0,2)</f>
        <v/>
      </c>
      <c r="AH25" s="3">
        <f>ROUND(240.0,2)</f>
        <v/>
      </c>
      <c r="AI25" s="3">
        <f>ROUND(192.0,2)</f>
        <v/>
      </c>
      <c r="AJ25" s="4">
        <f>IFERROR((AD25/AC25),0)</f>
        <v/>
      </c>
      <c r="AK25" s="4">
        <f>IFERROR(((0+AB11+AB12+AB13+AB14+AB15+AB16+AB17+AB19+AB20+AB21+AB22+AB23+AB24+AB25)/T2),0)</f>
        <v/>
      </c>
      <c r="AL25" s="5">
        <f>IFERROR(ROUND(AB25/AD25,2),0)</f>
        <v/>
      </c>
      <c r="AM25" s="5">
        <f>IFERROR(ROUND(AB25/AE25,2),0)</f>
        <v/>
      </c>
      <c r="AN25" s="2" t="inlineStr">
        <is>
          <t>2023-10-03</t>
        </is>
      </c>
      <c r="AO25" s="5">
        <f>ROUND(63.56000000000001,2)</f>
        <v/>
      </c>
      <c r="AP25" s="3">
        <f>ROUND(8733.0,2)</f>
        <v/>
      </c>
      <c r="AQ25" s="3">
        <f>ROUND(227.0,2)</f>
        <v/>
      </c>
      <c r="AR25" s="3">
        <f>ROUND(633.0,2)</f>
        <v/>
      </c>
      <c r="AS25" s="3">
        <f>ROUND(485.0,2)</f>
        <v/>
      </c>
      <c r="AT25" s="3">
        <f>ROUND(215.0,2)</f>
        <v/>
      </c>
      <c r="AU25" s="3">
        <f>ROUND(128.0,2)</f>
        <v/>
      </c>
      <c r="AV25" s="3">
        <f>ROUND(83.0,2)</f>
        <v/>
      </c>
      <c r="AW25" s="4">
        <f>IFERROR((AQ25/AP25),0)</f>
        <v/>
      </c>
      <c r="AX25" s="4">
        <f>IFERROR(((0+AO11+AO12+AO13+AO14+AO15+AO16+AO17+AO19+AO20+AO21+AO22+AO23+AO24+AO25)/T2),0)</f>
        <v/>
      </c>
      <c r="AY25" s="5">
        <f>IFERROR(ROUND(AO25/AQ25,2),0)</f>
        <v/>
      </c>
      <c r="AZ25" s="5">
        <f>IFERROR(ROUND(AO25/AR25,2),0)</f>
        <v/>
      </c>
      <c r="BA25" s="2" t="inlineStr">
        <is>
          <t>2023-10-03</t>
        </is>
      </c>
      <c r="BB25" s="5">
        <f>ROUND(747.0400000000001,2)</f>
        <v/>
      </c>
      <c r="BC25" s="3">
        <f>ROUND(72592.0,2)</f>
        <v/>
      </c>
      <c r="BD25" s="3">
        <f>ROUND(2668.0,2)</f>
        <v/>
      </c>
      <c r="BE25" s="3">
        <f>ROUND(2397.0,2)</f>
        <v/>
      </c>
      <c r="BF25" s="3">
        <f>ROUND(1897.0,2)</f>
        <v/>
      </c>
      <c r="BG25" s="3">
        <f>ROUND(773.0,2)</f>
        <v/>
      </c>
      <c r="BH25" s="3">
        <f>ROUND(499.0,2)</f>
        <v/>
      </c>
      <c r="BI25" s="3">
        <f>ROUND(360.0,2)</f>
        <v/>
      </c>
      <c r="BJ25" s="4">
        <f>IFERROR((BD25/BC25),0)</f>
        <v/>
      </c>
      <c r="BK25" s="4">
        <f>IFERROR(((0+BB11+BB12+BB13+BB14+BB15+BB16+BB17+BB19+BB20+BB21+BB22+BB23+BB24+BB25)/T2),0)</f>
        <v/>
      </c>
      <c r="BL25" s="5">
        <f>IFERROR(ROUND(BB25/BD25,2),0)</f>
        <v/>
      </c>
      <c r="BM25" s="5">
        <f>IFERROR(ROUND(BB25/BE25,2),0)</f>
        <v/>
      </c>
      <c r="BN25" s="2" t="inlineStr">
        <is>
          <t>2023-10-03</t>
        </is>
      </c>
      <c r="BO25" s="5">
        <f>ROUND(238.0,2)</f>
        <v/>
      </c>
      <c r="BP25" s="3">
        <f>ROUND(25112.0,2)</f>
        <v/>
      </c>
      <c r="BQ25" s="3">
        <f>ROUND(850.0,2)</f>
        <v/>
      </c>
      <c r="BR25" s="3">
        <f>ROUND(1547.0,2)</f>
        <v/>
      </c>
      <c r="BS25" s="3">
        <f>ROUND(1229.0,2)</f>
        <v/>
      </c>
      <c r="BT25" s="3">
        <f>ROUND(436.0,2)</f>
        <v/>
      </c>
      <c r="BU25" s="3">
        <f>ROUND(326.0,2)</f>
        <v/>
      </c>
      <c r="BV25" s="3">
        <f>ROUND(238.0,2)</f>
        <v/>
      </c>
      <c r="BW25" s="4">
        <f>IFERROR((BQ25/BP25),0)</f>
        <v/>
      </c>
      <c r="BX25" s="4">
        <f>IFERROR(((0+BO11+BO12+BO13+BO14+BO15+BO16+BO17+BO19+BO20+BO21+BO22+BO23+BO24+BO25)/T2),0)</f>
        <v/>
      </c>
      <c r="BY25" s="5">
        <f>IFERROR(ROUND(BO25/BQ25,2),0)</f>
        <v/>
      </c>
      <c r="BZ25" s="5">
        <f>IFERROR(ROUND(BO25/BR25,2),0)</f>
        <v/>
      </c>
      <c r="CA25" s="2" t="inlineStr">
        <is>
          <t>2023-10-03</t>
        </is>
      </c>
      <c r="CB25" s="5">
        <f>ROUND(292.04,2)</f>
        <v/>
      </c>
      <c r="CC25" s="3">
        <f>ROUND(31077.0,2)</f>
        <v/>
      </c>
      <c r="CD25" s="3">
        <f>ROUND(1043.0,2)</f>
        <v/>
      </c>
      <c r="CE25" s="3">
        <f>ROUND(1884.0,2)</f>
        <v/>
      </c>
      <c r="CF25" s="3">
        <f>ROUND(1546.0,2)</f>
        <v/>
      </c>
      <c r="CG25" s="3">
        <f>ROUND(529.0,2)</f>
        <v/>
      </c>
      <c r="CH25" s="3">
        <f>ROUND(321.0,2)</f>
        <v/>
      </c>
      <c r="CI25" s="3">
        <f>ROUND(202.0,2)</f>
        <v/>
      </c>
      <c r="CJ25" s="4">
        <f>IFERROR((CD25/CC25),0)</f>
        <v/>
      </c>
      <c r="CK25" s="4">
        <f>IFERROR(((0+CB11+CB12+CB13+CB14+CB15+CB16+CB17+CB19+CB20+CB21+CB22+CB23+CB24+CB25)/T2),0)</f>
        <v/>
      </c>
      <c r="CL25" s="5">
        <f>IFERROR(ROUND(CB25/CD25,2),0)</f>
        <v/>
      </c>
      <c r="CM25" s="5">
        <f>IFERROR(ROUND(CB25/CE25,2),0)</f>
        <v/>
      </c>
      <c r="CN25" s="2" t="inlineStr">
        <is>
          <t>2023-10-03</t>
        </is>
      </c>
      <c r="CO25" s="5">
        <f>ROUND(1037.96,2)</f>
        <v/>
      </c>
      <c r="CP25" s="3">
        <f>ROUND(103607.0,2)</f>
        <v/>
      </c>
      <c r="CQ25" s="3">
        <f>ROUND(3707.0,2)</f>
        <v/>
      </c>
      <c r="CR25" s="3">
        <f>ROUND(2343.0,2)</f>
        <v/>
      </c>
      <c r="CS25" s="3">
        <f>ROUND(1560.0,2)</f>
        <v/>
      </c>
      <c r="CT25" s="3">
        <f>ROUND(930.0,2)</f>
        <v/>
      </c>
      <c r="CU25" s="3">
        <f>ROUND(704.0,2)</f>
        <v/>
      </c>
      <c r="CV25" s="3">
        <f>ROUND(540.0,2)</f>
        <v/>
      </c>
      <c r="CW25" s="4">
        <f>IFERROR((CQ25/CP25),0)</f>
        <v/>
      </c>
      <c r="CX25" s="4">
        <f>IFERROR(((0+CO11+CO12+CO13+CO14+CO15+CO16+CO17+CO19+CO20+CO21+CO22+CO23+CO24+CO25)/T2),0)</f>
        <v/>
      </c>
      <c r="CY25" s="5">
        <f>IFERROR(ROUND(CO25/CQ25,2),0)</f>
        <v/>
      </c>
      <c r="CZ25" s="5">
        <f>IFERROR(ROUND(CO25/CR25,2),0)</f>
        <v/>
      </c>
      <c r="DA25" s="2" t="inlineStr">
        <is>
          <t>2023-10-03</t>
        </is>
      </c>
      <c r="DB25" s="5">
        <f>ROUND(22.68,2)</f>
        <v/>
      </c>
      <c r="DC25" s="3">
        <f>ROUND(3889.0,2)</f>
        <v/>
      </c>
      <c r="DD25" s="3">
        <f>ROUND(81.0,2)</f>
        <v/>
      </c>
      <c r="DE25" s="3">
        <f>ROUND(341.0,2)</f>
        <v/>
      </c>
      <c r="DF25" s="3">
        <f>ROUND(231.0,2)</f>
        <v/>
      </c>
      <c r="DG25" s="3">
        <f>ROUND(112.0,2)</f>
        <v/>
      </c>
      <c r="DH25" s="3">
        <f>ROUND(77.0,2)</f>
        <v/>
      </c>
      <c r="DI25" s="3">
        <f>ROUND(50.0,2)</f>
        <v/>
      </c>
      <c r="DJ25" s="4">
        <f>IFERROR((DD25/DC25),0)</f>
        <v/>
      </c>
      <c r="DK25" s="4">
        <f>IFERROR(((0+DB11+DB12+DB13+DB14+DB15+DB16+DB17+DB19+DB20+DB21+DB22+DB23+DB24+DB25)/T2),0)</f>
        <v/>
      </c>
      <c r="DL25" s="5">
        <f>IFERROR(ROUND(DB25/DD25,2),0)</f>
        <v/>
      </c>
      <c r="DM25" s="5">
        <f>IFERROR(ROUND(DB25/DE25,2),0)</f>
        <v/>
      </c>
      <c r="DN25" s="2" t="inlineStr">
        <is>
          <t>2023-10-03</t>
        </is>
      </c>
      <c r="DO25" s="5">
        <f>ROUND(19.320000000000004,2)</f>
        <v/>
      </c>
      <c r="DP25" s="3">
        <f>ROUND(4465.0,2)</f>
        <v/>
      </c>
      <c r="DQ25" s="3">
        <f>ROUND(69.0,2)</f>
        <v/>
      </c>
      <c r="DR25" s="3">
        <f>ROUND(309.0,2)</f>
        <v/>
      </c>
      <c r="DS25" s="3">
        <f>ROUND(220.0,2)</f>
        <v/>
      </c>
      <c r="DT25" s="3">
        <f>ROUND(106.0,2)</f>
        <v/>
      </c>
      <c r="DU25" s="3">
        <f>ROUND(71.0,2)</f>
        <v/>
      </c>
      <c r="DV25" s="3">
        <f>ROUND(52.0,2)</f>
        <v/>
      </c>
      <c r="DW25" s="4">
        <f>IFERROR((DQ25/DP25),0)</f>
        <v/>
      </c>
      <c r="DX25" s="4">
        <f>IFERROR(((0+DO11+DO12+DO13+DO14+DO15+DO16+DO17+DO19+DO20+DO21+DO22+DO23+DO24+DO25)/T2),0)</f>
        <v/>
      </c>
      <c r="DY25" s="5">
        <f>IFERROR(ROUND(DO25/DQ25,2),0)</f>
        <v/>
      </c>
      <c r="DZ25" s="5">
        <f>IFERROR(ROUND(DO25/DR25,2),0)</f>
        <v/>
      </c>
      <c r="EA25" s="2" t="inlineStr">
        <is>
          <t>2023-10-03</t>
        </is>
      </c>
      <c r="EB25" s="5">
        <f>ROUND(49.56,2)</f>
        <v/>
      </c>
      <c r="EC25" s="3">
        <f>ROUND(8626.0,2)</f>
        <v/>
      </c>
      <c r="ED25" s="3">
        <f>ROUND(177.0,2)</f>
        <v/>
      </c>
      <c r="EE25" s="3">
        <f>ROUND(463.0,2)</f>
        <v/>
      </c>
      <c r="EF25" s="3">
        <f>ROUND(299.0,2)</f>
        <v/>
      </c>
      <c r="EG25" s="3">
        <f>ROUND(141.0,2)</f>
        <v/>
      </c>
      <c r="EH25" s="3">
        <f>ROUND(100.0,2)</f>
        <v/>
      </c>
      <c r="EI25" s="3">
        <f>ROUND(77.0,2)</f>
        <v/>
      </c>
      <c r="EJ25" s="4">
        <f>IFERROR((ED25/EC25),0)</f>
        <v/>
      </c>
      <c r="EK25" s="4">
        <f>IFERROR(((0+EB11+EB12+EB13+EB14+EB15+EB16+EB17+EB19+EB20+EB21+EB22+EB23+EB24+EB25)/T2),0)</f>
        <v/>
      </c>
      <c r="EL25" s="5">
        <f>IFERROR(ROUND(EB25/ED25,2),0)</f>
        <v/>
      </c>
      <c r="EM25" s="5">
        <f>IFERROR(ROUND(EB25/EE25,2),0)</f>
        <v/>
      </c>
      <c r="EN25" s="2" t="inlineStr">
        <is>
          <t>2023-10-03</t>
        </is>
      </c>
      <c r="EO25" s="5">
        <f>ROUND(73.36000000000001,2)</f>
        <v/>
      </c>
      <c r="EP25" s="3">
        <f>ROUND(12620.0,2)</f>
        <v/>
      </c>
      <c r="EQ25" s="3">
        <f>ROUND(262.0,2)</f>
        <v/>
      </c>
      <c r="ER25" s="3">
        <f>ROUND(1037.0,2)</f>
        <v/>
      </c>
      <c r="ES25" s="3">
        <f>ROUND(782.0,2)</f>
        <v/>
      </c>
      <c r="ET25" s="3">
        <f>ROUND(296.0,2)</f>
        <v/>
      </c>
      <c r="EU25" s="3">
        <f>ROUND(212.0,2)</f>
        <v/>
      </c>
      <c r="EV25" s="3">
        <f>ROUND(146.0,2)</f>
        <v/>
      </c>
      <c r="EW25" s="4">
        <f>IFERROR((EQ25/EP25),0)</f>
        <v/>
      </c>
      <c r="EX25" s="4">
        <f>IFERROR(((0+EO11+EO12+EO13+EO14+EO15+EO16+EO17+EO19+EO20+EO21+EO22+EO23+EO24+EO25)/T2),0)</f>
        <v/>
      </c>
      <c r="EY25" s="5">
        <f>IFERROR(ROUND(EO25/EQ25,2),0)</f>
        <v/>
      </c>
      <c r="EZ25" s="5">
        <f>IFERROR(ROUND(EO25/ER25,2),0)</f>
        <v/>
      </c>
      <c r="FA25" s="2" t="inlineStr">
        <is>
          <t>2023-10-03</t>
        </is>
      </c>
      <c r="FB25" s="5">
        <f>ROUND(116.20000000000002,2)</f>
        <v/>
      </c>
      <c r="FC25" s="3">
        <f>ROUND(14365.0,2)</f>
        <v/>
      </c>
      <c r="FD25" s="3">
        <f>ROUND(415.0,2)</f>
        <v/>
      </c>
      <c r="FE25" s="3">
        <f>ROUND(1131.0,2)</f>
        <v/>
      </c>
      <c r="FF25" s="3">
        <f>ROUND(879.0,2)</f>
        <v/>
      </c>
      <c r="FG25" s="3">
        <f>ROUND(403.0,2)</f>
        <v/>
      </c>
      <c r="FH25" s="3">
        <f>ROUND(280.0,2)</f>
        <v/>
      </c>
      <c r="FI25" s="3">
        <f>ROUND(183.0,2)</f>
        <v/>
      </c>
      <c r="FJ25" s="4">
        <f>IFERROR((FD25/FC25),0)</f>
        <v/>
      </c>
      <c r="FK25" s="4">
        <f>IFERROR(((0+FB11+FB12+FB13+FB14+FB15+FB16+FB17+FB19+FB20+FB21+FB22+FB23+FB24+FB25)/T2),0)</f>
        <v/>
      </c>
      <c r="FL25" s="5">
        <f>IFERROR(ROUND(FB25/FD25,2),0)</f>
        <v/>
      </c>
      <c r="FM25" s="5">
        <f>IFERROR(ROUND(FB25/FE25,2),0)</f>
        <v/>
      </c>
      <c r="FN25" s="2" t="inlineStr">
        <is>
          <t>2023-10-03</t>
        </is>
      </c>
      <c r="FO25" s="5">
        <f>ROUND(25.480000000000004,2)</f>
        <v/>
      </c>
      <c r="FP25" s="3">
        <f>ROUND(3533.0,2)</f>
        <v/>
      </c>
      <c r="FQ25" s="3">
        <f>ROUND(91.0,2)</f>
        <v/>
      </c>
      <c r="FR25" s="3">
        <f>ROUND(346.0,2)</f>
        <v/>
      </c>
      <c r="FS25" s="3">
        <f>ROUND(277.0,2)</f>
        <v/>
      </c>
      <c r="FT25" s="3">
        <f>ROUND(124.0,2)</f>
        <v/>
      </c>
      <c r="FU25" s="3">
        <f>ROUND(83.0,2)</f>
        <v/>
      </c>
      <c r="FV25" s="3">
        <f>ROUND(58.0,2)</f>
        <v/>
      </c>
      <c r="FW25" s="4">
        <f>IFERROR((FQ25/FP25),0)</f>
        <v/>
      </c>
      <c r="FX25" s="4">
        <f>IFERROR(((0+FO11+FO12+FO13+FO14+FO15+FO16+FO17+FO19+FO20+FO21+FO22+FO23+FO24+FO25)/T2),0)</f>
        <v/>
      </c>
      <c r="FY25" s="5">
        <f>IFERROR(ROUND(FO25/FQ25,2),0)</f>
        <v/>
      </c>
      <c r="FZ25" s="5">
        <f>IFERROR(ROUND(FO25/FR25,2),0)</f>
        <v/>
      </c>
      <c r="GA25" s="2" t="inlineStr">
        <is>
          <t>2023-10-03</t>
        </is>
      </c>
      <c r="GB25" s="5">
        <f>ROUND(127.4,2)</f>
        <v/>
      </c>
      <c r="GC25" s="3">
        <f>ROUND(17213.0,2)</f>
        <v/>
      </c>
      <c r="GD25" s="3">
        <f>ROUND(455.0,2)</f>
        <v/>
      </c>
      <c r="GE25" s="3">
        <f>ROUND(1039.0,2)</f>
        <v/>
      </c>
      <c r="GF25" s="3">
        <f>ROUND(851.0,2)</f>
        <v/>
      </c>
      <c r="GG25" s="3">
        <f>ROUND(413.0,2)</f>
        <v/>
      </c>
      <c r="GH25" s="3">
        <f>ROUND(281.0,2)</f>
        <v/>
      </c>
      <c r="GI25" s="3">
        <f>ROUND(206.0,2)</f>
        <v/>
      </c>
      <c r="GJ25" s="4">
        <f>IFERROR((GD25/GC25),0)</f>
        <v/>
      </c>
      <c r="GK25" s="4">
        <f>IFERROR(((0+GB11+GB12+GB13+GB14+GB15+GB16+GB17+GB19+GB20+GB21+GB22+GB23+GB24+GB25)/T2),0)</f>
        <v/>
      </c>
      <c r="GL25" s="5">
        <f>IFERROR(ROUND(GB25/GD25,2),0)</f>
        <v/>
      </c>
      <c r="GM25" s="5">
        <f>IFERROR(ROUND(GB25/GE25,2),0)</f>
        <v/>
      </c>
      <c r="GN25" s="2" t="inlineStr">
        <is>
          <t>2023-10-03</t>
        </is>
      </c>
      <c r="GO25" s="5">
        <f>ROUND(28.000000000000004,2)</f>
        <v/>
      </c>
      <c r="GP25" s="3">
        <f>ROUND(4398.0,2)</f>
        <v/>
      </c>
      <c r="GQ25" s="3">
        <f>ROUND(100.0,2)</f>
        <v/>
      </c>
      <c r="GR25" s="3">
        <f>ROUND(430.0,2)</f>
        <v/>
      </c>
      <c r="GS25" s="3">
        <f>ROUND(350.0,2)</f>
        <v/>
      </c>
      <c r="GT25" s="3">
        <f>ROUND(158.0,2)</f>
        <v/>
      </c>
      <c r="GU25" s="3">
        <f>ROUND(103.0,2)</f>
        <v/>
      </c>
      <c r="GV25" s="3">
        <f>ROUND(70.0,2)</f>
        <v/>
      </c>
      <c r="GW25" s="4">
        <f>IFERROR((GQ25/GP25),0)</f>
        <v/>
      </c>
      <c r="GX25" s="4">
        <f>IFERROR(((0+GO11+GO12+GO13+GO14+GO15+GO16+GO17+GO19+GO20+GO21+GO22+GO23+GO24+GO25)/T2),0)</f>
        <v/>
      </c>
      <c r="GY25" s="5">
        <f>IFERROR(ROUND(GO25/GQ25,2),0)</f>
        <v/>
      </c>
      <c r="GZ25" s="5">
        <f>IFERROR(ROUND(GO25/GR25,2),0)</f>
        <v/>
      </c>
      <c r="HA25" s="2" t="inlineStr">
        <is>
          <t>2023-10-03</t>
        </is>
      </c>
      <c r="HB25" s="5">
        <f>ROUND(147.84,2)</f>
        <v/>
      </c>
      <c r="HC25" s="3">
        <f>ROUND(29277.0,2)</f>
        <v/>
      </c>
      <c r="HD25" s="3">
        <f>ROUND(528.0,2)</f>
        <v/>
      </c>
      <c r="HE25" s="3">
        <f>ROUND(1090.0,2)</f>
        <v/>
      </c>
      <c r="HF25" s="3">
        <f>ROUND(623.0,2)</f>
        <v/>
      </c>
      <c r="HG25" s="3">
        <f>ROUND(290.0,2)</f>
        <v/>
      </c>
      <c r="HH25" s="3">
        <f>ROUND(228.0,2)</f>
        <v/>
      </c>
      <c r="HI25" s="3">
        <f>ROUND(167.0,2)</f>
        <v/>
      </c>
      <c r="HJ25" s="4">
        <f>IFERROR((HD25/HC25),0)</f>
        <v/>
      </c>
      <c r="HK25" s="4">
        <f>IFERROR(((0+HB11+HB12+HB13+HB14+HB15+HB16+HB17+HB19+HB20+HB21+HB22+HB23+HB24+HB25)/T2),0)</f>
        <v/>
      </c>
      <c r="HL25" s="5">
        <f>IFERROR(ROUND(HB25/HD25,2),0)</f>
        <v/>
      </c>
      <c r="HM25" s="5">
        <f>IFERROR(ROUND(HB25/HE25,2),0)</f>
        <v/>
      </c>
      <c r="HN25" s="2" t="inlineStr">
        <is>
          <t>2023-10-03</t>
        </is>
      </c>
      <c r="HO25" s="5">
        <f>ROUND(47.60000000000001,2)</f>
        <v/>
      </c>
      <c r="HP25" s="3">
        <f>ROUND(7185.0,2)</f>
        <v/>
      </c>
      <c r="HQ25" s="3">
        <f>ROUND(170.0,2)</f>
        <v/>
      </c>
      <c r="HR25" s="3">
        <f>ROUND(598.0,2)</f>
        <v/>
      </c>
      <c r="HS25" s="3">
        <f>ROUND(483.0,2)</f>
        <v/>
      </c>
      <c r="HT25" s="3">
        <f>ROUND(245.0,2)</f>
        <v/>
      </c>
      <c r="HU25" s="3">
        <f>ROUND(155.0,2)</f>
        <v/>
      </c>
      <c r="HV25" s="3">
        <f>ROUND(110.0,2)</f>
        <v/>
      </c>
      <c r="HW25" s="4">
        <f>IFERROR((HQ25/HP25),0)</f>
        <v/>
      </c>
      <c r="HX25" s="4">
        <f>IFERROR(((0+HO11+HO12+HO13+HO14+HO15+HO16+HO17+HO19+HO20+HO21+HO22+HO23+HO24+HO25)/T2),0)</f>
        <v/>
      </c>
      <c r="HY25" s="5">
        <f>IFERROR(ROUND(HO25/HQ25,2),0)</f>
        <v/>
      </c>
      <c r="HZ25" s="5">
        <f>IFERROR(ROUND(HO25/HR25,2),0)</f>
        <v/>
      </c>
      <c r="IA25" s="2" t="inlineStr">
        <is>
          <t>2023-10-03</t>
        </is>
      </c>
      <c r="IB25" s="5">
        <f>ROUND(50.120000000000005,2)</f>
        <v/>
      </c>
      <c r="IC25" s="3">
        <f>ROUND(7418.0,2)</f>
        <v/>
      </c>
      <c r="ID25" s="3">
        <f>ROUND(179.0,2)</f>
        <v/>
      </c>
      <c r="IE25" s="3">
        <f>ROUND(1061.0,2)</f>
        <v/>
      </c>
      <c r="IF25" s="3">
        <f>ROUND(877.0,2)</f>
        <v/>
      </c>
      <c r="IG25" s="3">
        <f>ROUND(485.0,2)</f>
        <v/>
      </c>
      <c r="IH25" s="3">
        <f>ROUND(347.0,2)</f>
        <v/>
      </c>
      <c r="II25" s="3">
        <f>ROUND(242.0,2)</f>
        <v/>
      </c>
      <c r="IJ25" s="4">
        <f>IFERROR((ID25/IC25),0)</f>
        <v/>
      </c>
      <c r="IK25" s="4">
        <f>IFERROR(((0+IB11+IB12+IB13+IB14+IB15+IB16+IB17+IB19+IB20+IB21+IB22+IB23+IB24+IB25)/T2),0)</f>
        <v/>
      </c>
      <c r="IL25" s="5">
        <f>IFERROR(ROUND(IB25/ID25,2),0)</f>
        <v/>
      </c>
      <c r="IM25" s="5">
        <f>IFERROR(ROUND(IB25/IE25,2),0)</f>
        <v/>
      </c>
      <c r="IN25" s="2" t="inlineStr">
        <is>
          <t>2023-10-03</t>
        </is>
      </c>
      <c r="IO25" s="5">
        <f>ROUND(63.84000000000001,2)</f>
        <v/>
      </c>
      <c r="IP25" s="3">
        <f>ROUND(9310.0,2)</f>
        <v/>
      </c>
      <c r="IQ25" s="3">
        <f>ROUND(228.0,2)</f>
        <v/>
      </c>
      <c r="IR25" s="3">
        <f>ROUND(485.0,2)</f>
        <v/>
      </c>
      <c r="IS25" s="3">
        <f>ROUND(226.0,2)</f>
        <v/>
      </c>
      <c r="IT25" s="3">
        <f>ROUND(122.0,2)</f>
        <v/>
      </c>
      <c r="IU25" s="3">
        <f>ROUND(94.0,2)</f>
        <v/>
      </c>
      <c r="IV25" s="3">
        <f>ROUND(70.0,2)</f>
        <v/>
      </c>
      <c r="IW25" s="4">
        <f>IFERROR((IQ25/IP25),0)</f>
        <v/>
      </c>
      <c r="IX25" s="4">
        <f>IFERROR(((0+IO11+IO12+IO13+IO14+IO15+IO16+IO17+IO19+IO20+IO21+IO22+IO23+IO24+IO25)/T2),0)</f>
        <v/>
      </c>
      <c r="IY25" s="5">
        <f>IFERROR(ROUND(IO25/IQ25,2),0)</f>
        <v/>
      </c>
      <c r="IZ25" s="5">
        <f>IFERROR(ROUND(IO25/IR25,2),0)</f>
        <v/>
      </c>
      <c r="JA25" s="2" t="inlineStr">
        <is>
          <t>2023-10-03</t>
        </is>
      </c>
      <c r="JB25" s="5">
        <f>ROUND(8.120000000000001,2)</f>
        <v/>
      </c>
      <c r="JC25" s="3">
        <f>ROUND(1366.0,2)</f>
        <v/>
      </c>
      <c r="JD25" s="3">
        <f>ROUND(29.0,2)</f>
        <v/>
      </c>
      <c r="JE25" s="3">
        <f>ROUND(172.0,2)</f>
        <v/>
      </c>
      <c r="JF25" s="3">
        <f>ROUND(131.0,2)</f>
        <v/>
      </c>
      <c r="JG25" s="3">
        <f>ROUND(58.0,2)</f>
        <v/>
      </c>
      <c r="JH25" s="3">
        <f>ROUND(41.0,2)</f>
        <v/>
      </c>
      <c r="JI25" s="3">
        <f>ROUND(27.0,2)</f>
        <v/>
      </c>
      <c r="JJ25" s="4">
        <f>IFERROR((JD25/JC25),0)</f>
        <v/>
      </c>
      <c r="JK25" s="4">
        <f>IFERROR(((0+JB11+JB12+JB13+JB14+JB15+JB16+JB17+JB19+JB20+JB21+JB22+JB23+JB24+JB25)/T2),0)</f>
        <v/>
      </c>
      <c r="JL25" s="5">
        <f>IFERROR(ROUND(JB25/JD25,2),0)</f>
        <v/>
      </c>
      <c r="JM25" s="5">
        <f>IFERROR(ROUND(JB25/JE25,2),0)</f>
        <v/>
      </c>
    </row>
    <row r="26">
      <c r="A26" s="2" t="inlineStr">
        <is>
          <t>2 Weekly Total</t>
        </is>
      </c>
      <c r="B26" s="5">
        <f>ROUND(4012.4,2)</f>
        <v/>
      </c>
      <c r="C26" s="3">
        <f>ROUND(468901.0,2)</f>
        <v/>
      </c>
      <c r="D26" s="3">
        <f>ROUND(14330.0,2)</f>
        <v/>
      </c>
      <c r="E26" s="3">
        <f>ROUND(25063.0,2)</f>
        <v/>
      </c>
      <c r="F26" s="3">
        <f>ROUND(19075.0,2)</f>
        <v/>
      </c>
      <c r="G26" s="3">
        <f>ROUND(8460.0,2)</f>
        <v/>
      </c>
      <c r="H26" s="3">
        <f>ROUND(5867.0,2)</f>
        <v/>
      </c>
      <c r="I26" s="3">
        <f>ROUND(4167.0,2)</f>
        <v/>
      </c>
      <c r="J26" s="4">
        <f>IFERROR((D26/C26),0)</f>
        <v/>
      </c>
      <c r="K26" s="4">
        <f>IFERROR(((0+B11+B12+B13+B14+B15+B16+B17+B19+B20+B21+B22+B23+B24+B25)/T2),0)</f>
        <v/>
      </c>
      <c r="L26" s="5">
        <f>IFERROR(ROUND(B26/D26,2),0)</f>
        <v/>
      </c>
      <c r="M26" s="5">
        <f>IFERROR(ROUND(B26/E26,2),0)</f>
        <v/>
      </c>
      <c r="N26" s="2" t="inlineStr">
        <is>
          <t>2 Weekly Total</t>
        </is>
      </c>
      <c r="O26" s="5">
        <f>ROUND(156.52,2)</f>
        <v/>
      </c>
      <c r="P26" s="3">
        <f>ROUND(23972.0,2)</f>
        <v/>
      </c>
      <c r="Q26" s="3">
        <f>ROUND(559.0,2)</f>
        <v/>
      </c>
      <c r="R26" s="3">
        <f>ROUND(1490.0,2)</f>
        <v/>
      </c>
      <c r="S26" s="3">
        <f>ROUND(1050.0,2)</f>
        <v/>
      </c>
      <c r="T26" s="3">
        <f>ROUND(467.0,2)</f>
        <v/>
      </c>
      <c r="U26" s="3">
        <f>ROUND(350.0,2)</f>
        <v/>
      </c>
      <c r="V26" s="3">
        <f>ROUND(264.0,2)</f>
        <v/>
      </c>
      <c r="W26" s="4">
        <f>IFERROR((Q26/P26),0)</f>
        <v/>
      </c>
      <c r="X26" s="4">
        <f>IFERROR(((0+O11+O12+O13+O14+O15+O16+O17+O19+O20+O21+O22+O23+O24+O25)/T2),0)</f>
        <v/>
      </c>
      <c r="Y26" s="5">
        <f>IFERROR(ROUND(O26/Q26,2),0)</f>
        <v/>
      </c>
      <c r="Z26" s="5">
        <f>IFERROR(ROUND(O26/R26,2),0)</f>
        <v/>
      </c>
      <c r="AA26" s="2" t="inlineStr">
        <is>
          <t>2 Weekly Total</t>
        </is>
      </c>
      <c r="AB26" s="5">
        <f>ROUND(274.12,2)</f>
        <v/>
      </c>
      <c r="AC26" s="3">
        <f>ROUND(27809.0,2)</f>
        <v/>
      </c>
      <c r="AD26" s="3">
        <f>ROUND(979.0,2)</f>
        <v/>
      </c>
      <c r="AE26" s="3">
        <f>ROUND(853.0,2)</f>
        <v/>
      </c>
      <c r="AF26" s="3">
        <f>ROUND(556.0,2)</f>
        <v/>
      </c>
      <c r="AG26" s="3">
        <f>ROUND(334.0,2)</f>
        <v/>
      </c>
      <c r="AH26" s="3">
        <f>ROUND(254.0,2)</f>
        <v/>
      </c>
      <c r="AI26" s="3">
        <f>ROUND(206.0,2)</f>
        <v/>
      </c>
      <c r="AJ26" s="4">
        <f>IFERROR((AD26/AC26),0)</f>
        <v/>
      </c>
      <c r="AK26" s="4">
        <f>IFERROR(((0+AB11+AB12+AB13+AB14+AB15+AB16+AB17+AB19+AB20+AB21+AB22+AB23+AB24+AB25)/T2),0)</f>
        <v/>
      </c>
      <c r="AL26" s="5">
        <f>IFERROR(ROUND(AB26/AD26,2),0)</f>
        <v/>
      </c>
      <c r="AM26" s="5">
        <f>IFERROR(ROUND(AB26/AE26,2),0)</f>
        <v/>
      </c>
      <c r="AN26" s="2" t="inlineStr">
        <is>
          <t>2 Weekly Total</t>
        </is>
      </c>
      <c r="AO26" s="5">
        <f>ROUND(65.24,2)</f>
        <v/>
      </c>
      <c r="AP26" s="3">
        <f>ROUND(9121.0,2)</f>
        <v/>
      </c>
      <c r="AQ26" s="3">
        <f>ROUND(233.0,2)</f>
        <v/>
      </c>
      <c r="AR26" s="3">
        <f>ROUND(644.0,2)</f>
        <v/>
      </c>
      <c r="AS26" s="3">
        <f>ROUND(495.0,2)</f>
        <v/>
      </c>
      <c r="AT26" s="3">
        <f>ROUND(220.0,2)</f>
        <v/>
      </c>
      <c r="AU26" s="3">
        <f>ROUND(131.0,2)</f>
        <v/>
      </c>
      <c r="AV26" s="3">
        <f>ROUND(86.0,2)</f>
        <v/>
      </c>
      <c r="AW26" s="4">
        <f>IFERROR((AQ26/AP26),0)</f>
        <v/>
      </c>
      <c r="AX26" s="4">
        <f>IFERROR(((0+AO11+AO12+AO13+AO14+AO15+AO16+AO17+AO19+AO20+AO21+AO22+AO23+AO24+AO25)/T2),0)</f>
        <v/>
      </c>
      <c r="AY26" s="5">
        <f>IFERROR(ROUND(AO26/AQ26,2),0)</f>
        <v/>
      </c>
      <c r="AZ26" s="5">
        <f>IFERROR(ROUND(AO26/AR26,2),0)</f>
        <v/>
      </c>
      <c r="BA26" s="2" t="inlineStr">
        <is>
          <t>2 Weekly Total</t>
        </is>
      </c>
      <c r="BB26" s="5">
        <f>ROUND(751.52,2)</f>
        <v/>
      </c>
      <c r="BC26" s="3">
        <f>ROUND(73470.0,2)</f>
        <v/>
      </c>
      <c r="BD26" s="3">
        <f>ROUND(2684.0,2)</f>
        <v/>
      </c>
      <c r="BE26" s="3">
        <f>ROUND(2447.0,2)</f>
        <v/>
      </c>
      <c r="BF26" s="3">
        <f>ROUND(1939.0,2)</f>
        <v/>
      </c>
      <c r="BG26" s="3">
        <f>ROUND(788.0,2)</f>
        <v/>
      </c>
      <c r="BH26" s="3">
        <f>ROUND(508.0,2)</f>
        <v/>
      </c>
      <c r="BI26" s="3">
        <f>ROUND(365.0,2)</f>
        <v/>
      </c>
      <c r="BJ26" s="4">
        <f>IFERROR((BD26/BC26),0)</f>
        <v/>
      </c>
      <c r="BK26" s="4">
        <f>IFERROR(((0+BB11+BB12+BB13+BB14+BB15+BB16+BB17+BB19+BB20+BB21+BB22+BB23+BB24+BB25)/T2),0)</f>
        <v/>
      </c>
      <c r="BL26" s="5">
        <f>IFERROR(ROUND(BB26/BD26,2),0)</f>
        <v/>
      </c>
      <c r="BM26" s="5">
        <f>IFERROR(ROUND(BB26/BE26,2),0)</f>
        <v/>
      </c>
      <c r="BN26" s="2" t="inlineStr">
        <is>
          <t>2 Weekly Total</t>
        </is>
      </c>
      <c r="BO26" s="5">
        <f>ROUND(260.68,2)</f>
        <v/>
      </c>
      <c r="BP26" s="3">
        <f>ROUND(28392.0,2)</f>
        <v/>
      </c>
      <c r="BQ26" s="3">
        <f>ROUND(931.0,2)</f>
        <v/>
      </c>
      <c r="BR26" s="3">
        <f>ROUND(1642.0,2)</f>
        <v/>
      </c>
      <c r="BS26" s="3">
        <f>ROUND(1296.0,2)</f>
        <v/>
      </c>
      <c r="BT26" s="3">
        <f>ROUND(473.0,2)</f>
        <v/>
      </c>
      <c r="BU26" s="3">
        <f>ROUND(353.0,2)</f>
        <v/>
      </c>
      <c r="BV26" s="3">
        <f>ROUND(261.0,2)</f>
        <v/>
      </c>
      <c r="BW26" s="4">
        <f>IFERROR((BQ26/BP26),0)</f>
        <v/>
      </c>
      <c r="BX26" s="4">
        <f>IFERROR(((0+BO11+BO12+BO13+BO14+BO15+BO16+BO17+BO19+BO20+BO21+BO22+BO23+BO24+BO25)/T2),0)</f>
        <v/>
      </c>
      <c r="BY26" s="5">
        <f>IFERROR(ROUND(BO26/BQ26,2),0)</f>
        <v/>
      </c>
      <c r="BZ26" s="5">
        <f>IFERROR(ROUND(BO26/BR26,2),0)</f>
        <v/>
      </c>
      <c r="CA26" s="2" t="inlineStr">
        <is>
          <t>2 Weekly Total</t>
        </is>
      </c>
      <c r="CB26" s="5">
        <f>ROUND(412.16,2)</f>
        <v/>
      </c>
      <c r="CC26" s="3">
        <f>ROUND(46442.0,2)</f>
        <v/>
      </c>
      <c r="CD26" s="3">
        <f>ROUND(1472.0,2)</f>
        <v/>
      </c>
      <c r="CE26" s="3">
        <f>ROUND(3646.0,2)</f>
        <v/>
      </c>
      <c r="CF26" s="3">
        <f>ROUND(3092.0,2)</f>
        <v/>
      </c>
      <c r="CG26" s="3">
        <f>ROUND(1011.0,2)</f>
        <v/>
      </c>
      <c r="CH26" s="3">
        <f>ROUND(600.0,2)</f>
        <v/>
      </c>
      <c r="CI26" s="3">
        <f>ROUND(371.0,2)</f>
        <v/>
      </c>
      <c r="CJ26" s="4">
        <f>IFERROR((CD26/CC26),0)</f>
        <v/>
      </c>
      <c r="CK26" s="4">
        <f>IFERROR(((0+CB11+CB12+CB13+CB14+CB15+CB16+CB17+CB19+CB20+CB21+CB22+CB23+CB24+CB25)/T2),0)</f>
        <v/>
      </c>
      <c r="CL26" s="5">
        <f>IFERROR(ROUND(CB26/CD26,2),0)</f>
        <v/>
      </c>
      <c r="CM26" s="5">
        <f>IFERROR(ROUND(CB26/CE26,2),0)</f>
        <v/>
      </c>
      <c r="CN26" s="2" t="inlineStr">
        <is>
          <t>2 Weekly Total</t>
        </is>
      </c>
      <c r="CO26" s="5">
        <f>ROUND(1045.24,2)</f>
        <v/>
      </c>
      <c r="CP26" s="3">
        <f>ROUND(104580.0,2)</f>
        <v/>
      </c>
      <c r="CQ26" s="3">
        <f>ROUND(3733.0,2)</f>
        <v/>
      </c>
      <c r="CR26" s="3">
        <f>ROUND(2363.0,2)</f>
        <v/>
      </c>
      <c r="CS26" s="3">
        <f>ROUND(1575.0,2)</f>
        <v/>
      </c>
      <c r="CT26" s="3">
        <f>ROUND(937.0,2)</f>
        <v/>
      </c>
      <c r="CU26" s="3">
        <f>ROUND(710.0,2)</f>
        <v/>
      </c>
      <c r="CV26" s="3">
        <f>ROUND(543.0,2)</f>
        <v/>
      </c>
      <c r="CW26" s="4">
        <f>IFERROR((CQ26/CP26),0)</f>
        <v/>
      </c>
      <c r="CX26" s="4">
        <f>IFERROR(((0+CO11+CO12+CO13+CO14+CO15+CO16+CO17+CO19+CO20+CO21+CO22+CO23+CO24+CO25)/T2),0)</f>
        <v/>
      </c>
      <c r="CY26" s="5">
        <f>IFERROR(ROUND(CO26/CQ26,2),0)</f>
        <v/>
      </c>
      <c r="CZ26" s="5">
        <f>IFERROR(ROUND(CO26/CR26,2),0)</f>
        <v/>
      </c>
      <c r="DA26" s="2" t="inlineStr">
        <is>
          <t>2 Weekly Total</t>
        </is>
      </c>
      <c r="DB26" s="5">
        <f>ROUND(24.92,2)</f>
        <v/>
      </c>
      <c r="DC26" s="3">
        <f>ROUND(4315.0,2)</f>
        <v/>
      </c>
      <c r="DD26" s="3">
        <f>ROUND(89.0,2)</f>
        <v/>
      </c>
      <c r="DE26" s="3">
        <f>ROUND(354.0,2)</f>
        <v/>
      </c>
      <c r="DF26" s="3">
        <f>ROUND(241.0,2)</f>
        <v/>
      </c>
      <c r="DG26" s="3">
        <f>ROUND(118.0,2)</f>
        <v/>
      </c>
      <c r="DH26" s="3">
        <f>ROUND(81.0,2)</f>
        <v/>
      </c>
      <c r="DI26" s="3">
        <f>ROUND(53.0,2)</f>
        <v/>
      </c>
      <c r="DJ26" s="4">
        <f>IFERROR((DD26/DC26),0)</f>
        <v/>
      </c>
      <c r="DK26" s="4">
        <f>IFERROR(((0+DB11+DB12+DB13+DB14+DB15+DB16+DB17+DB19+DB20+DB21+DB22+DB23+DB24+DB25)/T2),0)</f>
        <v/>
      </c>
      <c r="DL26" s="5">
        <f>IFERROR(ROUND(DB26/DD26,2),0)</f>
        <v/>
      </c>
      <c r="DM26" s="5">
        <f>IFERROR(ROUND(DB26/DE26,2),0)</f>
        <v/>
      </c>
      <c r="DN26" s="2" t="inlineStr">
        <is>
          <t>2 Weekly Total</t>
        </is>
      </c>
      <c r="DO26" s="5">
        <f>ROUND(19.6,2)</f>
        <v/>
      </c>
      <c r="DP26" s="3">
        <f>ROUND(4695.0,2)</f>
        <v/>
      </c>
      <c r="DQ26" s="3">
        <f>ROUND(70.0,2)</f>
        <v/>
      </c>
      <c r="DR26" s="3">
        <f>ROUND(324.0,2)</f>
        <v/>
      </c>
      <c r="DS26" s="3">
        <f>ROUND(232.0,2)</f>
        <v/>
      </c>
      <c r="DT26" s="3">
        <f>ROUND(115.0,2)</f>
        <v/>
      </c>
      <c r="DU26" s="3">
        <f>ROUND(77.0,2)</f>
        <v/>
      </c>
      <c r="DV26" s="3">
        <f>ROUND(57.0,2)</f>
        <v/>
      </c>
      <c r="DW26" s="4">
        <f>IFERROR((DQ26/DP26),0)</f>
        <v/>
      </c>
      <c r="DX26" s="4">
        <f>IFERROR(((0+DO11+DO12+DO13+DO14+DO15+DO16+DO17+DO19+DO20+DO21+DO22+DO23+DO24+DO25)/T2),0)</f>
        <v/>
      </c>
      <c r="DY26" s="5">
        <f>IFERROR(ROUND(DO26/DQ26,2),0)</f>
        <v/>
      </c>
      <c r="DZ26" s="5">
        <f>IFERROR(ROUND(DO26/DR26,2),0)</f>
        <v/>
      </c>
      <c r="EA26" s="2" t="inlineStr">
        <is>
          <t>2 Weekly Total</t>
        </is>
      </c>
      <c r="EB26" s="5">
        <f>ROUND(63.28,2)</f>
        <v/>
      </c>
      <c r="EC26" s="3">
        <f>ROUND(10167.0,2)</f>
        <v/>
      </c>
      <c r="ED26" s="3">
        <f>ROUND(226.0,2)</f>
        <v/>
      </c>
      <c r="EE26" s="3">
        <f>ROUND(512.0,2)</f>
        <v/>
      </c>
      <c r="EF26" s="3">
        <f>ROUND(339.0,2)</f>
        <v/>
      </c>
      <c r="EG26" s="3">
        <f>ROUND(168.0,2)</f>
        <v/>
      </c>
      <c r="EH26" s="3">
        <f>ROUND(122.0,2)</f>
        <v/>
      </c>
      <c r="EI26" s="3">
        <f>ROUND(97.0,2)</f>
        <v/>
      </c>
      <c r="EJ26" s="4">
        <f>IFERROR((ED26/EC26),0)</f>
        <v/>
      </c>
      <c r="EK26" s="4">
        <f>IFERROR(((0+EB11+EB12+EB13+EB14+EB15+EB16+EB17+EB19+EB20+EB21+EB22+EB23+EB24+EB25)/T2),0)</f>
        <v/>
      </c>
      <c r="EL26" s="5">
        <f>IFERROR(ROUND(EB26/ED26,2),0)</f>
        <v/>
      </c>
      <c r="EM26" s="5">
        <f>IFERROR(ROUND(EB26/EE26,2),0)</f>
        <v/>
      </c>
      <c r="EN26" s="2" t="inlineStr">
        <is>
          <t>2 Weekly Total</t>
        </is>
      </c>
      <c r="EO26" s="5">
        <f>ROUND(96.88,2)</f>
        <v/>
      </c>
      <c r="EP26" s="3">
        <f>ROUND(14942.0,2)</f>
        <v/>
      </c>
      <c r="EQ26" s="3">
        <f>ROUND(346.0,2)</f>
        <v/>
      </c>
      <c r="ER26" s="3">
        <f>ROUND(1360.0,2)</f>
        <v/>
      </c>
      <c r="ES26" s="3">
        <f>ROUND(1039.0,2)</f>
        <v/>
      </c>
      <c r="ET26" s="3">
        <f>ROUND(394.0,2)</f>
        <v/>
      </c>
      <c r="EU26" s="3">
        <f>ROUND(282.0,2)</f>
        <v/>
      </c>
      <c r="EV26" s="3">
        <f>ROUND(193.0,2)</f>
        <v/>
      </c>
      <c r="EW26" s="4">
        <f>IFERROR((EQ26/EP26),0)</f>
        <v/>
      </c>
      <c r="EX26" s="4">
        <f>IFERROR(((0+EO11+EO12+EO13+EO14+EO15+EO16+EO17+EO19+EO20+EO21+EO22+EO23+EO24+EO25)/T2),0)</f>
        <v/>
      </c>
      <c r="EY26" s="5">
        <f>IFERROR(ROUND(EO26/EQ26,2),0)</f>
        <v/>
      </c>
      <c r="EZ26" s="5">
        <f>IFERROR(ROUND(EO26/ER26,2),0)</f>
        <v/>
      </c>
      <c r="FA26" s="2" t="inlineStr">
        <is>
          <t>2 Weekly Total</t>
        </is>
      </c>
      <c r="FB26" s="5">
        <f>ROUND(148.12,2)</f>
        <v/>
      </c>
      <c r="FC26" s="3">
        <f>ROUND(18591.0,2)</f>
        <v/>
      </c>
      <c r="FD26" s="3">
        <f>ROUND(529.0,2)</f>
        <v/>
      </c>
      <c r="FE26" s="3">
        <f>ROUND(1590.0,2)</f>
        <v/>
      </c>
      <c r="FF26" s="3">
        <f>ROUND(1289.0,2)</f>
        <v/>
      </c>
      <c r="FG26" s="3">
        <f>ROUND(560.0,2)</f>
        <v/>
      </c>
      <c r="FH26" s="3">
        <f>ROUND(377.0,2)</f>
        <v/>
      </c>
      <c r="FI26" s="3">
        <f>ROUND(244.0,2)</f>
        <v/>
      </c>
      <c r="FJ26" s="4">
        <f>IFERROR((FD26/FC26),0)</f>
        <v/>
      </c>
      <c r="FK26" s="4">
        <f>IFERROR(((0+FB11+FB12+FB13+FB14+FB15+FB16+FB17+FB19+FB20+FB21+FB22+FB23+FB24+FB25)/T2),0)</f>
        <v/>
      </c>
      <c r="FL26" s="5">
        <f>IFERROR(ROUND(FB26/FD26,2),0)</f>
        <v/>
      </c>
      <c r="FM26" s="5">
        <f>IFERROR(ROUND(FB26/FE26,2),0)</f>
        <v/>
      </c>
      <c r="FN26" s="2" t="inlineStr">
        <is>
          <t>2 Weekly Total</t>
        </is>
      </c>
      <c r="FO26" s="5">
        <f>ROUND(49.0,2)</f>
        <v/>
      </c>
      <c r="FP26" s="3">
        <f>ROUND(5553.0,2)</f>
        <v/>
      </c>
      <c r="FQ26" s="3">
        <f>ROUND(175.0,2)</f>
        <v/>
      </c>
      <c r="FR26" s="3">
        <f>ROUND(678.0,2)</f>
        <v/>
      </c>
      <c r="FS26" s="3">
        <f>ROUND(557.0,2)</f>
        <v/>
      </c>
      <c r="FT26" s="3">
        <f>ROUND(251.0,2)</f>
        <v/>
      </c>
      <c r="FU26" s="3">
        <f>ROUND(167.0,2)</f>
        <v/>
      </c>
      <c r="FV26" s="3">
        <f>ROUND(113.0,2)</f>
        <v/>
      </c>
      <c r="FW26" s="4">
        <f>IFERROR((FQ26/FP26),0)</f>
        <v/>
      </c>
      <c r="FX26" s="4">
        <f>IFERROR(((0+FO11+FO12+FO13+FO14+FO15+FO16+FO17+FO19+FO20+FO21+FO22+FO23+FO24+FO25)/T2),0)</f>
        <v/>
      </c>
      <c r="FY26" s="5">
        <f>IFERROR(ROUND(FO26/FQ26,2),0)</f>
        <v/>
      </c>
      <c r="FZ26" s="5">
        <f>IFERROR(ROUND(FO26/FR26,2),0)</f>
        <v/>
      </c>
      <c r="GA26" s="2" t="inlineStr">
        <is>
          <t>2 Weekly Total</t>
        </is>
      </c>
      <c r="GB26" s="5">
        <f>ROUND(179.2,2)</f>
        <v/>
      </c>
      <c r="GC26" s="3">
        <f>ROUND(22253.0,2)</f>
        <v/>
      </c>
      <c r="GD26" s="3">
        <f>ROUND(640.0,2)</f>
        <v/>
      </c>
      <c r="GE26" s="3">
        <f>ROUND(1634.0,2)</f>
        <v/>
      </c>
      <c r="GF26" s="3">
        <f>ROUND(1328.0,2)</f>
        <v/>
      </c>
      <c r="GG26" s="3">
        <f>ROUND(615.0,2)</f>
        <v/>
      </c>
      <c r="GH26" s="3">
        <f>ROUND(414.0,2)</f>
        <v/>
      </c>
      <c r="GI26" s="3">
        <f>ROUND(295.0,2)</f>
        <v/>
      </c>
      <c r="GJ26" s="4">
        <f>IFERROR((GD26/GC26),0)</f>
        <v/>
      </c>
      <c r="GK26" s="4">
        <f>IFERROR(((0+GB11+GB12+GB13+GB14+GB15+GB16+GB17+GB19+GB20+GB21+GB22+GB23+GB24+GB25)/T2),0)</f>
        <v/>
      </c>
      <c r="GL26" s="5">
        <f>IFERROR(ROUND(GB26/GD26,2),0)</f>
        <v/>
      </c>
      <c r="GM26" s="5">
        <f>IFERROR(ROUND(GB26/GE26,2),0)</f>
        <v/>
      </c>
      <c r="GN26" s="2" t="inlineStr">
        <is>
          <t>2 Weekly Total</t>
        </is>
      </c>
      <c r="GO26" s="5">
        <f>ROUND(46.76,2)</f>
        <v/>
      </c>
      <c r="GP26" s="3">
        <f>ROUND(6248.0,2)</f>
        <v/>
      </c>
      <c r="GQ26" s="3">
        <f>ROUND(167.0,2)</f>
        <v/>
      </c>
      <c r="GR26" s="3">
        <f>ROUND(759.0,2)</f>
        <v/>
      </c>
      <c r="GS26" s="3">
        <f>ROUND(634.0,2)</f>
        <v/>
      </c>
      <c r="GT26" s="3">
        <f>ROUND(297.0,2)</f>
        <v/>
      </c>
      <c r="GU26" s="3">
        <f>ROUND(202.0,2)</f>
        <v/>
      </c>
      <c r="GV26" s="3">
        <f>ROUND(141.0,2)</f>
        <v/>
      </c>
      <c r="GW26" s="4">
        <f>IFERROR((GQ26/GP26),0)</f>
        <v/>
      </c>
      <c r="GX26" s="4">
        <f>IFERROR(((0+GO11+GO12+GO13+GO14+GO15+GO16+GO17+GO19+GO20+GO21+GO22+GO23+GO24+GO25)/T2),0)</f>
        <v/>
      </c>
      <c r="GY26" s="5">
        <f>IFERROR(ROUND(GO26/GQ26,2),0)</f>
        <v/>
      </c>
      <c r="GZ26" s="5">
        <f>IFERROR(ROUND(GO26/GR26,2),0)</f>
        <v/>
      </c>
      <c r="HA26" s="2" t="inlineStr">
        <is>
          <t>2 Weekly Total</t>
        </is>
      </c>
      <c r="HB26" s="5">
        <f>ROUND(181.44,2)</f>
        <v/>
      </c>
      <c r="HC26" s="3">
        <f>ROUND(35022.0,2)</f>
        <v/>
      </c>
      <c r="HD26" s="3">
        <f>ROUND(648.0,2)</f>
        <v/>
      </c>
      <c r="HE26" s="3">
        <f>ROUND(1675.0,2)</f>
        <v/>
      </c>
      <c r="HF26" s="3">
        <f>ROUND(1068.0,2)</f>
        <v/>
      </c>
      <c r="HG26" s="3">
        <f>ROUND(472.0,2)</f>
        <v/>
      </c>
      <c r="HH26" s="3">
        <f>ROUND(364.0,2)</f>
        <v/>
      </c>
      <c r="HI26" s="3">
        <f>ROUND(265.0,2)</f>
        <v/>
      </c>
      <c r="HJ26" s="4">
        <f>IFERROR((HD26/HC26),0)</f>
        <v/>
      </c>
      <c r="HK26" s="4">
        <f>IFERROR(((0+HB11+HB12+HB13+HB14+HB15+HB16+HB17+HB19+HB20+HB21+HB22+HB23+HB24+HB25)/T2),0)</f>
        <v/>
      </c>
      <c r="HL26" s="5">
        <f>IFERROR(ROUND(HB26/HD26,2),0)</f>
        <v/>
      </c>
      <c r="HM26" s="5">
        <f>IFERROR(ROUND(HB26/HE26,2),0)</f>
        <v/>
      </c>
      <c r="HN26" s="2" t="inlineStr">
        <is>
          <t>2 Weekly Total</t>
        </is>
      </c>
      <c r="HO26" s="5">
        <f>ROUND(78.68,2)</f>
        <v/>
      </c>
      <c r="HP26" s="3">
        <f>ROUND(10515.0,2)</f>
        <v/>
      </c>
      <c r="HQ26" s="3">
        <f>ROUND(281.0,2)</f>
        <v/>
      </c>
      <c r="HR26" s="3">
        <f>ROUND(772.0,2)</f>
        <v/>
      </c>
      <c r="HS26" s="3">
        <f>ROUND(618.0,2)</f>
        <v/>
      </c>
      <c r="HT26" s="3">
        <f>ROUND(313.0,2)</f>
        <v/>
      </c>
      <c r="HU26" s="3">
        <f>ROUND(200.0,2)</f>
        <v/>
      </c>
      <c r="HV26" s="3">
        <f>ROUND(135.0,2)</f>
        <v/>
      </c>
      <c r="HW26" s="4">
        <f>IFERROR((HQ26/HP26),0)</f>
        <v/>
      </c>
      <c r="HX26" s="4">
        <f>IFERROR(((0+HO11+HO12+HO13+HO14+HO15+HO16+HO17+HO19+HO20+HO21+HO22+HO23+HO24+HO25)/T2),0)</f>
        <v/>
      </c>
      <c r="HY26" s="5">
        <f>IFERROR(ROUND(HO26/HQ26,2),0)</f>
        <v/>
      </c>
      <c r="HZ26" s="5">
        <f>IFERROR(ROUND(HO26/HR26,2),0)</f>
        <v/>
      </c>
      <c r="IA26" s="2" t="inlineStr">
        <is>
          <t>2 Weekly Total</t>
        </is>
      </c>
      <c r="IB26" s="5">
        <f>ROUND(55.44,2)</f>
        <v/>
      </c>
      <c r="IC26" s="3">
        <f>ROUND(8553.0,2)</f>
        <v/>
      </c>
      <c r="ID26" s="3">
        <f>ROUND(198.0,2)</f>
        <v/>
      </c>
      <c r="IE26" s="3">
        <f>ROUND(1280.0,2)</f>
        <v/>
      </c>
      <c r="IF26" s="3">
        <f>ROUND(1065.0,2)</f>
        <v/>
      </c>
      <c r="IG26" s="3">
        <f>ROUND(593.0,2)</f>
        <v/>
      </c>
      <c r="IH26" s="3">
        <f>ROUND(434.0,2)</f>
        <v/>
      </c>
      <c r="II26" s="3">
        <f>ROUND(298.0,2)</f>
        <v/>
      </c>
      <c r="IJ26" s="4">
        <f>IFERROR((ID26/IC26),0)</f>
        <v/>
      </c>
      <c r="IK26" s="4">
        <f>IFERROR(((0+IB11+IB12+IB13+IB14+IB15+IB16+IB17+IB19+IB20+IB21+IB22+IB23+IB24+IB25)/T2),0)</f>
        <v/>
      </c>
      <c r="IL26" s="5">
        <f>IFERROR(ROUND(IB26/ID26,2),0)</f>
        <v/>
      </c>
      <c r="IM26" s="5">
        <f>IFERROR(ROUND(IB26/IE26,2),0)</f>
        <v/>
      </c>
      <c r="IN26" s="2" t="inlineStr">
        <is>
          <t>2 Weekly Total</t>
        </is>
      </c>
      <c r="IO26" s="5">
        <f>ROUND(92.68,2)</f>
        <v/>
      </c>
      <c r="IP26" s="3">
        <f>ROUND(12444.0,2)</f>
        <v/>
      </c>
      <c r="IQ26" s="3">
        <f>ROUND(331.0,2)</f>
        <v/>
      </c>
      <c r="IR26" s="3">
        <f>ROUND(786.0,2)</f>
        <v/>
      </c>
      <c r="IS26" s="3">
        <f>ROUND(459.0,2)</f>
        <v/>
      </c>
      <c r="IT26" s="3">
        <f>ROUND(239.0,2)</f>
        <v/>
      </c>
      <c r="IU26" s="3">
        <f>ROUND(175.0,2)</f>
        <v/>
      </c>
      <c r="IV26" s="3">
        <f>ROUND(135.0,2)</f>
        <v/>
      </c>
      <c r="IW26" s="4">
        <f>IFERROR((IQ26/IP26),0)</f>
        <v/>
      </c>
      <c r="IX26" s="4">
        <f>IFERROR(((0+IO11+IO12+IO13+IO14+IO15+IO16+IO17+IO19+IO20+IO21+IO22+IO23+IO24+IO25)/T2),0)</f>
        <v/>
      </c>
      <c r="IY26" s="5">
        <f>IFERROR(ROUND(IO26/IQ26,2),0)</f>
        <v/>
      </c>
      <c r="IZ26" s="5">
        <f>IFERROR(ROUND(IO26/IR26,2),0)</f>
        <v/>
      </c>
      <c r="JA26" s="2" t="inlineStr">
        <is>
          <t>2 Weekly Total</t>
        </is>
      </c>
      <c r="JB26" s="5">
        <f>ROUND(10.92,2)</f>
        <v/>
      </c>
      <c r="JC26" s="3">
        <f>ROUND(1817.0,2)</f>
        <v/>
      </c>
      <c r="JD26" s="3">
        <f>ROUND(39.0,2)</f>
        <v/>
      </c>
      <c r="JE26" s="3">
        <f>ROUND(254.0,2)</f>
        <v/>
      </c>
      <c r="JF26" s="3">
        <f>ROUND(203.0,2)</f>
        <v/>
      </c>
      <c r="JG26" s="3">
        <f>ROUND(95.0,2)</f>
        <v/>
      </c>
      <c r="JH26" s="3">
        <f>ROUND(66.0,2)</f>
        <v/>
      </c>
      <c r="JI26" s="3">
        <f>ROUND(45.0,2)</f>
        <v/>
      </c>
      <c r="JJ26" s="4">
        <f>IFERROR((JD26/JC26),0)</f>
        <v/>
      </c>
      <c r="JK26" s="4">
        <f>IFERROR(((0+JB11+JB12+JB13+JB14+JB15+JB16+JB17+JB19+JB20+JB21+JB22+JB23+JB24+JB25)/T2),0)</f>
        <v/>
      </c>
      <c r="JL26" s="5">
        <f>IFERROR(ROUND(JB26/JD26,2),0)</f>
        <v/>
      </c>
      <c r="JM26" s="5">
        <f>IFERROR(ROUND(JB26/JE26,2),0)</f>
        <v/>
      </c>
    </row>
    <row r="27">
      <c r="A27" s="2" t="inlineStr">
        <is>
          <t>2023-10-04</t>
        </is>
      </c>
      <c r="B27" s="5">
        <f>ROUND(40.88,2)</f>
        <v/>
      </c>
      <c r="C27" s="3">
        <f>ROUND(4145.0,2)</f>
        <v/>
      </c>
      <c r="D27" s="3">
        <f>ROUND(146.0,2)</f>
        <v/>
      </c>
      <c r="E27" s="3">
        <f>ROUND(234.0,2)</f>
        <v/>
      </c>
      <c r="F27" s="3">
        <f>ROUND(196.0,2)</f>
        <v/>
      </c>
      <c r="G27" s="3">
        <f>ROUND(92.0,2)</f>
        <v/>
      </c>
      <c r="H27" s="3">
        <f>ROUND(67.0,2)</f>
        <v/>
      </c>
      <c r="I27" s="3">
        <f>ROUND(54.0,2)</f>
        <v/>
      </c>
      <c r="J27" s="4">
        <f>IFERROR((D27/C27),0)</f>
        <v/>
      </c>
      <c r="K27" s="4">
        <f>IFERROR(((0+B11+B12+B13+B14+B15+B16+B17+B19+B20+B21+B22+B23+B24+B25+B27)/T2),0)</f>
        <v/>
      </c>
      <c r="L27" s="5">
        <f>IFERROR(ROUND(B27/D27,2),0)</f>
        <v/>
      </c>
      <c r="M27" s="5">
        <f>IFERROR(ROUND(B27/E27,2),0)</f>
        <v/>
      </c>
      <c r="N27" s="2" t="inlineStr">
        <is>
          <t>2023-10-04</t>
        </is>
      </c>
      <c r="O27" s="5">
        <f>ROUND(1.6800000000000002,2)</f>
        <v/>
      </c>
      <c r="P27" s="3">
        <f>ROUND(263.0,2)</f>
        <v/>
      </c>
      <c r="Q27" s="3">
        <f>ROUND(6.0,2)</f>
        <v/>
      </c>
      <c r="R27" s="3">
        <f>ROUND(5.0,2)</f>
        <v/>
      </c>
      <c r="S27" s="3">
        <f>ROUND(3.0,2)</f>
        <v/>
      </c>
      <c r="T27" s="3">
        <f>ROUND(2.0,2)</f>
        <v/>
      </c>
      <c r="U27" s="3">
        <f>ROUND(1.0,2)</f>
        <v/>
      </c>
      <c r="V27" s="3">
        <f>ROUND(1.0,2)</f>
        <v/>
      </c>
      <c r="W27" s="4">
        <f>IFERROR((Q27/P27),0)</f>
        <v/>
      </c>
      <c r="X27" s="4">
        <f>IFERROR(((0+O11+O12+O13+O14+O15+O16+O17+O19+O20+O21+O22+O23+O24+O25+O27)/T2),0)</f>
        <v/>
      </c>
      <c r="Y27" s="5">
        <f>IFERROR(ROUND(O27/Q27,2),0)</f>
        <v/>
      </c>
      <c r="Z27" s="5">
        <f>IFERROR(ROUND(O27/R27,2),0)</f>
        <v/>
      </c>
      <c r="AA27" s="2" t="inlineStr">
        <is>
          <t>2023-10-04</t>
        </is>
      </c>
      <c r="AB27" s="5">
        <f>ROUND(5.6000000000000005,2)</f>
        <v/>
      </c>
      <c r="AC27" s="3">
        <f>ROUND(275.0,2)</f>
        <v/>
      </c>
      <c r="AD27" s="3">
        <f>ROUND(20.0,2)</f>
        <v/>
      </c>
      <c r="AE27" s="3">
        <f>ROUND(10.0,2)</f>
        <v/>
      </c>
      <c r="AF27" s="3">
        <f>ROUND(9.0,2)</f>
        <v/>
      </c>
      <c r="AG27" s="3">
        <f>ROUND(7.0,2)</f>
        <v/>
      </c>
      <c r="AH27" s="3">
        <f>ROUND(5.0,2)</f>
        <v/>
      </c>
      <c r="AI27" s="3">
        <f>ROUND(6.0,2)</f>
        <v/>
      </c>
      <c r="AJ27" s="4">
        <f>IFERROR((AD27/AC27),0)</f>
        <v/>
      </c>
      <c r="AK27" s="4">
        <f>IFERROR(((0+AB11+AB12+AB13+AB14+AB15+AB16+AB17+AB19+AB20+AB21+AB22+AB23+AB24+AB25+AB27)/T2),0)</f>
        <v/>
      </c>
      <c r="AL27" s="5">
        <f>IFERROR(ROUND(AB27/AD27,2),0)</f>
        <v/>
      </c>
      <c r="AM27" s="5">
        <f>IFERROR(ROUND(AB27/AE27,2),0)</f>
        <v/>
      </c>
      <c r="AN27" s="2" t="inlineStr">
        <is>
          <t>2023-10-04</t>
        </is>
      </c>
      <c r="AO27" s="5">
        <f>ROUND(0.28,2)</f>
        <v/>
      </c>
      <c r="AP27" s="3">
        <f>ROUND(31.0,2)</f>
        <v/>
      </c>
      <c r="AQ27" s="3">
        <f>ROUND(1.0,2)</f>
        <v/>
      </c>
      <c r="AR27" s="3">
        <f>ROUND(1.0,2)</f>
        <v/>
      </c>
      <c r="AS27" s="3">
        <f>ROUND(1.0,2)</f>
        <v/>
      </c>
      <c r="AT27" s="3">
        <f>ROUND(1.0,2)</f>
        <v/>
      </c>
      <c r="AU27" s="3">
        <f>ROUND(1.0,2)</f>
        <v/>
      </c>
      <c r="AV27" s="3">
        <f>ROUND(1.0,2)</f>
        <v/>
      </c>
      <c r="AW27" s="4">
        <f>IFERROR((AQ27/AP27),0)</f>
        <v/>
      </c>
      <c r="AX27" s="4">
        <f>IFERROR(((0+AO11+AO12+AO13+AO14+AO15+AO16+AO17+AO19+AO20+AO21+AO22+AO23+AO24+AO25+AO27)/T2),0)</f>
        <v/>
      </c>
      <c r="AY27" s="5">
        <f>IFERROR(ROUND(AO27/AQ27,2),0)</f>
        <v/>
      </c>
      <c r="AZ27" s="5">
        <f>IFERROR(ROUND(AO27/AR27,2),0)</f>
        <v/>
      </c>
      <c r="BA27" s="2" t="inlineStr">
        <is>
          <t>2023-10-04</t>
        </is>
      </c>
      <c r="BB27" s="5">
        <f>ROUND(4.2,2)</f>
        <v/>
      </c>
      <c r="BC27" s="3">
        <f>ROUND(317.0,2)</f>
        <v/>
      </c>
      <c r="BD27" s="3">
        <f>ROUND(15.0,2)</f>
        <v/>
      </c>
      <c r="BE27" s="3">
        <f>ROUND(13.0,2)</f>
        <v/>
      </c>
      <c r="BF27" s="3">
        <f>ROUND(13.0,2)</f>
        <v/>
      </c>
      <c r="BG27" s="3">
        <f>ROUND(5.0,2)</f>
        <v/>
      </c>
      <c r="BH27" s="3">
        <f>ROUND(4.0,2)</f>
        <v/>
      </c>
      <c r="BI27" s="3">
        <f>ROUND(4.0,2)</f>
        <v/>
      </c>
      <c r="BJ27" s="4">
        <f>IFERROR((BD27/BC27),0)</f>
        <v/>
      </c>
      <c r="BK27" s="4">
        <f>IFERROR(((0+BB11+BB12+BB13+BB14+BB15+BB16+BB17+BB19+BB20+BB21+BB22+BB23+BB24+BB25+BB27)/T2),0)</f>
        <v/>
      </c>
      <c r="BL27" s="5">
        <f>IFERROR(ROUND(BB27/BD27,2),0)</f>
        <v/>
      </c>
      <c r="BM27" s="5">
        <f>IFERROR(ROUND(BB27/BE27,2),0)</f>
        <v/>
      </c>
      <c r="BN27" s="2" t="inlineStr">
        <is>
          <t>2023-10-04</t>
        </is>
      </c>
      <c r="BO27" s="5">
        <f>ROUND(13.16,2)</f>
        <v/>
      </c>
      <c r="BP27" s="3">
        <f>ROUND(1401.0,2)</f>
        <v/>
      </c>
      <c r="BQ27" s="3">
        <f>ROUND(47.0,2)</f>
        <v/>
      </c>
      <c r="BR27" s="3">
        <f>ROUND(61.0,2)</f>
        <v/>
      </c>
      <c r="BS27" s="3">
        <f>ROUND(48.0,2)</f>
        <v/>
      </c>
      <c r="BT27" s="3">
        <f>ROUND(21.0,2)</f>
        <v/>
      </c>
      <c r="BU27" s="3">
        <f>ROUND(17.0,2)</f>
        <v/>
      </c>
      <c r="BV27" s="3">
        <f>ROUND(14.0,2)</f>
        <v/>
      </c>
      <c r="BW27" s="4">
        <f>IFERROR((BQ27/BP27),0)</f>
        <v/>
      </c>
      <c r="BX27" s="4">
        <f>IFERROR(((0+BO11+BO12+BO13+BO14+BO15+BO16+BO17+BO19+BO20+BO21+BO22+BO23+BO24+BO25+BO27)/T2),0)</f>
        <v/>
      </c>
      <c r="BY27" s="5">
        <f>IFERROR(ROUND(BO27/BQ27,2),0)</f>
        <v/>
      </c>
      <c r="BZ27" s="5">
        <f>IFERROR(ROUND(BO27/BR27,2),0)</f>
        <v/>
      </c>
      <c r="CA27" s="2" t="inlineStr">
        <is>
          <t>2023-10-04</t>
        </is>
      </c>
      <c r="CB27" s="5">
        <f>ROUND(0.0,2)</f>
        <v/>
      </c>
      <c r="CC27" s="3">
        <f>ROUND(64.0,2)</f>
        <v/>
      </c>
      <c r="CD27" s="3">
        <f>ROUND(0.0,2)</f>
        <v/>
      </c>
      <c r="CE27" s="3">
        <f>ROUND(2.0,2)</f>
        <v/>
      </c>
      <c r="CF27" s="3">
        <f>ROUND(2.0,2)</f>
        <v/>
      </c>
      <c r="CG27" s="3">
        <f>ROUND(1.0,2)</f>
        <v/>
      </c>
      <c r="CH27" s="3">
        <f>ROUND(0.0,2)</f>
        <v/>
      </c>
      <c r="CI27" s="3">
        <f>ROUND(0.0,2)</f>
        <v/>
      </c>
      <c r="CJ27" s="4">
        <f>IFERROR((CD27/CC27),0)</f>
        <v/>
      </c>
      <c r="CK27" s="4">
        <f>IFERROR(((0+CB11+CB12+CB13+CB14+CB15+CB16+CB17+CB19+CB20+CB21+CB22+CB23+CB24+CB25+CB27)/T2),0)</f>
        <v/>
      </c>
      <c r="CL27" s="5">
        <f>IFERROR(ROUND(CB27/CD27,2),0)</f>
        <v/>
      </c>
      <c r="CM27" s="5">
        <f>IFERROR(ROUND(CB27/CE27,2),0)</f>
        <v/>
      </c>
      <c r="CN27" s="2" t="inlineStr">
        <is>
          <t>2023-10-04</t>
        </is>
      </c>
      <c r="CO27" s="5">
        <f>ROUND(0.8400000000000001,2)</f>
        <v/>
      </c>
      <c r="CP27" s="3">
        <f>ROUND(192.0,2)</f>
        <v/>
      </c>
      <c r="CQ27" s="3">
        <f>ROUND(3.0,2)</f>
        <v/>
      </c>
      <c r="CR27" s="3">
        <f>ROUND(5.0,2)</f>
        <v/>
      </c>
      <c r="CS27" s="3">
        <f>ROUND(5.0,2)</f>
        <v/>
      </c>
      <c r="CT27" s="3">
        <f>ROUND(1.0,2)</f>
        <v/>
      </c>
      <c r="CU27" s="3">
        <f>ROUND(1.0,2)</f>
        <v/>
      </c>
      <c r="CV27" s="3">
        <f>ROUND(1.0,2)</f>
        <v/>
      </c>
      <c r="CW27" s="4">
        <f>IFERROR((CQ27/CP27),0)</f>
        <v/>
      </c>
      <c r="CX27" s="4">
        <f>IFERROR(((0+CO11+CO12+CO13+CO14+CO15+CO16+CO17+CO19+CO20+CO21+CO22+CO23+CO24+CO25+CO27)/T2),0)</f>
        <v/>
      </c>
      <c r="CY27" s="5">
        <f>IFERROR(ROUND(CO27/CQ27,2),0)</f>
        <v/>
      </c>
      <c r="CZ27" s="5">
        <f>IFERROR(ROUND(CO27/CR27,2),0)</f>
        <v/>
      </c>
      <c r="DA27" s="2" t="inlineStr">
        <is>
          <t>2023-10-04</t>
        </is>
      </c>
      <c r="DB27" s="5">
        <f>ROUND(0.0,2)</f>
        <v/>
      </c>
      <c r="DC27" s="3">
        <f>ROUND(17.0,2)</f>
        <v/>
      </c>
      <c r="DD27" s="3">
        <f>ROUND(0.0,2)</f>
        <v/>
      </c>
      <c r="DE27" s="3">
        <f>ROUND(0.0,2)</f>
        <v/>
      </c>
      <c r="DF27" s="3">
        <f>ROUND(0.0,2)</f>
        <v/>
      </c>
      <c r="DG27" s="3">
        <f>ROUND(0.0,2)</f>
        <v/>
      </c>
      <c r="DH27" s="3">
        <f>ROUND(0.0,2)</f>
        <v/>
      </c>
      <c r="DI27" s="3">
        <f>ROUND(0.0,2)</f>
        <v/>
      </c>
      <c r="DJ27" s="4">
        <f>IFERROR((DD27/DC27),0)</f>
        <v/>
      </c>
      <c r="DK27" s="4">
        <f>IFERROR(((0+DB11+DB12+DB13+DB14+DB15+DB16+DB17+DB19+DB20+DB21+DB22+DB23+DB24+DB25+DB27)/T2),0)</f>
        <v/>
      </c>
      <c r="DL27" s="5">
        <f>IFERROR(ROUND(DB27/DD27,2),0)</f>
        <v/>
      </c>
      <c r="DM27" s="5">
        <f>IFERROR(ROUND(DB27/DE27,2),0)</f>
        <v/>
      </c>
      <c r="DN27" s="2" t="inlineStr">
        <is>
          <t>2023-10-04</t>
        </is>
      </c>
      <c r="DO27" s="5">
        <f>ROUND(0.0,2)</f>
        <v/>
      </c>
      <c r="DP27" s="3">
        <f>ROUND(14.0,2)</f>
        <v/>
      </c>
      <c r="DQ27" s="3">
        <f>ROUND(0.0,2)</f>
        <v/>
      </c>
      <c r="DR27" s="3">
        <f>ROUND(0.0,2)</f>
        <v/>
      </c>
      <c r="DS27" s="3">
        <f>ROUND(0.0,2)</f>
        <v/>
      </c>
      <c r="DT27" s="3">
        <f>ROUND(0.0,2)</f>
        <v/>
      </c>
      <c r="DU27" s="3">
        <f>ROUND(0.0,2)</f>
        <v/>
      </c>
      <c r="DV27" s="3">
        <f>ROUND(0.0,2)</f>
        <v/>
      </c>
      <c r="DW27" s="4">
        <f>IFERROR((DQ27/DP27),0)</f>
        <v/>
      </c>
      <c r="DX27" s="4">
        <f>IFERROR(((0+DO11+DO12+DO13+DO14+DO15+DO16+DO17+DO19+DO20+DO21+DO22+DO23+DO24+DO25+DO27)/T2),0)</f>
        <v/>
      </c>
      <c r="DY27" s="5">
        <f>IFERROR(ROUND(DO27/DQ27,2),0)</f>
        <v/>
      </c>
      <c r="DZ27" s="5">
        <f>IFERROR(ROUND(DO27/DR27,2),0)</f>
        <v/>
      </c>
      <c r="EA27" s="2" t="inlineStr">
        <is>
          <t>2023-10-04</t>
        </is>
      </c>
      <c r="EB27" s="5">
        <f>ROUND(0.0,2)</f>
        <v/>
      </c>
      <c r="EC27" s="3">
        <f>ROUND(20.0,2)</f>
        <v/>
      </c>
      <c r="ED27" s="3">
        <f>ROUND(0.0,2)</f>
        <v/>
      </c>
      <c r="EE27" s="3">
        <f>ROUND(1.0,2)</f>
        <v/>
      </c>
      <c r="EF27" s="3">
        <f>ROUND(1.0,2)</f>
        <v/>
      </c>
      <c r="EG27" s="3">
        <f>ROUND(0.0,2)</f>
        <v/>
      </c>
      <c r="EH27" s="3">
        <f>ROUND(0.0,2)</f>
        <v/>
      </c>
      <c r="EI27" s="3">
        <f>ROUND(0.0,2)</f>
        <v/>
      </c>
      <c r="EJ27" s="4">
        <f>IFERROR((ED27/EC27),0)</f>
        <v/>
      </c>
      <c r="EK27" s="4">
        <f>IFERROR(((0+EB11+EB12+EB13+EB14+EB15+EB16+EB17+EB19+EB20+EB21+EB22+EB23+EB24+EB25+EB27)/T2),0)</f>
        <v/>
      </c>
      <c r="EL27" s="5">
        <f>IFERROR(ROUND(EB27/ED27,2),0)</f>
        <v/>
      </c>
      <c r="EM27" s="5">
        <f>IFERROR(ROUND(EB27/EE27,2),0)</f>
        <v/>
      </c>
      <c r="EN27" s="2" t="inlineStr">
        <is>
          <t>2023-10-04</t>
        </is>
      </c>
      <c r="EO27" s="5">
        <f>ROUND(3.08,2)</f>
        <v/>
      </c>
      <c r="EP27" s="3">
        <f>ROUND(196.0,2)</f>
        <v/>
      </c>
      <c r="EQ27" s="3">
        <f>ROUND(11.0,2)</f>
        <v/>
      </c>
      <c r="ER27" s="3">
        <f>ROUND(36.0,2)</f>
        <v/>
      </c>
      <c r="ES27" s="3">
        <f>ROUND(30.0,2)</f>
        <v/>
      </c>
      <c r="ET27" s="3">
        <f>ROUND(14.0,2)</f>
        <v/>
      </c>
      <c r="EU27" s="3">
        <f>ROUND(10.0,2)</f>
        <v/>
      </c>
      <c r="EV27" s="3">
        <f>ROUND(7.0,2)</f>
        <v/>
      </c>
      <c r="EW27" s="4">
        <f>IFERROR((EQ27/EP27),0)</f>
        <v/>
      </c>
      <c r="EX27" s="4">
        <f>IFERROR(((0+EO11+EO12+EO13+EO14+EO15+EO16+EO17+EO19+EO20+EO21+EO22+EO23+EO24+EO25+EO27)/T2),0)</f>
        <v/>
      </c>
      <c r="EY27" s="5">
        <f>IFERROR(ROUND(EO27/EQ27,2),0)</f>
        <v/>
      </c>
      <c r="EZ27" s="5">
        <f>IFERROR(ROUND(EO27/ER27,2),0)</f>
        <v/>
      </c>
      <c r="FA27" s="2" t="inlineStr">
        <is>
          <t>2023-10-04</t>
        </is>
      </c>
      <c r="FB27" s="5">
        <f>ROUND(2.8000000000000003,2)</f>
        <v/>
      </c>
      <c r="FC27" s="3">
        <f>ROUND(266.0,2)</f>
        <v/>
      </c>
      <c r="FD27" s="3">
        <f>ROUND(10.0,2)</f>
        <v/>
      </c>
      <c r="FE27" s="3">
        <f>ROUND(10.0,2)</f>
        <v/>
      </c>
      <c r="FF27" s="3">
        <f>ROUND(8.0,2)</f>
        <v/>
      </c>
      <c r="FG27" s="3">
        <f>ROUND(3.0,2)</f>
        <v/>
      </c>
      <c r="FH27" s="3">
        <f>ROUND(2.0,2)</f>
        <v/>
      </c>
      <c r="FI27" s="3">
        <f>ROUND(1.0,2)</f>
        <v/>
      </c>
      <c r="FJ27" s="4">
        <f>IFERROR((FD27/FC27),0)</f>
        <v/>
      </c>
      <c r="FK27" s="4">
        <f>IFERROR(((0+FB11+FB12+FB13+FB14+FB15+FB16+FB17+FB19+FB20+FB21+FB22+FB23+FB24+FB25+FB27)/T2),0)</f>
        <v/>
      </c>
      <c r="FL27" s="5">
        <f>IFERROR(ROUND(FB27/FD27,2),0)</f>
        <v/>
      </c>
      <c r="FM27" s="5">
        <f>IFERROR(ROUND(FB27/FE27,2),0)</f>
        <v/>
      </c>
      <c r="FN27" s="2" t="inlineStr">
        <is>
          <t>2023-10-04</t>
        </is>
      </c>
      <c r="FO27" s="5">
        <f>ROUND(1.4000000000000001,2)</f>
        <v/>
      </c>
      <c r="FP27" s="3">
        <f>ROUND(134.0,2)</f>
        <v/>
      </c>
      <c r="FQ27" s="3">
        <f>ROUND(5.0,2)</f>
        <v/>
      </c>
      <c r="FR27" s="3">
        <f>ROUND(17.0,2)</f>
        <v/>
      </c>
      <c r="FS27" s="3">
        <f>ROUND(16.0,2)</f>
        <v/>
      </c>
      <c r="FT27" s="3">
        <f>ROUND(7.0,2)</f>
        <v/>
      </c>
      <c r="FU27" s="3">
        <f>ROUND(4.0,2)</f>
        <v/>
      </c>
      <c r="FV27" s="3">
        <f>ROUND(3.0,2)</f>
        <v/>
      </c>
      <c r="FW27" s="4">
        <f>IFERROR((FQ27/FP27),0)</f>
        <v/>
      </c>
      <c r="FX27" s="4">
        <f>IFERROR(((0+FO11+FO12+FO13+FO14+FO15+FO16+FO17+FO19+FO20+FO21+FO22+FO23+FO24+FO25+FO27)/T2),0)</f>
        <v/>
      </c>
      <c r="FY27" s="5">
        <f>IFERROR(ROUND(FO27/FQ27,2),0)</f>
        <v/>
      </c>
      <c r="FZ27" s="5">
        <f>IFERROR(ROUND(FO27/FR27,2),0)</f>
        <v/>
      </c>
      <c r="GA27" s="2" t="inlineStr">
        <is>
          <t>2023-10-04</t>
        </is>
      </c>
      <c r="GB27" s="5">
        <f>ROUND(1.9600000000000002,2)</f>
        <v/>
      </c>
      <c r="GC27" s="3">
        <f>ROUND(314.0,2)</f>
        <v/>
      </c>
      <c r="GD27" s="3">
        <f>ROUND(7.0,2)</f>
        <v/>
      </c>
      <c r="GE27" s="3">
        <f>ROUND(42.0,2)</f>
        <v/>
      </c>
      <c r="GF27" s="3">
        <f>ROUND(36.0,2)</f>
        <v/>
      </c>
      <c r="GG27" s="3">
        <f>ROUND(15.0,2)</f>
        <v/>
      </c>
      <c r="GH27" s="3">
        <f>ROUND(9.0,2)</f>
        <v/>
      </c>
      <c r="GI27" s="3">
        <f>ROUND(5.0,2)</f>
        <v/>
      </c>
      <c r="GJ27" s="4">
        <f>IFERROR((GD27/GC27),0)</f>
        <v/>
      </c>
      <c r="GK27" s="4">
        <f>IFERROR(((0+GB11+GB12+GB13+GB14+GB15+GB16+GB17+GB19+GB20+GB21+GB22+GB23+GB24+GB25+GB27)/T2),0)</f>
        <v/>
      </c>
      <c r="GL27" s="5">
        <f>IFERROR(ROUND(GB27/GD27,2),0)</f>
        <v/>
      </c>
      <c r="GM27" s="5">
        <f>IFERROR(ROUND(GB27/GE27,2),0)</f>
        <v/>
      </c>
      <c r="GN27" s="2" t="inlineStr">
        <is>
          <t>2023-10-04</t>
        </is>
      </c>
      <c r="GO27" s="5">
        <f>ROUND(1.12,2)</f>
        <v/>
      </c>
      <c r="GP27" s="3">
        <f>ROUND(41.0,2)</f>
        <v/>
      </c>
      <c r="GQ27" s="3">
        <f>ROUND(4.0,2)</f>
        <v/>
      </c>
      <c r="GR27" s="3">
        <f>ROUND(2.0,2)</f>
        <v/>
      </c>
      <c r="GS27" s="3">
        <f>ROUND(2.0,2)</f>
        <v/>
      </c>
      <c r="GT27" s="3">
        <f>ROUND(1.0,2)</f>
        <v/>
      </c>
      <c r="GU27" s="3">
        <f>ROUND(1.0,2)</f>
        <v/>
      </c>
      <c r="GV27" s="3">
        <f>ROUND(1.0,2)</f>
        <v/>
      </c>
      <c r="GW27" s="4">
        <f>IFERROR((GQ27/GP27),0)</f>
        <v/>
      </c>
      <c r="GX27" s="4">
        <f>IFERROR(((0+GO11+GO12+GO13+GO14+GO15+GO16+GO17+GO19+GO20+GO21+GO22+GO23+GO24+GO25+GO27)/T2),0)</f>
        <v/>
      </c>
      <c r="GY27" s="5">
        <f>IFERROR(ROUND(GO27/GQ27,2),0)</f>
        <v/>
      </c>
      <c r="GZ27" s="5">
        <f>IFERROR(ROUND(GO27/GR27,2),0)</f>
        <v/>
      </c>
      <c r="HA27" s="2" t="inlineStr">
        <is>
          <t>2023-10-04</t>
        </is>
      </c>
      <c r="HB27" s="5">
        <f>ROUND(0.56,2)</f>
        <v/>
      </c>
      <c r="HC27" s="3">
        <f>ROUND(209.0,2)</f>
        <v/>
      </c>
      <c r="HD27" s="3">
        <f>ROUND(2.0,2)</f>
        <v/>
      </c>
      <c r="HE27" s="3">
        <f>ROUND(4.0,2)</f>
        <v/>
      </c>
      <c r="HF27" s="3">
        <f>ROUND(3.0,2)</f>
        <v/>
      </c>
      <c r="HG27" s="3">
        <f>ROUND(2.0,2)</f>
        <v/>
      </c>
      <c r="HH27" s="3">
        <f>ROUND(2.0,2)</f>
        <v/>
      </c>
      <c r="HI27" s="3">
        <f>ROUND(2.0,2)</f>
        <v/>
      </c>
      <c r="HJ27" s="4">
        <f>IFERROR((HD27/HC27),0)</f>
        <v/>
      </c>
      <c r="HK27" s="4">
        <f>IFERROR(((0+HB11+HB12+HB13+HB14+HB15+HB16+HB17+HB19+HB20+HB21+HB22+HB23+HB24+HB25+HB27)/T2),0)</f>
        <v/>
      </c>
      <c r="HL27" s="5">
        <f>IFERROR(ROUND(HB27/HD27,2),0)</f>
        <v/>
      </c>
      <c r="HM27" s="5">
        <f>IFERROR(ROUND(HB27/HE27,2),0)</f>
        <v/>
      </c>
      <c r="HN27" s="2" t="inlineStr">
        <is>
          <t>2023-10-04</t>
        </is>
      </c>
      <c r="HO27" s="5">
        <f>ROUND(1.4000000000000001,2)</f>
        <v/>
      </c>
      <c r="HP27" s="3">
        <f>ROUND(93.0,2)</f>
        <v/>
      </c>
      <c r="HQ27" s="3">
        <f>ROUND(5.0,2)</f>
        <v/>
      </c>
      <c r="HR27" s="3">
        <f>ROUND(7.0,2)</f>
        <v/>
      </c>
      <c r="HS27" s="3">
        <f>ROUND(6.0,2)</f>
        <v/>
      </c>
      <c r="HT27" s="3">
        <f>ROUND(3.0,2)</f>
        <v/>
      </c>
      <c r="HU27" s="3">
        <f>ROUND(2.0,2)</f>
        <v/>
      </c>
      <c r="HV27" s="3">
        <f>ROUND(1.0,2)</f>
        <v/>
      </c>
      <c r="HW27" s="4">
        <f>IFERROR((HQ27/HP27),0)</f>
        <v/>
      </c>
      <c r="HX27" s="4">
        <f>IFERROR(((0+HO11+HO12+HO13+HO14+HO15+HO16+HO17+HO19+HO20+HO21+HO22+HO23+HO24+HO25+HO27)/T2),0)</f>
        <v/>
      </c>
      <c r="HY27" s="5">
        <f>IFERROR(ROUND(HO27/HQ27,2),0)</f>
        <v/>
      </c>
      <c r="HZ27" s="5">
        <f>IFERROR(ROUND(HO27/HR27,2),0)</f>
        <v/>
      </c>
      <c r="IA27" s="2" t="inlineStr">
        <is>
          <t>2023-10-04</t>
        </is>
      </c>
      <c r="IB27" s="5">
        <f>ROUND(1.9600000000000002,2)</f>
        <v/>
      </c>
      <c r="IC27" s="3">
        <f>ROUND(150.0,2)</f>
        <v/>
      </c>
      <c r="ID27" s="3">
        <f>ROUND(7.0,2)</f>
        <v/>
      </c>
      <c r="IE27" s="3">
        <f>ROUND(6.0,2)</f>
        <v/>
      </c>
      <c r="IF27" s="3">
        <f>ROUND(5.0,2)</f>
        <v/>
      </c>
      <c r="IG27" s="3">
        <f>ROUND(3.0,2)</f>
        <v/>
      </c>
      <c r="IH27" s="3">
        <f>ROUND(3.0,2)</f>
        <v/>
      </c>
      <c r="II27" s="3">
        <f>ROUND(3.0,2)</f>
        <v/>
      </c>
      <c r="IJ27" s="4">
        <f>IFERROR((ID27/IC27),0)</f>
        <v/>
      </c>
      <c r="IK27" s="4">
        <f>IFERROR(((0+IB11+IB12+IB13+IB14+IB15+IB16+IB17+IB19+IB20+IB21+IB22+IB23+IB24+IB25+IB27)/T2),0)</f>
        <v/>
      </c>
      <c r="IL27" s="5">
        <f>IFERROR(ROUND(IB27/ID27,2),0)</f>
        <v/>
      </c>
      <c r="IM27" s="5">
        <f>IFERROR(ROUND(IB27/IE27,2),0)</f>
        <v/>
      </c>
      <c r="IN27" s="2" t="inlineStr">
        <is>
          <t>2023-10-04</t>
        </is>
      </c>
      <c r="IO27" s="5">
        <f>ROUND(0.8400000000000001,2)</f>
        <v/>
      </c>
      <c r="IP27" s="3">
        <f>ROUND(136.0,2)</f>
        <v/>
      </c>
      <c r="IQ27" s="3">
        <f>ROUND(3.0,2)</f>
        <v/>
      </c>
      <c r="IR27" s="3">
        <f>ROUND(9.0,2)</f>
        <v/>
      </c>
      <c r="IS27" s="3">
        <f>ROUND(5.0,2)</f>
        <v/>
      </c>
      <c r="IT27" s="3">
        <f>ROUND(4.0,2)</f>
        <v/>
      </c>
      <c r="IU27" s="3">
        <f>ROUND(3.0,2)</f>
        <v/>
      </c>
      <c r="IV27" s="3">
        <f>ROUND(3.0,2)</f>
        <v/>
      </c>
      <c r="IW27" s="4">
        <f>IFERROR((IQ27/IP27),0)</f>
        <v/>
      </c>
      <c r="IX27" s="4">
        <f>IFERROR(((0+IO11+IO12+IO13+IO14+IO15+IO16+IO17+IO19+IO20+IO21+IO22+IO23+IO24+IO25+IO27)/T2),0)</f>
        <v/>
      </c>
      <c r="IY27" s="5">
        <f>IFERROR(ROUND(IO27/IQ27,2),0)</f>
        <v/>
      </c>
      <c r="IZ27" s="5">
        <f>IFERROR(ROUND(IO27/IR27,2),0)</f>
        <v/>
      </c>
      <c r="JA27" s="2" t="inlineStr">
        <is>
          <t>2023-10-04</t>
        </is>
      </c>
      <c r="JB27" s="5">
        <f>ROUND(0.0,2)</f>
        <v/>
      </c>
      <c r="JC27" s="3">
        <f>ROUND(12.0,2)</f>
        <v/>
      </c>
      <c r="JD27" s="3">
        <f>ROUND(0.0,2)</f>
        <v/>
      </c>
      <c r="JE27" s="3">
        <f>ROUND(3.0,2)</f>
        <v/>
      </c>
      <c r="JF27" s="3">
        <f>ROUND(3.0,2)</f>
        <v/>
      </c>
      <c r="JG27" s="3">
        <f>ROUND(2.0,2)</f>
        <v/>
      </c>
      <c r="JH27" s="3">
        <f>ROUND(2.0,2)</f>
        <v/>
      </c>
      <c r="JI27" s="3">
        <f>ROUND(1.0,2)</f>
        <v/>
      </c>
      <c r="JJ27" s="4">
        <f>IFERROR((JD27/JC27),0)</f>
        <v/>
      </c>
      <c r="JK27" s="4">
        <f>IFERROR(((0+JB11+JB12+JB13+JB14+JB15+JB16+JB17+JB19+JB20+JB21+JB22+JB23+JB24+JB25+JB27)/T2),0)</f>
        <v/>
      </c>
      <c r="JL27" s="5">
        <f>IFERROR(ROUND(JB27/JD27,2),0)</f>
        <v/>
      </c>
      <c r="JM27" s="5">
        <f>IFERROR(ROUND(JB27/JE27,2),0)</f>
        <v/>
      </c>
    </row>
    <row r="28">
      <c r="A28" s="2" t="inlineStr">
        <is>
          <t>2023-10-05</t>
        </is>
      </c>
      <c r="B28" s="5">
        <f>ROUND(11.200000000000001,2)</f>
        <v/>
      </c>
      <c r="C28" s="3">
        <f>ROUND(1904.0,2)</f>
        <v/>
      </c>
      <c r="D28" s="3">
        <f>ROUND(40.0,2)</f>
        <v/>
      </c>
      <c r="E28" s="3">
        <f>ROUND(193.0,2)</f>
        <v/>
      </c>
      <c r="F28" s="3">
        <f>ROUND(172.0,2)</f>
        <v/>
      </c>
      <c r="G28" s="3">
        <f>ROUND(86.0,2)</f>
        <v/>
      </c>
      <c r="H28" s="3">
        <f>ROUND(62.0,2)</f>
        <v/>
      </c>
      <c r="I28" s="3">
        <f>ROUND(48.0,2)</f>
        <v/>
      </c>
      <c r="J28" s="4">
        <f>IFERROR((D28/C28),0)</f>
        <v/>
      </c>
      <c r="K28" s="4">
        <f>IFERROR(((0+B11+B12+B13+B14+B15+B16+B17+B19+B20+B21+B22+B23+B24+B25+B27+B28)/T2),0)</f>
        <v/>
      </c>
      <c r="L28" s="5">
        <f>IFERROR(ROUND(B28/D28,2),0)</f>
        <v/>
      </c>
      <c r="M28" s="5">
        <f>IFERROR(ROUND(B28/E28,2),0)</f>
        <v/>
      </c>
      <c r="N28" s="2" t="inlineStr">
        <is>
          <t>2023-10-05</t>
        </is>
      </c>
      <c r="O28" s="5">
        <f>ROUND(0.28,2)</f>
        <v/>
      </c>
      <c r="P28" s="3">
        <f>ROUND(36.0,2)</f>
        <v/>
      </c>
      <c r="Q28" s="3">
        <f>ROUND(1.0,2)</f>
        <v/>
      </c>
      <c r="R28" s="3">
        <f>ROUND(3.0,2)</f>
        <v/>
      </c>
      <c r="S28" s="3">
        <f>ROUND(3.0,2)</f>
        <v/>
      </c>
      <c r="T28" s="3">
        <f>ROUND(1.0,2)</f>
        <v/>
      </c>
      <c r="U28" s="3">
        <f>ROUND(1.0,2)</f>
        <v/>
      </c>
      <c r="V28" s="3">
        <f>ROUND(0.0,2)</f>
        <v/>
      </c>
      <c r="W28" s="4">
        <f>IFERROR((Q28/P28),0)</f>
        <v/>
      </c>
      <c r="X28" s="4">
        <f>IFERROR(((0+O11+O12+O13+O14+O15+O16+O17+O19+O20+O21+O22+O23+O24+O25+O27+O28)/T2),0)</f>
        <v/>
      </c>
      <c r="Y28" s="5">
        <f>IFERROR(ROUND(O28/Q28,2),0)</f>
        <v/>
      </c>
      <c r="Z28" s="5">
        <f>IFERROR(ROUND(O28/R28,2),0)</f>
        <v/>
      </c>
      <c r="AA28" s="2" t="inlineStr">
        <is>
          <t>2023-10-05</t>
        </is>
      </c>
      <c r="AB28" s="5">
        <f>ROUND(0.0,2)</f>
        <v/>
      </c>
      <c r="AC28" s="3">
        <f>ROUND(3.0,2)</f>
        <v/>
      </c>
      <c r="AD28" s="3">
        <f>ROUND(0.0,2)</f>
        <v/>
      </c>
      <c r="AE28" s="3">
        <f>ROUND(0.0,2)</f>
        <v/>
      </c>
      <c r="AF28" s="3">
        <f>ROUND(0.0,2)</f>
        <v/>
      </c>
      <c r="AG28" s="3">
        <f>ROUND(0.0,2)</f>
        <v/>
      </c>
      <c r="AH28" s="3">
        <f>ROUND(0.0,2)</f>
        <v/>
      </c>
      <c r="AI28" s="3">
        <f>ROUND(0.0,2)</f>
        <v/>
      </c>
      <c r="AJ28" s="4">
        <f>IFERROR((AD28/AC28),0)</f>
        <v/>
      </c>
      <c r="AK28" s="4">
        <f>IFERROR(((0+AB11+AB12+AB13+AB14+AB15+AB16+AB17+AB19+AB20+AB21+AB22+AB23+AB24+AB25+AB27+AB28)/T2),0)</f>
        <v/>
      </c>
      <c r="AL28" s="5">
        <f>IFERROR(ROUND(AB28/AD28,2),0)</f>
        <v/>
      </c>
      <c r="AM28" s="5">
        <f>IFERROR(ROUND(AB28/AE28,2),0)</f>
        <v/>
      </c>
      <c r="AN28" s="2" t="inlineStr">
        <is>
          <t>2023-10-05</t>
        </is>
      </c>
      <c r="AO28" s="5">
        <f>ROUND(0.0,2)</f>
        <v/>
      </c>
      <c r="AP28" s="3">
        <f>ROUND(2.0,2)</f>
        <v/>
      </c>
      <c r="AQ28" s="3">
        <f>ROUND(0.0,2)</f>
        <v/>
      </c>
      <c r="AR28" s="3">
        <f>ROUND(1.0,2)</f>
        <v/>
      </c>
      <c r="AS28" s="3">
        <f>ROUND(1.0,2)</f>
        <v/>
      </c>
      <c r="AT28" s="3">
        <f>ROUND(1.0,2)</f>
        <v/>
      </c>
      <c r="AU28" s="3">
        <f>ROUND(1.0,2)</f>
        <v/>
      </c>
      <c r="AV28" s="3">
        <f>ROUND(1.0,2)</f>
        <v/>
      </c>
      <c r="AW28" s="4">
        <f>IFERROR((AQ28/AP28),0)</f>
        <v/>
      </c>
      <c r="AX28" s="4">
        <f>IFERROR(((0+AO11+AO12+AO13+AO14+AO15+AO16+AO17+AO19+AO20+AO21+AO22+AO23+AO24+AO25+AO27+AO28)/T2),0)</f>
        <v/>
      </c>
      <c r="AY28" s="5">
        <f>IFERROR(ROUND(AO28/AQ28,2),0)</f>
        <v/>
      </c>
      <c r="AZ28" s="5">
        <f>IFERROR(ROUND(AO28/AR28,2),0)</f>
        <v/>
      </c>
      <c r="BA28" s="2" t="inlineStr">
        <is>
          <t>2023-10-05</t>
        </is>
      </c>
      <c r="BB28" s="5">
        <f>ROUND(0.28,2)</f>
        <v/>
      </c>
      <c r="BC28" s="3">
        <f>ROUND(3.0,2)</f>
        <v/>
      </c>
      <c r="BD28" s="3">
        <f>ROUND(1.0,2)</f>
        <v/>
      </c>
      <c r="BE28" s="3">
        <f>ROUND(1.0,2)</f>
        <v/>
      </c>
      <c r="BF28" s="3">
        <f>ROUND(1.0,2)</f>
        <v/>
      </c>
      <c r="BG28" s="3">
        <f>ROUND(1.0,2)</f>
        <v/>
      </c>
      <c r="BH28" s="3">
        <f>ROUND(1.0,2)</f>
        <v/>
      </c>
      <c r="BI28" s="3">
        <f>ROUND(1.0,2)</f>
        <v/>
      </c>
      <c r="BJ28" s="4">
        <f>IFERROR((BD28/BC28),0)</f>
        <v/>
      </c>
      <c r="BK28" s="4">
        <f>IFERROR(((0+BB11+BB12+BB13+BB14+BB15+BB16+BB17+BB19+BB20+BB21+BB22+BB23+BB24+BB25+BB27+BB28)/T2),0)</f>
        <v/>
      </c>
      <c r="BL28" s="5">
        <f>IFERROR(ROUND(BB28/BD28,2),0)</f>
        <v/>
      </c>
      <c r="BM28" s="5">
        <f>IFERROR(ROUND(BB28/BE28,2),0)</f>
        <v/>
      </c>
      <c r="BN28" s="2" t="inlineStr">
        <is>
          <t>2023-10-05</t>
        </is>
      </c>
      <c r="BO28" s="5">
        <f>ROUND(2.24,2)</f>
        <v/>
      </c>
      <c r="BP28" s="3">
        <f>ROUND(224.0,2)</f>
        <v/>
      </c>
      <c r="BQ28" s="3">
        <f>ROUND(8.0,2)</f>
        <v/>
      </c>
      <c r="BR28" s="3">
        <f>ROUND(37.0,2)</f>
        <v/>
      </c>
      <c r="BS28" s="3">
        <f>ROUND(31.0,2)</f>
        <v/>
      </c>
      <c r="BT28" s="3">
        <f>ROUND(13.0,2)</f>
        <v/>
      </c>
      <c r="BU28" s="3">
        <f>ROUND(9.0,2)</f>
        <v/>
      </c>
      <c r="BV28" s="3">
        <f>ROUND(6.0,2)</f>
        <v/>
      </c>
      <c r="BW28" s="4">
        <f>IFERROR((BQ28/BP28),0)</f>
        <v/>
      </c>
      <c r="BX28" s="4">
        <f>IFERROR(((0+BO11+BO12+BO13+BO14+BO15+BO16+BO17+BO19+BO20+BO21+BO22+BO23+BO24+BO25+BO27+BO28)/T2),0)</f>
        <v/>
      </c>
      <c r="BY28" s="5">
        <f>IFERROR(ROUND(BO28/BQ28,2),0)</f>
        <v/>
      </c>
      <c r="BZ28" s="5">
        <f>IFERROR(ROUND(BO28/BR28,2),0)</f>
        <v/>
      </c>
      <c r="CA28" s="2" t="inlineStr">
        <is>
          <t>2023-10-05</t>
        </is>
      </c>
      <c r="CB28" s="5">
        <f>ROUND(0.0,2)</f>
        <v/>
      </c>
      <c r="CC28" s="3">
        <f>ROUND(4.0,2)</f>
        <v/>
      </c>
      <c r="CD28" s="3">
        <f>ROUND(0.0,2)</f>
        <v/>
      </c>
      <c r="CE28" s="3">
        <f>ROUND(0.0,2)</f>
        <v/>
      </c>
      <c r="CF28" s="3">
        <f>ROUND(0.0,2)</f>
        <v/>
      </c>
      <c r="CG28" s="3">
        <f>ROUND(0.0,2)</f>
        <v/>
      </c>
      <c r="CH28" s="3">
        <f>ROUND(0.0,2)</f>
        <v/>
      </c>
      <c r="CI28" s="3">
        <f>ROUND(0.0,2)</f>
        <v/>
      </c>
      <c r="CJ28" s="4">
        <f>IFERROR((CD28/CC28),0)</f>
        <v/>
      </c>
      <c r="CK28" s="4">
        <f>IFERROR(((0+CB11+CB12+CB13+CB14+CB15+CB16+CB17+CB19+CB20+CB21+CB22+CB23+CB24+CB25+CB27+CB28)/T2),0)</f>
        <v/>
      </c>
      <c r="CL28" s="5">
        <f>IFERROR(ROUND(CB28/CD28,2),0)</f>
        <v/>
      </c>
      <c r="CM28" s="5">
        <f>IFERROR(ROUND(CB28/CE28,2),0)</f>
        <v/>
      </c>
      <c r="CN28" s="2" t="inlineStr">
        <is>
          <t>2023-10-05</t>
        </is>
      </c>
      <c r="CO28" s="5">
        <f>ROUND(0.28,2)</f>
        <v/>
      </c>
      <c r="CP28" s="3">
        <f>ROUND(64.0,2)</f>
        <v/>
      </c>
      <c r="CQ28" s="3">
        <f>ROUND(1.0,2)</f>
        <v/>
      </c>
      <c r="CR28" s="3">
        <f>ROUND(7.0,2)</f>
        <v/>
      </c>
      <c r="CS28" s="3">
        <f>ROUND(6.0,2)</f>
        <v/>
      </c>
      <c r="CT28" s="3">
        <f>ROUND(2.0,2)</f>
        <v/>
      </c>
      <c r="CU28" s="3">
        <f>ROUND(1.0,2)</f>
        <v/>
      </c>
      <c r="CV28" s="3">
        <f>ROUND(1.0,2)</f>
        <v/>
      </c>
      <c r="CW28" s="4">
        <f>IFERROR((CQ28/CP28),0)</f>
        <v/>
      </c>
      <c r="CX28" s="4">
        <f>IFERROR(((0+CO11+CO12+CO13+CO14+CO15+CO16+CO17+CO19+CO20+CO21+CO22+CO23+CO24+CO25+CO27+CO28)/T2),0)</f>
        <v/>
      </c>
      <c r="CY28" s="5">
        <f>IFERROR(ROUND(CO28/CQ28,2),0)</f>
        <v/>
      </c>
      <c r="CZ28" s="5">
        <f>IFERROR(ROUND(CO28/CR28,2),0)</f>
        <v/>
      </c>
      <c r="DA28" s="2" t="inlineStr">
        <is>
          <t>2023-10-05</t>
        </is>
      </c>
      <c r="DB28" s="5">
        <f>ROUND(0.0,2)</f>
        <v/>
      </c>
      <c r="DC28" s="3">
        <f>ROUND(11.0,2)</f>
        <v/>
      </c>
      <c r="DD28" s="3">
        <f>ROUND(0.0,2)</f>
        <v/>
      </c>
      <c r="DE28" s="3">
        <f>ROUND(4.0,2)</f>
        <v/>
      </c>
      <c r="DF28" s="3">
        <f>ROUND(4.0,2)</f>
        <v/>
      </c>
      <c r="DG28" s="3">
        <f>ROUND(2.0,2)</f>
        <v/>
      </c>
      <c r="DH28" s="3">
        <f>ROUND(2.0,2)</f>
        <v/>
      </c>
      <c r="DI28" s="3">
        <f>ROUND(2.0,2)</f>
        <v/>
      </c>
      <c r="DJ28" s="4">
        <f>IFERROR((DD28/DC28),0)</f>
        <v/>
      </c>
      <c r="DK28" s="4">
        <f>IFERROR(((0+DB11+DB12+DB13+DB14+DB15+DB16+DB17+DB19+DB20+DB21+DB22+DB23+DB24+DB25+DB27+DB28)/T2),0)</f>
        <v/>
      </c>
      <c r="DL28" s="5">
        <f>IFERROR(ROUND(DB28/DD28,2),0)</f>
        <v/>
      </c>
      <c r="DM28" s="5">
        <f>IFERROR(ROUND(DB28/DE28,2),0)</f>
        <v/>
      </c>
      <c r="DN28" s="2" t="inlineStr">
        <is>
          <t>2023-10-05</t>
        </is>
      </c>
      <c r="DO28" s="5">
        <f>ROUND(0.0,2)</f>
        <v/>
      </c>
      <c r="DP28" s="3">
        <f>ROUND(5.0,2)</f>
        <v/>
      </c>
      <c r="DQ28" s="3">
        <f>ROUND(0.0,2)</f>
        <v/>
      </c>
      <c r="DR28" s="3">
        <f>ROUND(0.0,2)</f>
        <v/>
      </c>
      <c r="DS28" s="3">
        <f>ROUND(0.0,2)</f>
        <v/>
      </c>
      <c r="DT28" s="3">
        <f>ROUND(0.0,2)</f>
        <v/>
      </c>
      <c r="DU28" s="3">
        <f>ROUND(0.0,2)</f>
        <v/>
      </c>
      <c r="DV28" s="3">
        <f>ROUND(0.0,2)</f>
        <v/>
      </c>
      <c r="DW28" s="4">
        <f>IFERROR((DQ28/DP28),0)</f>
        <v/>
      </c>
      <c r="DX28" s="4">
        <f>IFERROR(((0+DO11+DO12+DO13+DO14+DO15+DO16+DO17+DO19+DO20+DO21+DO22+DO23+DO24+DO25+DO27+DO28)/T2),0)</f>
        <v/>
      </c>
      <c r="DY28" s="5">
        <f>IFERROR(ROUND(DO28/DQ28,2),0)</f>
        <v/>
      </c>
      <c r="DZ28" s="5">
        <f>IFERROR(ROUND(DO28/DR28,2),0)</f>
        <v/>
      </c>
      <c r="EA28" s="2" t="inlineStr">
        <is>
          <t>2023-10-05</t>
        </is>
      </c>
      <c r="EB28" s="5">
        <f>ROUND(0.0,2)</f>
        <v/>
      </c>
      <c r="EC28" s="3">
        <f>ROUND(2.0,2)</f>
        <v/>
      </c>
      <c r="ED28" s="3">
        <f>ROUND(0.0,2)</f>
        <v/>
      </c>
      <c r="EE28" s="3">
        <f>ROUND(0.0,2)</f>
        <v/>
      </c>
      <c r="EF28" s="3">
        <f>ROUND(0.0,2)</f>
        <v/>
      </c>
      <c r="EG28" s="3">
        <f>ROUND(0.0,2)</f>
        <v/>
      </c>
      <c r="EH28" s="3">
        <f>ROUND(0.0,2)</f>
        <v/>
      </c>
      <c r="EI28" s="3">
        <f>ROUND(0.0,2)</f>
        <v/>
      </c>
      <c r="EJ28" s="4">
        <f>IFERROR((ED28/EC28),0)</f>
        <v/>
      </c>
      <c r="EK28" s="4">
        <f>IFERROR(((0+EB11+EB12+EB13+EB14+EB15+EB16+EB17+EB19+EB20+EB21+EB22+EB23+EB24+EB25+EB27+EB28)/T2),0)</f>
        <v/>
      </c>
      <c r="EL28" s="5">
        <f>IFERROR(ROUND(EB28/ED28,2),0)</f>
        <v/>
      </c>
      <c r="EM28" s="5">
        <f>IFERROR(ROUND(EB28/EE28,2),0)</f>
        <v/>
      </c>
      <c r="EN28" s="2" t="inlineStr">
        <is>
          <t>2023-10-05</t>
        </is>
      </c>
      <c r="EO28" s="5">
        <f>ROUND(1.12,2)</f>
        <v/>
      </c>
      <c r="EP28" s="3">
        <f>ROUND(112.0,2)</f>
        <v/>
      </c>
      <c r="EQ28" s="3">
        <f>ROUND(4.0,2)</f>
        <v/>
      </c>
      <c r="ER28" s="3">
        <f>ROUND(17.0,2)</f>
        <v/>
      </c>
      <c r="ES28" s="3">
        <f>ROUND(14.0,2)</f>
        <v/>
      </c>
      <c r="ET28" s="3">
        <f>ROUND(5.0,2)</f>
        <v/>
      </c>
      <c r="EU28" s="3">
        <f>ROUND(3.0,2)</f>
        <v/>
      </c>
      <c r="EV28" s="3">
        <f>ROUND(2.0,2)</f>
        <v/>
      </c>
      <c r="EW28" s="4">
        <f>IFERROR((EQ28/EP28),0)</f>
        <v/>
      </c>
      <c r="EX28" s="4">
        <f>IFERROR(((0+EO11+EO12+EO13+EO14+EO15+EO16+EO17+EO19+EO20+EO21+EO22+EO23+EO24+EO25+EO27+EO28)/T2),0)</f>
        <v/>
      </c>
      <c r="EY28" s="5">
        <f>IFERROR(ROUND(EO28/EQ28,2),0)</f>
        <v/>
      </c>
      <c r="EZ28" s="5">
        <f>IFERROR(ROUND(EO28/ER28,2),0)</f>
        <v/>
      </c>
      <c r="FA28" s="2" t="inlineStr">
        <is>
          <t>2023-10-05</t>
        </is>
      </c>
      <c r="FB28" s="5">
        <f>ROUND(1.6800000000000002,2)</f>
        <v/>
      </c>
      <c r="FC28" s="3">
        <f>ROUND(451.0,2)</f>
        <v/>
      </c>
      <c r="FD28" s="3">
        <f>ROUND(6.0,2)</f>
        <v/>
      </c>
      <c r="FE28" s="3">
        <f>ROUND(18.0,2)</f>
        <v/>
      </c>
      <c r="FF28" s="3">
        <f>ROUND(16.0,2)</f>
        <v/>
      </c>
      <c r="FG28" s="3">
        <f>ROUND(7.0,2)</f>
        <v/>
      </c>
      <c r="FH28" s="3">
        <f>ROUND(4.0,2)</f>
        <v/>
      </c>
      <c r="FI28" s="3">
        <f>ROUND(3.0,2)</f>
        <v/>
      </c>
      <c r="FJ28" s="4">
        <f>IFERROR((FD28/FC28),0)</f>
        <v/>
      </c>
      <c r="FK28" s="4">
        <f>IFERROR(((0+FB11+FB12+FB13+FB14+FB15+FB16+FB17+FB19+FB20+FB21+FB22+FB23+FB24+FB25+FB27+FB28)/T2),0)</f>
        <v/>
      </c>
      <c r="FL28" s="5">
        <f>IFERROR(ROUND(FB28/FD28,2),0)</f>
        <v/>
      </c>
      <c r="FM28" s="5">
        <f>IFERROR(ROUND(FB28/FE28,2),0)</f>
        <v/>
      </c>
      <c r="FN28" s="2" t="inlineStr">
        <is>
          <t>2023-10-05</t>
        </is>
      </c>
      <c r="FO28" s="5">
        <f>ROUND(0.56,2)</f>
        <v/>
      </c>
      <c r="FP28" s="3">
        <f>ROUND(116.0,2)</f>
        <v/>
      </c>
      <c r="FQ28" s="3">
        <f>ROUND(2.0,2)</f>
        <v/>
      </c>
      <c r="FR28" s="3">
        <f>ROUND(7.0,2)</f>
        <v/>
      </c>
      <c r="FS28" s="3">
        <f>ROUND(7.0,2)</f>
        <v/>
      </c>
      <c r="FT28" s="3">
        <f>ROUND(4.0,2)</f>
        <v/>
      </c>
      <c r="FU28" s="3">
        <f>ROUND(3.0,2)</f>
        <v/>
      </c>
      <c r="FV28" s="3">
        <f>ROUND(1.0,2)</f>
        <v/>
      </c>
      <c r="FW28" s="4">
        <f>IFERROR((FQ28/FP28),0)</f>
        <v/>
      </c>
      <c r="FX28" s="4">
        <f>IFERROR(((0+FO11+FO12+FO13+FO14+FO15+FO16+FO17+FO19+FO20+FO21+FO22+FO23+FO24+FO25+FO27+FO28)/T2),0)</f>
        <v/>
      </c>
      <c r="FY28" s="5">
        <f>IFERROR(ROUND(FO28/FQ28,2),0)</f>
        <v/>
      </c>
      <c r="FZ28" s="5">
        <f>IFERROR(ROUND(FO28/FR28,2),0)</f>
        <v/>
      </c>
      <c r="GA28" s="2" t="inlineStr">
        <is>
          <t>2023-10-05</t>
        </is>
      </c>
      <c r="GB28" s="5">
        <f>ROUND(2.5200000000000005,2)</f>
        <v/>
      </c>
      <c r="GC28" s="3">
        <f>ROUND(409.0,2)</f>
        <v/>
      </c>
      <c r="GD28" s="3">
        <f>ROUND(9.0,2)</f>
        <v/>
      </c>
      <c r="GE28" s="3">
        <f>ROUND(42.0,2)</f>
        <v/>
      </c>
      <c r="GF28" s="3">
        <f>ROUND(37.0,2)</f>
        <v/>
      </c>
      <c r="GG28" s="3">
        <f>ROUND(16.0,2)</f>
        <v/>
      </c>
      <c r="GH28" s="3">
        <f>ROUND(13.0,2)</f>
        <v/>
      </c>
      <c r="GI28" s="3">
        <f>ROUND(10.0,2)</f>
        <v/>
      </c>
      <c r="GJ28" s="4">
        <f>IFERROR((GD28/GC28),0)</f>
        <v/>
      </c>
      <c r="GK28" s="4">
        <f>IFERROR(((0+GB11+GB12+GB13+GB14+GB15+GB16+GB17+GB19+GB20+GB21+GB22+GB23+GB24+GB25+GB27+GB28)/T2),0)</f>
        <v/>
      </c>
      <c r="GL28" s="5">
        <f>IFERROR(ROUND(GB28/GD28,2),0)</f>
        <v/>
      </c>
      <c r="GM28" s="5">
        <f>IFERROR(ROUND(GB28/GE28,2),0)</f>
        <v/>
      </c>
      <c r="GN28" s="2" t="inlineStr">
        <is>
          <t>2023-10-05</t>
        </is>
      </c>
      <c r="GO28" s="5">
        <f>ROUND(0.28,2)</f>
        <v/>
      </c>
      <c r="GP28" s="3">
        <f>ROUND(50.0,2)</f>
        <v/>
      </c>
      <c r="GQ28" s="3">
        <f>ROUND(1.0,2)</f>
        <v/>
      </c>
      <c r="GR28" s="3">
        <f>ROUND(8.0,2)</f>
        <v/>
      </c>
      <c r="GS28" s="3">
        <f>ROUND(8.0,2)</f>
        <v/>
      </c>
      <c r="GT28" s="3">
        <f>ROUND(6.0,2)</f>
        <v/>
      </c>
      <c r="GU28" s="3">
        <f>ROUND(5.0,2)</f>
        <v/>
      </c>
      <c r="GV28" s="3">
        <f>ROUND(4.0,2)</f>
        <v/>
      </c>
      <c r="GW28" s="4">
        <f>IFERROR((GQ28/GP28),0)</f>
        <v/>
      </c>
      <c r="GX28" s="4">
        <f>IFERROR(((0+GO11+GO12+GO13+GO14+GO15+GO16+GO17+GO19+GO20+GO21+GO22+GO23+GO24+GO25+GO27+GO28)/T2),0)</f>
        <v/>
      </c>
      <c r="GY28" s="5">
        <f>IFERROR(ROUND(GO28/GQ28,2),0)</f>
        <v/>
      </c>
      <c r="GZ28" s="5">
        <f>IFERROR(ROUND(GO28/GR28,2),0)</f>
        <v/>
      </c>
      <c r="HA28" s="2" t="inlineStr">
        <is>
          <t>2023-10-05</t>
        </is>
      </c>
      <c r="HB28" s="5">
        <f>ROUND(0.0,2)</f>
        <v/>
      </c>
      <c r="HC28" s="3">
        <f>ROUND(72.0,2)</f>
        <v/>
      </c>
      <c r="HD28" s="3">
        <f>ROUND(0.0,2)</f>
        <v/>
      </c>
      <c r="HE28" s="3">
        <f>ROUND(8.0,2)</f>
        <v/>
      </c>
      <c r="HF28" s="3">
        <f>ROUND(7.0,2)</f>
        <v/>
      </c>
      <c r="HG28" s="3">
        <f>ROUND(5.0,2)</f>
        <v/>
      </c>
      <c r="HH28" s="3">
        <f>ROUND(3.0,2)</f>
        <v/>
      </c>
      <c r="HI28" s="3">
        <f>ROUND(3.0,2)</f>
        <v/>
      </c>
      <c r="HJ28" s="4">
        <f>IFERROR((HD28/HC28),0)</f>
        <v/>
      </c>
      <c r="HK28" s="4">
        <f>IFERROR(((0+HB11+HB12+HB13+HB14+HB15+HB16+HB17+HB19+HB20+HB21+HB22+HB23+HB24+HB25+HB27+HB28)/T2),0)</f>
        <v/>
      </c>
      <c r="HL28" s="5">
        <f>IFERROR(ROUND(HB28/HD28,2),0)</f>
        <v/>
      </c>
      <c r="HM28" s="5">
        <f>IFERROR(ROUND(HB28/HE28,2),0)</f>
        <v/>
      </c>
      <c r="HN28" s="2" t="inlineStr">
        <is>
          <t>2023-10-05</t>
        </is>
      </c>
      <c r="HO28" s="5">
        <f>ROUND(1.12,2)</f>
        <v/>
      </c>
      <c r="HP28" s="3">
        <f>ROUND(89.0,2)</f>
        <v/>
      </c>
      <c r="HQ28" s="3">
        <f>ROUND(4.0,2)</f>
        <v/>
      </c>
      <c r="HR28" s="3">
        <f>ROUND(10.0,2)</f>
        <v/>
      </c>
      <c r="HS28" s="3">
        <f>ROUND(10.0,2)</f>
        <v/>
      </c>
      <c r="HT28" s="3">
        <f>ROUND(6.0,2)</f>
        <v/>
      </c>
      <c r="HU28" s="3">
        <f>ROUND(3.0,2)</f>
        <v/>
      </c>
      <c r="HV28" s="3">
        <f>ROUND(3.0,2)</f>
        <v/>
      </c>
      <c r="HW28" s="4">
        <f>IFERROR((HQ28/HP28),0)</f>
        <v/>
      </c>
      <c r="HX28" s="4">
        <f>IFERROR(((0+HO11+HO12+HO13+HO14+HO15+HO16+HO17+HO19+HO20+HO21+HO22+HO23+HO24+HO25+HO27+HO28)/T2),0)</f>
        <v/>
      </c>
      <c r="HY28" s="5">
        <f>IFERROR(ROUND(HO28/HQ28,2),0)</f>
        <v/>
      </c>
      <c r="HZ28" s="5">
        <f>IFERROR(ROUND(HO28/HR28,2),0)</f>
        <v/>
      </c>
      <c r="IA28" s="2" t="inlineStr">
        <is>
          <t>2023-10-05</t>
        </is>
      </c>
      <c r="IB28" s="5">
        <f>ROUND(0.56,2)</f>
        <v/>
      </c>
      <c r="IC28" s="3">
        <f>ROUND(170.0,2)</f>
        <v/>
      </c>
      <c r="ID28" s="3">
        <f>ROUND(2.0,2)</f>
        <v/>
      </c>
      <c r="IE28" s="3">
        <f>ROUND(12.0,2)</f>
        <v/>
      </c>
      <c r="IF28" s="3">
        <f>ROUND(11.0,2)</f>
        <v/>
      </c>
      <c r="IG28" s="3">
        <f>ROUND(6.0,2)</f>
        <v/>
      </c>
      <c r="IH28" s="3">
        <f>ROUND(5.0,2)</f>
        <v/>
      </c>
      <c r="II28" s="3">
        <f>ROUND(3.0,2)</f>
        <v/>
      </c>
      <c r="IJ28" s="4">
        <f>IFERROR((ID28/IC28),0)</f>
        <v/>
      </c>
      <c r="IK28" s="4">
        <f>IFERROR(((0+IB11+IB12+IB13+IB14+IB15+IB16+IB17+IB19+IB20+IB21+IB22+IB23+IB24+IB25+IB27+IB28)/T2),0)</f>
        <v/>
      </c>
      <c r="IL28" s="5">
        <f>IFERROR(ROUND(IB28/ID28,2),0)</f>
        <v/>
      </c>
      <c r="IM28" s="5">
        <f>IFERROR(ROUND(IB28/IE28,2),0)</f>
        <v/>
      </c>
      <c r="IN28" s="2" t="inlineStr">
        <is>
          <t>2023-10-05</t>
        </is>
      </c>
      <c r="IO28" s="5">
        <f>ROUND(0.0,2)</f>
        <v/>
      </c>
      <c r="IP28" s="3">
        <f>ROUND(70.0,2)</f>
        <v/>
      </c>
      <c r="IQ28" s="3">
        <f>ROUND(0.0,2)</f>
        <v/>
      </c>
      <c r="IR28" s="3">
        <f>ROUND(17.0,2)</f>
        <v/>
      </c>
      <c r="IS28" s="3">
        <f>ROUND(15.0,2)</f>
        <v/>
      </c>
      <c r="IT28" s="3">
        <f>ROUND(10.0,2)</f>
        <v/>
      </c>
      <c r="IU28" s="3">
        <f>ROUND(8.0,2)</f>
        <v/>
      </c>
      <c r="IV28" s="3">
        <f>ROUND(8.0,2)</f>
        <v/>
      </c>
      <c r="IW28" s="4">
        <f>IFERROR((IQ28/IP28),0)</f>
        <v/>
      </c>
      <c r="IX28" s="4">
        <f>IFERROR(((0+IO11+IO12+IO13+IO14+IO15+IO16+IO17+IO19+IO20+IO21+IO22+IO23+IO24+IO25+IO27+IO28)/T2),0)</f>
        <v/>
      </c>
      <c r="IY28" s="5">
        <f>IFERROR(ROUND(IO28/IQ28,2),0)</f>
        <v/>
      </c>
      <c r="IZ28" s="5">
        <f>IFERROR(ROUND(IO28/IR28,2),0)</f>
        <v/>
      </c>
      <c r="JA28" s="2" t="inlineStr">
        <is>
          <t>2023-10-05</t>
        </is>
      </c>
      <c r="JB28" s="5">
        <f>ROUND(0.28,2)</f>
        <v/>
      </c>
      <c r="JC28" s="3">
        <f>ROUND(11.0,2)</f>
        <v/>
      </c>
      <c r="JD28" s="3">
        <f>ROUND(1.0,2)</f>
        <v/>
      </c>
      <c r="JE28" s="3">
        <f>ROUND(1.0,2)</f>
        <v/>
      </c>
      <c r="JF28" s="3">
        <f>ROUND(1.0,2)</f>
        <v/>
      </c>
      <c r="JG28" s="3">
        <f>ROUND(1.0,2)</f>
        <v/>
      </c>
      <c r="JH28" s="3">
        <f>ROUND(0.0,2)</f>
        <v/>
      </c>
      <c r="JI28" s="3">
        <f>ROUND(0.0,2)</f>
        <v/>
      </c>
      <c r="JJ28" s="4">
        <f>IFERROR((JD28/JC28),0)</f>
        <v/>
      </c>
      <c r="JK28" s="4">
        <f>IFERROR(((0+JB11+JB12+JB13+JB14+JB15+JB16+JB17+JB19+JB20+JB21+JB22+JB23+JB24+JB25+JB27+JB28)/T2),0)</f>
        <v/>
      </c>
      <c r="JL28" s="5">
        <f>IFERROR(ROUND(JB28/JD28,2),0)</f>
        <v/>
      </c>
      <c r="JM28" s="5">
        <f>IFERROR(ROUND(JB28/JE28,2),0)</f>
        <v/>
      </c>
    </row>
    <row r="29">
      <c r="A29" s="2" t="inlineStr">
        <is>
          <t>2023-10-06</t>
        </is>
      </c>
      <c r="B29" s="5">
        <f>ROUND(22.12,2)</f>
        <v/>
      </c>
      <c r="C29" s="3">
        <f>ROUND(3252.0,2)</f>
        <v/>
      </c>
      <c r="D29" s="3">
        <f>ROUND(79.0,2)</f>
        <v/>
      </c>
      <c r="E29" s="3">
        <f>ROUND(175.0,2)</f>
        <v/>
      </c>
      <c r="F29" s="3">
        <f>ROUND(134.0,2)</f>
        <v/>
      </c>
      <c r="G29" s="3">
        <f>ROUND(70.0,2)</f>
        <v/>
      </c>
      <c r="H29" s="3">
        <f>ROUND(54.0,2)</f>
        <v/>
      </c>
      <c r="I29" s="3">
        <f>ROUND(39.0,2)</f>
        <v/>
      </c>
      <c r="J29" s="4">
        <f>IFERROR((D29/C29),0)</f>
        <v/>
      </c>
      <c r="K29" s="4">
        <f>IFERROR(((0+B11+B12+B13+B14+B15+B16+B17+B19+B20+B21+B22+B23+B24+B25+B27+B28+B29)/T2),0)</f>
        <v/>
      </c>
      <c r="L29" s="5">
        <f>IFERROR(ROUND(B29/D29,2),0)</f>
        <v/>
      </c>
      <c r="M29" s="5">
        <f>IFERROR(ROUND(B29/E29,2),0)</f>
        <v/>
      </c>
      <c r="N29" s="2" t="inlineStr">
        <is>
          <t>2023-10-06</t>
        </is>
      </c>
      <c r="O29" s="5">
        <f>ROUND(2.5200000000000005,2)</f>
        <v/>
      </c>
      <c r="P29" s="3">
        <f>ROUND(313.0,2)</f>
        <v/>
      </c>
      <c r="Q29" s="3">
        <f>ROUND(9.0,2)</f>
        <v/>
      </c>
      <c r="R29" s="3">
        <f>ROUND(26.0,2)</f>
        <v/>
      </c>
      <c r="S29" s="3">
        <f>ROUND(20.0,2)</f>
        <v/>
      </c>
      <c r="T29" s="3">
        <f>ROUND(9.0,2)</f>
        <v/>
      </c>
      <c r="U29" s="3">
        <f>ROUND(7.0,2)</f>
        <v/>
      </c>
      <c r="V29" s="3">
        <f>ROUND(6.0,2)</f>
        <v/>
      </c>
      <c r="W29" s="4">
        <f>IFERROR((Q29/P29),0)</f>
        <v/>
      </c>
      <c r="X29" s="4">
        <f>IFERROR(((0+O11+O12+O13+O14+O15+O16+O17+O19+O20+O21+O22+O23+O24+O25+O27+O28+O29)/T2),0)</f>
        <v/>
      </c>
      <c r="Y29" s="5">
        <f>IFERROR(ROUND(O29/Q29,2),0)</f>
        <v/>
      </c>
      <c r="Z29" s="5">
        <f>IFERROR(ROUND(O29/R29,2),0)</f>
        <v/>
      </c>
      <c r="AA29" s="2" t="inlineStr">
        <is>
          <t>2023-10-06</t>
        </is>
      </c>
      <c r="AB29" s="5">
        <f>ROUND(0.8400000000000001,2)</f>
        <v/>
      </c>
      <c r="AC29" s="3">
        <f>ROUND(63.0,2)</f>
        <v/>
      </c>
      <c r="AD29" s="3">
        <f>ROUND(3.0,2)</f>
        <v/>
      </c>
      <c r="AE29" s="3">
        <f>ROUND(7.0,2)</f>
        <v/>
      </c>
      <c r="AF29" s="3">
        <f>ROUND(5.0,2)</f>
        <v/>
      </c>
      <c r="AG29" s="3">
        <f>ROUND(4.0,2)</f>
        <v/>
      </c>
      <c r="AH29" s="3">
        <f>ROUND(4.0,2)</f>
        <v/>
      </c>
      <c r="AI29" s="3">
        <f>ROUND(3.0,2)</f>
        <v/>
      </c>
      <c r="AJ29" s="4">
        <f>IFERROR((AD29/AC29),0)</f>
        <v/>
      </c>
      <c r="AK29" s="4">
        <f>IFERROR(((0+AB11+AB12+AB13+AB14+AB15+AB16+AB17+AB19+AB20+AB21+AB22+AB23+AB24+AB25+AB27+AB28+AB29)/T2),0)</f>
        <v/>
      </c>
      <c r="AL29" s="5">
        <f>IFERROR(ROUND(AB29/AD29,2),0)</f>
        <v/>
      </c>
      <c r="AM29" s="5">
        <f>IFERROR(ROUND(AB29/AE29,2),0)</f>
        <v/>
      </c>
      <c r="AN29" s="2" t="inlineStr">
        <is>
          <t>2023-10-06</t>
        </is>
      </c>
      <c r="AO29" s="5">
        <f>ROUND(0.28,2)</f>
        <v/>
      </c>
      <c r="AP29" s="3">
        <f>ROUND(91.0,2)</f>
        <v/>
      </c>
      <c r="AQ29" s="3">
        <f>ROUND(1.0,2)</f>
        <v/>
      </c>
      <c r="AR29" s="3">
        <f>ROUND(8.0,2)</f>
        <v/>
      </c>
      <c r="AS29" s="3">
        <f>ROUND(6.0,2)</f>
        <v/>
      </c>
      <c r="AT29" s="3">
        <f>ROUND(5.0,2)</f>
        <v/>
      </c>
      <c r="AU29" s="3">
        <f>ROUND(4.0,2)</f>
        <v/>
      </c>
      <c r="AV29" s="3">
        <f>ROUND(3.0,2)</f>
        <v/>
      </c>
      <c r="AW29" s="4">
        <f>IFERROR((AQ29/AP29),0)</f>
        <v/>
      </c>
      <c r="AX29" s="4">
        <f>IFERROR(((0+AO11+AO12+AO13+AO14+AO15+AO16+AO17+AO19+AO20+AO21+AO22+AO23+AO24+AO25+AO27+AO28+AO29)/T2),0)</f>
        <v/>
      </c>
      <c r="AY29" s="5">
        <f>IFERROR(ROUND(AO29/AQ29,2),0)</f>
        <v/>
      </c>
      <c r="AZ29" s="5">
        <f>IFERROR(ROUND(AO29/AR29,2),0)</f>
        <v/>
      </c>
      <c r="BA29" s="2" t="inlineStr">
        <is>
          <t>2023-10-06</t>
        </is>
      </c>
      <c r="BB29" s="5">
        <f>ROUND(0.56,2)</f>
        <v/>
      </c>
      <c r="BC29" s="3">
        <f>ROUND(259.0,2)</f>
        <v/>
      </c>
      <c r="BD29" s="3">
        <f>ROUND(2.0,2)</f>
        <v/>
      </c>
      <c r="BE29" s="3">
        <f>ROUND(5.0,2)</f>
        <v/>
      </c>
      <c r="BF29" s="3">
        <f>ROUND(3.0,2)</f>
        <v/>
      </c>
      <c r="BG29" s="3">
        <f>ROUND(1.0,2)</f>
        <v/>
      </c>
      <c r="BH29" s="3">
        <f>ROUND(1.0,2)</f>
        <v/>
      </c>
      <c r="BI29" s="3">
        <f>ROUND(1.0,2)</f>
        <v/>
      </c>
      <c r="BJ29" s="4">
        <f>IFERROR((BD29/BC29),0)</f>
        <v/>
      </c>
      <c r="BK29" s="4">
        <f>IFERROR(((0+BB11+BB12+BB13+BB14+BB15+BB16+BB17+BB19+BB20+BB21+BB22+BB23+BB24+BB25+BB27+BB28+BB29)/T2),0)</f>
        <v/>
      </c>
      <c r="BL29" s="5">
        <f>IFERROR(ROUND(BB29/BD29,2),0)</f>
        <v/>
      </c>
      <c r="BM29" s="5">
        <f>IFERROR(ROUND(BB29/BE29,2),0)</f>
        <v/>
      </c>
      <c r="BN29" s="2" t="inlineStr">
        <is>
          <t>2023-10-06</t>
        </is>
      </c>
      <c r="BO29" s="5">
        <f>ROUND(6.16,2)</f>
        <v/>
      </c>
      <c r="BP29" s="3">
        <f>ROUND(740.0,2)</f>
        <v/>
      </c>
      <c r="BQ29" s="3">
        <f>ROUND(22.0,2)</f>
        <v/>
      </c>
      <c r="BR29" s="3">
        <f>ROUND(46.0,2)</f>
        <v/>
      </c>
      <c r="BS29" s="3">
        <f>ROUND(33.0,2)</f>
        <v/>
      </c>
      <c r="BT29" s="3">
        <f>ROUND(13.0,2)</f>
        <v/>
      </c>
      <c r="BU29" s="3">
        <f>ROUND(10.0,2)</f>
        <v/>
      </c>
      <c r="BV29" s="3">
        <f>ROUND(6.0,2)</f>
        <v/>
      </c>
      <c r="BW29" s="4">
        <f>IFERROR((BQ29/BP29),0)</f>
        <v/>
      </c>
      <c r="BX29" s="4">
        <f>IFERROR(((0+BO11+BO12+BO13+BO14+BO15+BO16+BO17+BO19+BO20+BO21+BO22+BO23+BO24+BO25+BO27+BO28+BO29)/T2),0)</f>
        <v/>
      </c>
      <c r="BY29" s="5">
        <f>IFERROR(ROUND(BO29/BQ29,2),0)</f>
        <v/>
      </c>
      <c r="BZ29" s="5">
        <f>IFERROR(ROUND(BO29/BR29,2),0)</f>
        <v/>
      </c>
      <c r="CA29" s="2" t="inlineStr">
        <is>
          <t>2023-10-06</t>
        </is>
      </c>
      <c r="CB29" s="5">
        <f>ROUND(1.9600000000000002,2)</f>
        <v/>
      </c>
      <c r="CC29" s="3">
        <f>ROUND(639.0,2)</f>
        <v/>
      </c>
      <c r="CD29" s="3">
        <f>ROUND(7.0,2)</f>
        <v/>
      </c>
      <c r="CE29" s="3">
        <f>ROUND(16.0,2)</f>
        <v/>
      </c>
      <c r="CF29" s="3">
        <f>ROUND(13.0,2)</f>
        <v/>
      </c>
      <c r="CG29" s="3">
        <f>ROUND(5.0,2)</f>
        <v/>
      </c>
      <c r="CH29" s="3">
        <f>ROUND(4.0,2)</f>
        <v/>
      </c>
      <c r="CI29" s="3">
        <f>ROUND(3.0,2)</f>
        <v/>
      </c>
      <c r="CJ29" s="4">
        <f>IFERROR((CD29/CC29),0)</f>
        <v/>
      </c>
      <c r="CK29" s="4">
        <f>IFERROR(((0+CB11+CB12+CB13+CB14+CB15+CB16+CB17+CB19+CB20+CB21+CB22+CB23+CB24+CB25+CB27+CB28+CB29)/T2),0)</f>
        <v/>
      </c>
      <c r="CL29" s="5">
        <f>IFERROR(ROUND(CB29/CD29,2),0)</f>
        <v/>
      </c>
      <c r="CM29" s="5">
        <f>IFERROR(ROUND(CB29/CE29,2),0)</f>
        <v/>
      </c>
      <c r="CN29" s="2" t="inlineStr">
        <is>
          <t>2023-10-06</t>
        </is>
      </c>
      <c r="CO29" s="5">
        <f>ROUND(0.8400000000000001,2)</f>
        <v/>
      </c>
      <c r="CP29" s="3">
        <f>ROUND(201.0,2)</f>
        <v/>
      </c>
      <c r="CQ29" s="3">
        <f>ROUND(3.0,2)</f>
        <v/>
      </c>
      <c r="CR29" s="3">
        <f>ROUND(2.0,2)</f>
        <v/>
      </c>
      <c r="CS29" s="3">
        <f>ROUND(1.0,2)</f>
        <v/>
      </c>
      <c r="CT29" s="3">
        <f>ROUND(1.0,2)</f>
        <v/>
      </c>
      <c r="CU29" s="3">
        <f>ROUND(1.0,2)</f>
        <v/>
      </c>
      <c r="CV29" s="3">
        <f>ROUND(0.0,2)</f>
        <v/>
      </c>
      <c r="CW29" s="4">
        <f>IFERROR((CQ29/CP29),0)</f>
        <v/>
      </c>
      <c r="CX29" s="4">
        <f>IFERROR(((0+CO11+CO12+CO13+CO14+CO15+CO16+CO17+CO19+CO20+CO21+CO22+CO23+CO24+CO25+CO27+CO28+CO29)/T2),0)</f>
        <v/>
      </c>
      <c r="CY29" s="5">
        <f>IFERROR(ROUND(CO29/CQ29,2),0)</f>
        <v/>
      </c>
      <c r="CZ29" s="5">
        <f>IFERROR(ROUND(CO29/CR29,2),0)</f>
        <v/>
      </c>
      <c r="DA29" s="2" t="inlineStr">
        <is>
          <t>2023-10-06</t>
        </is>
      </c>
      <c r="DB29" s="5">
        <f>ROUND(0.56,2)</f>
        <v/>
      </c>
      <c r="DC29" s="3">
        <f>ROUND(151.0,2)</f>
        <v/>
      </c>
      <c r="DD29" s="3">
        <f>ROUND(2.0,2)</f>
        <v/>
      </c>
      <c r="DE29" s="3">
        <f>ROUND(9.0,2)</f>
        <v/>
      </c>
      <c r="DF29" s="3">
        <f>ROUND(8.0,2)</f>
        <v/>
      </c>
      <c r="DG29" s="3">
        <f>ROUND(7.0,2)</f>
        <v/>
      </c>
      <c r="DH29" s="3">
        <f>ROUND(6.0,2)</f>
        <v/>
      </c>
      <c r="DI29" s="3">
        <f>ROUND(5.0,2)</f>
        <v/>
      </c>
      <c r="DJ29" s="4">
        <f>IFERROR((DD29/DC29),0)</f>
        <v/>
      </c>
      <c r="DK29" s="4">
        <f>IFERROR(((0+DB11+DB12+DB13+DB14+DB15+DB16+DB17+DB19+DB20+DB21+DB22+DB23+DB24+DB25+DB27+DB28+DB29)/T2),0)</f>
        <v/>
      </c>
      <c r="DL29" s="5">
        <f>IFERROR(ROUND(DB29/DD29,2),0)</f>
        <v/>
      </c>
      <c r="DM29" s="5">
        <f>IFERROR(ROUND(DB29/DE29,2),0)</f>
        <v/>
      </c>
      <c r="DN29" s="2" t="inlineStr">
        <is>
          <t>2023-10-06</t>
        </is>
      </c>
      <c r="DO29" s="5">
        <f>ROUND(0.0,2)</f>
        <v/>
      </c>
      <c r="DP29" s="3">
        <f>ROUND(86.0,2)</f>
        <v/>
      </c>
      <c r="DQ29" s="3">
        <f>ROUND(0.0,2)</f>
        <v/>
      </c>
      <c r="DR29" s="3">
        <f>ROUND(6.0,2)</f>
        <v/>
      </c>
      <c r="DS29" s="3">
        <f>ROUND(6.0,2)</f>
        <v/>
      </c>
      <c r="DT29" s="3">
        <f>ROUND(3.0,2)</f>
        <v/>
      </c>
      <c r="DU29" s="3">
        <f>ROUND(3.0,2)</f>
        <v/>
      </c>
      <c r="DV29" s="3">
        <f>ROUND(1.0,2)</f>
        <v/>
      </c>
      <c r="DW29" s="4">
        <f>IFERROR((DQ29/DP29),0)</f>
        <v/>
      </c>
      <c r="DX29" s="4">
        <f>IFERROR(((0+DO11+DO12+DO13+DO14+DO15+DO16+DO17+DO19+DO20+DO21+DO22+DO23+DO24+DO25+DO27+DO28+DO29)/T2),0)</f>
        <v/>
      </c>
      <c r="DY29" s="5">
        <f>IFERROR(ROUND(DO29/DQ29,2),0)</f>
        <v/>
      </c>
      <c r="DZ29" s="5">
        <f>IFERROR(ROUND(DO29/DR29,2),0)</f>
        <v/>
      </c>
      <c r="EA29" s="2" t="inlineStr">
        <is>
          <t>2023-10-06</t>
        </is>
      </c>
      <c r="EB29" s="5">
        <f>ROUND(3.3600000000000003,2)</f>
        <v/>
      </c>
      <c r="EC29" s="3">
        <f>ROUND(293.0,2)</f>
        <v/>
      </c>
      <c r="ED29" s="3">
        <f>ROUND(12.0,2)</f>
        <v/>
      </c>
      <c r="EE29" s="3">
        <f>ROUND(11.0,2)</f>
        <v/>
      </c>
      <c r="EF29" s="3">
        <f>ROUND(6.0,2)</f>
        <v/>
      </c>
      <c r="EG29" s="3">
        <f>ROUND(4.0,2)</f>
        <v/>
      </c>
      <c r="EH29" s="3">
        <f>ROUND(3.0,2)</f>
        <v/>
      </c>
      <c r="EI29" s="3">
        <f>ROUND(3.0,2)</f>
        <v/>
      </c>
      <c r="EJ29" s="4">
        <f>IFERROR((ED29/EC29),0)</f>
        <v/>
      </c>
      <c r="EK29" s="4">
        <f>IFERROR(((0+EB11+EB12+EB13+EB14+EB15+EB16+EB17+EB19+EB20+EB21+EB22+EB23+EB24+EB25+EB27+EB28+EB29)/T2),0)</f>
        <v/>
      </c>
      <c r="EL29" s="5">
        <f>IFERROR(ROUND(EB29/ED29,2),0)</f>
        <v/>
      </c>
      <c r="EM29" s="5">
        <f>IFERROR(ROUND(EB29/EE29,2),0)</f>
        <v/>
      </c>
      <c r="EN29" s="2" t="inlineStr">
        <is>
          <t>2023-10-06</t>
        </is>
      </c>
      <c r="EO29" s="5">
        <f>ROUND(0.28,2)</f>
        <v/>
      </c>
      <c r="EP29" s="3">
        <f>ROUND(53.0,2)</f>
        <v/>
      </c>
      <c r="EQ29" s="3">
        <f>ROUND(1.0,2)</f>
        <v/>
      </c>
      <c r="ER29" s="3">
        <f>ROUND(2.0,2)</f>
        <v/>
      </c>
      <c r="ES29" s="3">
        <f>ROUND(1.0,2)</f>
        <v/>
      </c>
      <c r="ET29" s="3">
        <f>ROUND(1.0,2)</f>
        <v/>
      </c>
      <c r="EU29" s="3">
        <f>ROUND(0.0,2)</f>
        <v/>
      </c>
      <c r="EV29" s="3">
        <f>ROUND(0.0,2)</f>
        <v/>
      </c>
      <c r="EW29" s="4">
        <f>IFERROR((EQ29/EP29),0)</f>
        <v/>
      </c>
      <c r="EX29" s="4">
        <f>IFERROR(((0+EO11+EO12+EO13+EO14+EO15+EO16+EO17+EO19+EO20+EO21+EO22+EO23+EO24+EO25+EO27+EO28+EO29)/T2),0)</f>
        <v/>
      </c>
      <c r="EY29" s="5">
        <f>IFERROR(ROUND(EO29/EQ29,2),0)</f>
        <v/>
      </c>
      <c r="EZ29" s="5">
        <f>IFERROR(ROUND(EO29/ER29,2),0)</f>
        <v/>
      </c>
      <c r="FA29" s="2" t="inlineStr">
        <is>
          <t>2023-10-06</t>
        </is>
      </c>
      <c r="FB29" s="5">
        <f>ROUND(1.6800000000000002,2)</f>
        <v/>
      </c>
      <c r="FC29" s="3">
        <f>ROUND(126.0,2)</f>
        <v/>
      </c>
      <c r="FD29" s="3">
        <f>ROUND(6.0,2)</f>
        <v/>
      </c>
      <c r="FE29" s="3">
        <f>ROUND(20.0,2)</f>
        <v/>
      </c>
      <c r="FF29" s="3">
        <f>ROUND(18.0,2)</f>
        <v/>
      </c>
      <c r="FG29" s="3">
        <f>ROUND(8.0,2)</f>
        <v/>
      </c>
      <c r="FH29" s="3">
        <f>ROUND(5.0,2)</f>
        <v/>
      </c>
      <c r="FI29" s="3">
        <f>ROUND(3.0,2)</f>
        <v/>
      </c>
      <c r="FJ29" s="4">
        <f>IFERROR((FD29/FC29),0)</f>
        <v/>
      </c>
      <c r="FK29" s="4">
        <f>IFERROR(((0+FB11+FB12+FB13+FB14+FB15+FB16+FB17+FB19+FB20+FB21+FB22+FB23+FB24+FB25+FB27+FB28+FB29)/T2),0)</f>
        <v/>
      </c>
      <c r="FL29" s="5">
        <f>IFERROR(ROUND(FB29/FD29,2),0)</f>
        <v/>
      </c>
      <c r="FM29" s="5">
        <f>IFERROR(ROUND(FB29/FE29,2),0)</f>
        <v/>
      </c>
      <c r="FN29" s="2" t="inlineStr">
        <is>
          <t>2023-10-06</t>
        </is>
      </c>
      <c r="FO29" s="5">
        <f>ROUND(0.56,2)</f>
        <v/>
      </c>
      <c r="FP29" s="3">
        <f>ROUND(34.0,2)</f>
        <v/>
      </c>
      <c r="FQ29" s="3">
        <f>ROUND(2.0,2)</f>
        <v/>
      </c>
      <c r="FR29" s="3">
        <f>ROUND(7.0,2)</f>
        <v/>
      </c>
      <c r="FS29" s="3">
        <f>ROUND(6.0,2)</f>
        <v/>
      </c>
      <c r="FT29" s="3">
        <f>ROUND(4.0,2)</f>
        <v/>
      </c>
      <c r="FU29" s="3">
        <f>ROUND(2.0,2)</f>
        <v/>
      </c>
      <c r="FV29" s="3">
        <f>ROUND(2.0,2)</f>
        <v/>
      </c>
      <c r="FW29" s="4">
        <f>IFERROR((FQ29/FP29),0)</f>
        <v/>
      </c>
      <c r="FX29" s="4">
        <f>IFERROR(((0+FO11+FO12+FO13+FO14+FO15+FO16+FO17+FO19+FO20+FO21+FO22+FO23+FO24+FO25+FO27+FO28+FO29)/T2),0)</f>
        <v/>
      </c>
      <c r="FY29" s="5">
        <f>IFERROR(ROUND(FO29/FQ29,2),0)</f>
        <v/>
      </c>
      <c r="FZ29" s="5">
        <f>IFERROR(ROUND(FO29/FR29,2),0)</f>
        <v/>
      </c>
      <c r="GA29" s="2" t="inlineStr">
        <is>
          <t>2023-10-06</t>
        </is>
      </c>
      <c r="GB29" s="5">
        <f>ROUND(0.0,2)</f>
        <v/>
      </c>
      <c r="GC29" s="3">
        <f>ROUND(11.0,2)</f>
        <v/>
      </c>
      <c r="GD29" s="3">
        <f>ROUND(0.0,2)</f>
        <v/>
      </c>
      <c r="GE29" s="3">
        <f>ROUND(1.0,2)</f>
        <v/>
      </c>
      <c r="GF29" s="3">
        <f>ROUND(1.0,2)</f>
        <v/>
      </c>
      <c r="GG29" s="3">
        <f>ROUND(0.0,2)</f>
        <v/>
      </c>
      <c r="GH29" s="3">
        <f>ROUND(0.0,2)</f>
        <v/>
      </c>
      <c r="GI29" s="3">
        <f>ROUND(0.0,2)</f>
        <v/>
      </c>
      <c r="GJ29" s="4">
        <f>IFERROR((GD29/GC29),0)</f>
        <v/>
      </c>
      <c r="GK29" s="4">
        <f>IFERROR(((0+GB11+GB12+GB13+GB14+GB15+GB16+GB17+GB19+GB20+GB21+GB22+GB23+GB24+GB25+GB27+GB28+GB29)/T2),0)</f>
        <v/>
      </c>
      <c r="GL29" s="5">
        <f>IFERROR(ROUND(GB29/GD29,2),0)</f>
        <v/>
      </c>
      <c r="GM29" s="5">
        <f>IFERROR(ROUND(GB29/GE29,2),0)</f>
        <v/>
      </c>
      <c r="GN29" s="2" t="inlineStr">
        <is>
          <t>2023-10-06</t>
        </is>
      </c>
      <c r="GO29" s="5">
        <f>ROUND(0.0,2)</f>
        <v/>
      </c>
      <c r="GP29" s="3">
        <f>ROUND(4.0,2)</f>
        <v/>
      </c>
      <c r="GQ29" s="3">
        <f>ROUND(0.0,2)</f>
        <v/>
      </c>
      <c r="GR29" s="3">
        <f>ROUND(0.0,2)</f>
        <v/>
      </c>
      <c r="GS29" s="3">
        <f>ROUND(0.0,2)</f>
        <v/>
      </c>
      <c r="GT29" s="3">
        <f>ROUND(0.0,2)</f>
        <v/>
      </c>
      <c r="GU29" s="3">
        <f>ROUND(0.0,2)</f>
        <v/>
      </c>
      <c r="GV29" s="3">
        <f>ROUND(0.0,2)</f>
        <v/>
      </c>
      <c r="GW29" s="4">
        <f>IFERROR((GQ29/GP29),0)</f>
        <v/>
      </c>
      <c r="GX29" s="4">
        <f>IFERROR(((0+GO11+GO12+GO13+GO14+GO15+GO16+GO17+GO19+GO20+GO21+GO22+GO23+GO24+GO25+GO27+GO28+GO29)/T2),0)</f>
        <v/>
      </c>
      <c r="GY29" s="5">
        <f>IFERROR(ROUND(GO29/GQ29,2),0)</f>
        <v/>
      </c>
      <c r="GZ29" s="5">
        <f>IFERROR(ROUND(GO29/GR29,2),0)</f>
        <v/>
      </c>
      <c r="HA29" s="2" t="inlineStr">
        <is>
          <t>2023-10-06</t>
        </is>
      </c>
      <c r="HB29" s="5">
        <f>ROUND(0.0,2)</f>
        <v/>
      </c>
      <c r="HC29" s="3">
        <f>ROUND(26.0,2)</f>
        <v/>
      </c>
      <c r="HD29" s="3">
        <f>ROUND(0.0,2)</f>
        <v/>
      </c>
      <c r="HE29" s="3">
        <f>ROUND(0.0,2)</f>
        <v/>
      </c>
      <c r="HF29" s="3">
        <f>ROUND(0.0,2)</f>
        <v/>
      </c>
      <c r="HG29" s="3">
        <f>ROUND(0.0,2)</f>
        <v/>
      </c>
      <c r="HH29" s="3">
        <f>ROUND(0.0,2)</f>
        <v/>
      </c>
      <c r="HI29" s="3">
        <f>ROUND(0.0,2)</f>
        <v/>
      </c>
      <c r="HJ29" s="4">
        <f>IFERROR((HD29/HC29),0)</f>
        <v/>
      </c>
      <c r="HK29" s="4">
        <f>IFERROR(((0+HB11+HB12+HB13+HB14+HB15+HB16+HB17+HB19+HB20+HB21+HB22+HB23+HB24+HB25+HB27+HB28+HB29)/T2),0)</f>
        <v/>
      </c>
      <c r="HL29" s="5">
        <f>IFERROR(ROUND(HB29/HD29,2),0)</f>
        <v/>
      </c>
      <c r="HM29" s="5">
        <f>IFERROR(ROUND(HB29/HE29,2),0)</f>
        <v/>
      </c>
      <c r="HN29" s="2" t="inlineStr">
        <is>
          <t>2023-10-06</t>
        </is>
      </c>
      <c r="HO29" s="5">
        <f>ROUND(0.28,2)</f>
        <v/>
      </c>
      <c r="HP29" s="3">
        <f>ROUND(5.0,2)</f>
        <v/>
      </c>
      <c r="HQ29" s="3">
        <f>ROUND(1.0,2)</f>
        <v/>
      </c>
      <c r="HR29" s="3">
        <f>ROUND(2.0,2)</f>
        <v/>
      </c>
      <c r="HS29" s="3">
        <f>ROUND(2.0,2)</f>
        <v/>
      </c>
      <c r="HT29" s="3">
        <f>ROUND(2.0,2)</f>
        <v/>
      </c>
      <c r="HU29" s="3">
        <f>ROUND(2.0,2)</f>
        <v/>
      </c>
      <c r="HV29" s="3">
        <f>ROUND(2.0,2)</f>
        <v/>
      </c>
      <c r="HW29" s="4">
        <f>IFERROR((HQ29/HP29),0)</f>
        <v/>
      </c>
      <c r="HX29" s="4">
        <f>IFERROR(((0+HO11+HO12+HO13+HO14+HO15+HO16+HO17+HO19+HO20+HO21+HO22+HO23+HO24+HO25+HO27+HO28+HO29)/T2),0)</f>
        <v/>
      </c>
      <c r="HY29" s="5">
        <f>IFERROR(ROUND(HO29/HQ29,2),0)</f>
        <v/>
      </c>
      <c r="HZ29" s="5">
        <f>IFERROR(ROUND(HO29/HR29,2),0)</f>
        <v/>
      </c>
      <c r="IA29" s="2" t="inlineStr">
        <is>
          <t>2023-10-06</t>
        </is>
      </c>
      <c r="IB29" s="5">
        <f>ROUND(2.24,2)</f>
        <v/>
      </c>
      <c r="IC29" s="3">
        <f>ROUND(148.0,2)</f>
        <v/>
      </c>
      <c r="ID29" s="3">
        <f>ROUND(8.0,2)</f>
        <v/>
      </c>
      <c r="IE29" s="3">
        <f>ROUND(7.0,2)</f>
        <v/>
      </c>
      <c r="IF29" s="3">
        <f>ROUND(5.0,2)</f>
        <v/>
      </c>
      <c r="IG29" s="3">
        <f>ROUND(3.0,2)</f>
        <v/>
      </c>
      <c r="IH29" s="3">
        <f>ROUND(2.0,2)</f>
        <v/>
      </c>
      <c r="II29" s="3">
        <f>ROUND(1.0,2)</f>
        <v/>
      </c>
      <c r="IJ29" s="4">
        <f>IFERROR((ID29/IC29),0)</f>
        <v/>
      </c>
      <c r="IK29" s="4">
        <f>IFERROR(((0+IB11+IB12+IB13+IB14+IB15+IB16+IB17+IB19+IB20+IB21+IB22+IB23+IB24+IB25+IB27+IB28+IB29)/T2),0)</f>
        <v/>
      </c>
      <c r="IL29" s="5">
        <f>IFERROR(ROUND(IB29/ID29,2),0)</f>
        <v/>
      </c>
      <c r="IM29" s="5">
        <f>IFERROR(ROUND(IB29/IE29,2),0)</f>
        <v/>
      </c>
      <c r="IN29" s="2" t="inlineStr">
        <is>
          <t>2023-10-06</t>
        </is>
      </c>
      <c r="IO29" s="5">
        <f>ROUND(0.0,2)</f>
        <v/>
      </c>
      <c r="IP29" s="3">
        <f>ROUND(7.0,2)</f>
        <v/>
      </c>
      <c r="IQ29" s="3">
        <f>ROUND(0.0,2)</f>
        <v/>
      </c>
      <c r="IR29" s="3">
        <f>ROUND(0.0,2)</f>
        <v/>
      </c>
      <c r="IS29" s="3">
        <f>ROUND(0.0,2)</f>
        <v/>
      </c>
      <c r="IT29" s="3">
        <f>ROUND(0.0,2)</f>
        <v/>
      </c>
      <c r="IU29" s="3">
        <f>ROUND(0.0,2)</f>
        <v/>
      </c>
      <c r="IV29" s="3">
        <f>ROUND(0.0,2)</f>
        <v/>
      </c>
      <c r="IW29" s="4">
        <f>IFERROR((IQ29/IP29),0)</f>
        <v/>
      </c>
      <c r="IX29" s="4">
        <f>IFERROR(((0+IO11+IO12+IO13+IO14+IO15+IO16+IO17+IO19+IO20+IO21+IO22+IO23+IO24+IO25+IO27+IO28+IO29)/T2),0)</f>
        <v/>
      </c>
      <c r="IY29" s="5">
        <f>IFERROR(ROUND(IO29/IQ29,2),0)</f>
        <v/>
      </c>
      <c r="IZ29" s="5">
        <f>IFERROR(ROUND(IO29/IR29,2),0)</f>
        <v/>
      </c>
      <c r="JA29" s="2" t="inlineStr">
        <is>
          <t>2023-10-06</t>
        </is>
      </c>
      <c r="JB29" s="5">
        <f>ROUND(0.0,2)</f>
        <v/>
      </c>
      <c r="JC29" s="3">
        <f>ROUND(2.0,2)</f>
        <v/>
      </c>
      <c r="JD29" s="3">
        <f>ROUND(0.0,2)</f>
        <v/>
      </c>
      <c r="JE29" s="3">
        <f>ROUND(0.0,2)</f>
        <v/>
      </c>
      <c r="JF29" s="3">
        <f>ROUND(0.0,2)</f>
        <v/>
      </c>
      <c r="JG29" s="3">
        <f>ROUND(0.0,2)</f>
        <v/>
      </c>
      <c r="JH29" s="3">
        <f>ROUND(0.0,2)</f>
        <v/>
      </c>
      <c r="JI29" s="3">
        <f>ROUND(0.0,2)</f>
        <v/>
      </c>
      <c r="JJ29" s="4">
        <f>IFERROR((JD29/JC29),0)</f>
        <v/>
      </c>
      <c r="JK29" s="4">
        <f>IFERROR(((0+JB11+JB12+JB13+JB14+JB15+JB16+JB17+JB19+JB20+JB21+JB22+JB23+JB24+JB25+JB27+JB28+JB29)/T2),0)</f>
        <v/>
      </c>
      <c r="JL29" s="5">
        <f>IFERROR(ROUND(JB29/JD29,2),0)</f>
        <v/>
      </c>
      <c r="JM29" s="5">
        <f>IFERROR(ROUND(JB29/JE29,2),0)</f>
        <v/>
      </c>
    </row>
    <row r="30">
      <c r="A30" s="2" t="inlineStr">
        <is>
          <t>2023-10-07</t>
        </is>
      </c>
      <c r="B30" s="5">
        <f>ROUND(6.44,2)</f>
        <v/>
      </c>
      <c r="C30" s="3">
        <f>ROUND(1102.0,2)</f>
        <v/>
      </c>
      <c r="D30" s="3">
        <f>ROUND(23.0,2)</f>
        <v/>
      </c>
      <c r="E30" s="3">
        <f>ROUND(91.0,2)</f>
        <v/>
      </c>
      <c r="F30" s="3">
        <f>ROUND(77.0,2)</f>
        <v/>
      </c>
      <c r="G30" s="3">
        <f>ROUND(32.0,2)</f>
        <v/>
      </c>
      <c r="H30" s="3">
        <f>ROUND(21.0,2)</f>
        <v/>
      </c>
      <c r="I30" s="3">
        <f>ROUND(15.0,2)</f>
        <v/>
      </c>
      <c r="J30" s="4">
        <f>IFERROR((D30/C30),0)</f>
        <v/>
      </c>
      <c r="K30" s="4">
        <f>IFERROR(((0+B11+B12+B13+B14+B15+B16+B17+B19+B20+B21+B22+B23+B24+B25+B27+B28+B29+B30)/T2),0)</f>
        <v/>
      </c>
      <c r="L30" s="5">
        <f>IFERROR(ROUND(B30/D30,2),0)</f>
        <v/>
      </c>
      <c r="M30" s="5">
        <f>IFERROR(ROUND(B30/E30,2),0)</f>
        <v/>
      </c>
      <c r="N30" s="2" t="inlineStr">
        <is>
          <t>2023-10-07</t>
        </is>
      </c>
      <c r="O30" s="5">
        <f>ROUND(0.28,2)</f>
        <v/>
      </c>
      <c r="P30" s="3">
        <f>ROUND(16.0,2)</f>
        <v/>
      </c>
      <c r="Q30" s="3">
        <f>ROUND(1.0,2)</f>
        <v/>
      </c>
      <c r="R30" s="3">
        <f>ROUND(1.0,2)</f>
        <v/>
      </c>
      <c r="S30" s="3">
        <f>ROUND(1.0,2)</f>
        <v/>
      </c>
      <c r="T30" s="3">
        <f>ROUND(0.0,2)</f>
        <v/>
      </c>
      <c r="U30" s="3">
        <f>ROUND(0.0,2)</f>
        <v/>
      </c>
      <c r="V30" s="3">
        <f>ROUND(0.0,2)</f>
        <v/>
      </c>
      <c r="W30" s="4">
        <f>IFERROR((Q30/P30),0)</f>
        <v/>
      </c>
      <c r="X30" s="4">
        <f>IFERROR(((0+O11+O12+O13+O14+O15+O16+O17+O19+O20+O21+O22+O23+O24+O25+O27+O28+O29+O30)/T2),0)</f>
        <v/>
      </c>
      <c r="Y30" s="5">
        <f>IFERROR(ROUND(O30/Q30,2),0)</f>
        <v/>
      </c>
      <c r="Z30" s="5">
        <f>IFERROR(ROUND(O30/R30,2),0)</f>
        <v/>
      </c>
      <c r="AA30" s="2" t="inlineStr">
        <is>
          <t>2023-10-07</t>
        </is>
      </c>
      <c r="AB30" s="5">
        <f>ROUND(0.0,2)</f>
        <v/>
      </c>
      <c r="AC30" s="3">
        <f>ROUND(2.0,2)</f>
        <v/>
      </c>
      <c r="AD30" s="3">
        <f>ROUND(0.0,2)</f>
        <v/>
      </c>
      <c r="AE30" s="3">
        <f>ROUND(0.0,2)</f>
        <v/>
      </c>
      <c r="AF30" s="3">
        <f>ROUND(0.0,2)</f>
        <v/>
      </c>
      <c r="AG30" s="3">
        <f>ROUND(0.0,2)</f>
        <v/>
      </c>
      <c r="AH30" s="3">
        <f>ROUND(0.0,2)</f>
        <v/>
      </c>
      <c r="AI30" s="3">
        <f>ROUND(0.0,2)</f>
        <v/>
      </c>
      <c r="AJ30" s="4">
        <f>IFERROR((AD30/AC30),0)</f>
        <v/>
      </c>
      <c r="AK30" s="4">
        <f>IFERROR(((0+AB11+AB12+AB13+AB14+AB15+AB16+AB17+AB19+AB20+AB21+AB22+AB23+AB24+AB25+AB27+AB28+AB29+AB30)/T2),0)</f>
        <v/>
      </c>
      <c r="AL30" s="5">
        <f>IFERROR(ROUND(AB30/AD30,2),0)</f>
        <v/>
      </c>
      <c r="AM30" s="5">
        <f>IFERROR(ROUND(AB30/AE30,2),0)</f>
        <v/>
      </c>
      <c r="AN30" s="2" t="inlineStr">
        <is>
          <t>2023-10-07</t>
        </is>
      </c>
      <c r="AO30" s="5">
        <f>ROUND(0.0,2)</f>
        <v/>
      </c>
      <c r="AP30" s="3">
        <f>ROUND(9.0,2)</f>
        <v/>
      </c>
      <c r="AQ30" s="3">
        <f>ROUND(0.0,2)</f>
        <v/>
      </c>
      <c r="AR30" s="3">
        <f>ROUND(0.0,2)</f>
        <v/>
      </c>
      <c r="AS30" s="3">
        <f>ROUND(0.0,2)</f>
        <v/>
      </c>
      <c r="AT30" s="3">
        <f>ROUND(0.0,2)</f>
        <v/>
      </c>
      <c r="AU30" s="3">
        <f>ROUND(0.0,2)</f>
        <v/>
      </c>
      <c r="AV30" s="3">
        <f>ROUND(0.0,2)</f>
        <v/>
      </c>
      <c r="AW30" s="4">
        <f>IFERROR((AQ30/AP30),0)</f>
        <v/>
      </c>
      <c r="AX30" s="4">
        <f>IFERROR(((0+AO11+AO12+AO13+AO14+AO15+AO16+AO17+AO19+AO20+AO21+AO22+AO23+AO24+AO25+AO27+AO28+AO29+AO30)/T2),0)</f>
        <v/>
      </c>
      <c r="AY30" s="5">
        <f>IFERROR(ROUND(AO30/AQ30,2),0)</f>
        <v/>
      </c>
      <c r="AZ30" s="5">
        <f>IFERROR(ROUND(AO30/AR30,2),0)</f>
        <v/>
      </c>
      <c r="BA30" s="2" t="inlineStr">
        <is>
          <t>2023-10-07</t>
        </is>
      </c>
      <c r="BB30" s="5">
        <f>ROUND(0.0,2)</f>
        <v/>
      </c>
      <c r="BC30" s="3">
        <f>ROUND(4.0,2)</f>
        <v/>
      </c>
      <c r="BD30" s="3">
        <f>ROUND(0.0,2)</f>
        <v/>
      </c>
      <c r="BE30" s="3">
        <f>ROUND(0.0,2)</f>
        <v/>
      </c>
      <c r="BF30" s="3">
        <f>ROUND(0.0,2)</f>
        <v/>
      </c>
      <c r="BG30" s="3">
        <f>ROUND(0.0,2)</f>
        <v/>
      </c>
      <c r="BH30" s="3">
        <f>ROUND(0.0,2)</f>
        <v/>
      </c>
      <c r="BI30" s="3">
        <f>ROUND(0.0,2)</f>
        <v/>
      </c>
      <c r="BJ30" s="4">
        <f>IFERROR((BD30/BC30),0)</f>
        <v/>
      </c>
      <c r="BK30" s="4">
        <f>IFERROR(((0+BB11+BB12+BB13+BB14+BB15+BB16+BB17+BB19+BB20+BB21+BB22+BB23+BB24+BB25+BB27+BB28+BB29+BB30)/T2),0)</f>
        <v/>
      </c>
      <c r="BL30" s="5">
        <f>IFERROR(ROUND(BB30/BD30,2),0)</f>
        <v/>
      </c>
      <c r="BM30" s="5">
        <f>IFERROR(ROUND(BB30/BE30,2),0)</f>
        <v/>
      </c>
      <c r="BN30" s="2" t="inlineStr">
        <is>
          <t>2023-10-07</t>
        </is>
      </c>
      <c r="BO30" s="5">
        <f>ROUND(3.3600000000000003,2)</f>
        <v/>
      </c>
      <c r="BP30" s="3">
        <f>ROUND(393.0,2)</f>
        <v/>
      </c>
      <c r="BQ30" s="3">
        <f>ROUND(12.0,2)</f>
        <v/>
      </c>
      <c r="BR30" s="3">
        <f>ROUND(36.0,2)</f>
        <v/>
      </c>
      <c r="BS30" s="3">
        <f>ROUND(30.0,2)</f>
        <v/>
      </c>
      <c r="BT30" s="3">
        <f>ROUND(8.0,2)</f>
        <v/>
      </c>
      <c r="BU30" s="3">
        <f>ROUND(6.0,2)</f>
        <v/>
      </c>
      <c r="BV30" s="3">
        <f>ROUND(4.0,2)</f>
        <v/>
      </c>
      <c r="BW30" s="4">
        <f>IFERROR((BQ30/BP30),0)</f>
        <v/>
      </c>
      <c r="BX30" s="4">
        <f>IFERROR(((0+BO11+BO12+BO13+BO14+BO15+BO16+BO17+BO19+BO20+BO21+BO22+BO23+BO24+BO25+BO27+BO28+BO29+BO30)/T2),0)</f>
        <v/>
      </c>
      <c r="BY30" s="5">
        <f>IFERROR(ROUND(BO30/BQ30,2),0)</f>
        <v/>
      </c>
      <c r="BZ30" s="5">
        <f>IFERROR(ROUND(BO30/BR30,2),0)</f>
        <v/>
      </c>
      <c r="CA30" s="2" t="inlineStr">
        <is>
          <t>2023-10-07</t>
        </is>
      </c>
      <c r="CB30" s="5">
        <f>ROUND(0.8400000000000001,2)</f>
        <v/>
      </c>
      <c r="CC30" s="3">
        <f>ROUND(121.0,2)</f>
        <v/>
      </c>
      <c r="CD30" s="3">
        <f>ROUND(3.0,2)</f>
        <v/>
      </c>
      <c r="CE30" s="3">
        <f>ROUND(13.0,2)</f>
        <v/>
      </c>
      <c r="CF30" s="3">
        <f>ROUND(12.0,2)</f>
        <v/>
      </c>
      <c r="CG30" s="3">
        <f>ROUND(4.0,2)</f>
        <v/>
      </c>
      <c r="CH30" s="3">
        <f>ROUND(2.0,2)</f>
        <v/>
      </c>
      <c r="CI30" s="3">
        <f>ROUND(1.0,2)</f>
        <v/>
      </c>
      <c r="CJ30" s="4">
        <f>IFERROR((CD30/CC30),0)</f>
        <v/>
      </c>
      <c r="CK30" s="4">
        <f>IFERROR(((0+CB11+CB12+CB13+CB14+CB15+CB16+CB17+CB19+CB20+CB21+CB22+CB23+CB24+CB25+CB27+CB28+CB29+CB30)/T2),0)</f>
        <v/>
      </c>
      <c r="CL30" s="5">
        <f>IFERROR(ROUND(CB30/CD30,2),0)</f>
        <v/>
      </c>
      <c r="CM30" s="5">
        <f>IFERROR(ROUND(CB30/CE30,2),0)</f>
        <v/>
      </c>
      <c r="CN30" s="2" t="inlineStr">
        <is>
          <t>2023-10-07</t>
        </is>
      </c>
      <c r="CO30" s="5">
        <f>ROUND(0.0,2)</f>
        <v/>
      </c>
      <c r="CP30" s="3">
        <f>ROUND(2.0,2)</f>
        <v/>
      </c>
      <c r="CQ30" s="3">
        <f>ROUND(0.0,2)</f>
        <v/>
      </c>
      <c r="CR30" s="3">
        <f>ROUND(0.0,2)</f>
        <v/>
      </c>
      <c r="CS30" s="3">
        <f>ROUND(0.0,2)</f>
        <v/>
      </c>
      <c r="CT30" s="3">
        <f>ROUND(0.0,2)</f>
        <v/>
      </c>
      <c r="CU30" s="3">
        <f>ROUND(0.0,2)</f>
        <v/>
      </c>
      <c r="CV30" s="3">
        <f>ROUND(0.0,2)</f>
        <v/>
      </c>
      <c r="CW30" s="4">
        <f>IFERROR((CQ30/CP30),0)</f>
        <v/>
      </c>
      <c r="CX30" s="4">
        <f>IFERROR(((0+CO11+CO12+CO13+CO14+CO15+CO16+CO17+CO19+CO20+CO21+CO22+CO23+CO24+CO25+CO27+CO28+CO29+CO30)/T2),0)</f>
        <v/>
      </c>
      <c r="CY30" s="5">
        <f>IFERROR(ROUND(CO30/CQ30,2),0)</f>
        <v/>
      </c>
      <c r="CZ30" s="5">
        <f>IFERROR(ROUND(CO30/CR30,2),0)</f>
        <v/>
      </c>
      <c r="DA30" s="2" t="inlineStr">
        <is>
          <t>2023-10-07</t>
        </is>
      </c>
      <c r="DB30" s="5">
        <f>ROUND(0.0,2)</f>
        <v/>
      </c>
      <c r="DC30" s="3">
        <f>ROUND(0.0,2)</f>
        <v/>
      </c>
      <c r="DD30" s="3">
        <f>ROUND(0.0,2)</f>
        <v/>
      </c>
      <c r="DE30" s="3">
        <f>ROUND(0.0,2)</f>
        <v/>
      </c>
      <c r="DF30" s="3">
        <f>ROUND(0.0,2)</f>
        <v/>
      </c>
      <c r="DG30" s="3">
        <f>ROUND(0.0,2)</f>
        <v/>
      </c>
      <c r="DH30" s="3">
        <f>ROUND(0.0,2)</f>
        <v/>
      </c>
      <c r="DI30" s="3">
        <f>ROUND(0.0,2)</f>
        <v/>
      </c>
      <c r="DJ30" s="4">
        <f>IFERROR((DD30/DC30),0)</f>
        <v/>
      </c>
      <c r="DK30" s="4">
        <f>IFERROR(((0+DB11+DB12+DB13+DB14+DB15+DB16+DB17+DB19+DB20+DB21+DB22+DB23+DB24+DB25+DB27+DB28+DB29+DB30)/T2),0)</f>
        <v/>
      </c>
      <c r="DL30" s="5">
        <f>IFERROR(ROUND(DB30/DD30,2),0)</f>
        <v/>
      </c>
      <c r="DM30" s="5">
        <f>IFERROR(ROUND(DB30/DE30,2),0)</f>
        <v/>
      </c>
      <c r="DN30" s="2" t="inlineStr">
        <is>
          <t>2023-10-07</t>
        </is>
      </c>
      <c r="DO30" s="5">
        <f>ROUND(0.0,2)</f>
        <v/>
      </c>
      <c r="DP30" s="3">
        <f>ROUND(4.0,2)</f>
        <v/>
      </c>
      <c r="DQ30" s="3">
        <f>ROUND(0.0,2)</f>
        <v/>
      </c>
      <c r="DR30" s="3">
        <f>ROUND(0.0,2)</f>
        <v/>
      </c>
      <c r="DS30" s="3">
        <f>ROUND(0.0,2)</f>
        <v/>
      </c>
      <c r="DT30" s="3">
        <f>ROUND(0.0,2)</f>
        <v/>
      </c>
      <c r="DU30" s="3">
        <f>ROUND(0.0,2)</f>
        <v/>
      </c>
      <c r="DV30" s="3">
        <f>ROUND(0.0,2)</f>
        <v/>
      </c>
      <c r="DW30" s="4">
        <f>IFERROR((DQ30/DP30),0)</f>
        <v/>
      </c>
      <c r="DX30" s="4">
        <f>IFERROR(((0+DO11+DO12+DO13+DO14+DO15+DO16+DO17+DO19+DO20+DO21+DO22+DO23+DO24+DO25+DO27+DO28+DO29+DO30)/T2),0)</f>
        <v/>
      </c>
      <c r="DY30" s="5">
        <f>IFERROR(ROUND(DO30/DQ30,2),0)</f>
        <v/>
      </c>
      <c r="DZ30" s="5">
        <f>IFERROR(ROUND(DO30/DR30,2),0)</f>
        <v/>
      </c>
      <c r="EA30" s="2" t="inlineStr">
        <is>
          <t>2023-10-07</t>
        </is>
      </c>
      <c r="EB30" s="5">
        <f>ROUND(0.0,2)</f>
        <v/>
      </c>
      <c r="EC30" s="3">
        <f>ROUND(26.0,2)</f>
        <v/>
      </c>
      <c r="ED30" s="3">
        <f>ROUND(0.0,2)</f>
        <v/>
      </c>
      <c r="EE30" s="3">
        <f>ROUND(0.0,2)</f>
        <v/>
      </c>
      <c r="EF30" s="3">
        <f>ROUND(0.0,2)</f>
        <v/>
      </c>
      <c r="EG30" s="3">
        <f>ROUND(0.0,2)</f>
        <v/>
      </c>
      <c r="EH30" s="3">
        <f>ROUND(0.0,2)</f>
        <v/>
      </c>
      <c r="EI30" s="3">
        <f>ROUND(0.0,2)</f>
        <v/>
      </c>
      <c r="EJ30" s="4">
        <f>IFERROR((ED30/EC30),0)</f>
        <v/>
      </c>
      <c r="EK30" s="4">
        <f>IFERROR(((0+EB11+EB12+EB13+EB14+EB15+EB16+EB17+EB19+EB20+EB21+EB22+EB23+EB24+EB25+EB27+EB28+EB29+EB30)/T2),0)</f>
        <v/>
      </c>
      <c r="EL30" s="5">
        <f>IFERROR(ROUND(EB30/ED30,2),0)</f>
        <v/>
      </c>
      <c r="EM30" s="5">
        <f>IFERROR(ROUND(EB30/EE30,2),0)</f>
        <v/>
      </c>
      <c r="EN30" s="2" t="inlineStr">
        <is>
          <t>2023-10-07</t>
        </is>
      </c>
      <c r="EO30" s="5">
        <f>ROUND(0.0,2)</f>
        <v/>
      </c>
      <c r="EP30" s="3">
        <f>ROUND(38.0,2)</f>
        <v/>
      </c>
      <c r="EQ30" s="3">
        <f>ROUND(0.0,2)</f>
        <v/>
      </c>
      <c r="ER30" s="3">
        <f>ROUND(0.0,2)</f>
        <v/>
      </c>
      <c r="ES30" s="3">
        <f>ROUND(0.0,2)</f>
        <v/>
      </c>
      <c r="ET30" s="3">
        <f>ROUND(0.0,2)</f>
        <v/>
      </c>
      <c r="EU30" s="3">
        <f>ROUND(0.0,2)</f>
        <v/>
      </c>
      <c r="EV30" s="3">
        <f>ROUND(0.0,2)</f>
        <v/>
      </c>
      <c r="EW30" s="4">
        <f>IFERROR((EQ30/EP30),0)</f>
        <v/>
      </c>
      <c r="EX30" s="4">
        <f>IFERROR(((0+EO11+EO12+EO13+EO14+EO15+EO16+EO17+EO19+EO20+EO21+EO22+EO23+EO24+EO25+EO27+EO28+EO29+EO30)/T2),0)</f>
        <v/>
      </c>
      <c r="EY30" s="5">
        <f>IFERROR(ROUND(EO30/EQ30,2),0)</f>
        <v/>
      </c>
      <c r="EZ30" s="5">
        <f>IFERROR(ROUND(EO30/ER30,2),0)</f>
        <v/>
      </c>
      <c r="FA30" s="2" t="inlineStr">
        <is>
          <t>2023-10-07</t>
        </is>
      </c>
      <c r="FB30" s="5">
        <f>ROUND(0.8400000000000001,2)</f>
        <v/>
      </c>
      <c r="FC30" s="3">
        <f>ROUND(204.0,2)</f>
        <v/>
      </c>
      <c r="FD30" s="3">
        <f>ROUND(3.0,2)</f>
        <v/>
      </c>
      <c r="FE30" s="3">
        <f>ROUND(14.0,2)</f>
        <v/>
      </c>
      <c r="FF30" s="3">
        <f>ROUND(12.0,2)</f>
        <v/>
      </c>
      <c r="FG30" s="3">
        <f>ROUND(5.0,2)</f>
        <v/>
      </c>
      <c r="FH30" s="3">
        <f>ROUND(4.0,2)</f>
        <v/>
      </c>
      <c r="FI30" s="3">
        <f>ROUND(3.0,2)</f>
        <v/>
      </c>
      <c r="FJ30" s="4">
        <f>IFERROR((FD30/FC30),0)</f>
        <v/>
      </c>
      <c r="FK30" s="4">
        <f>IFERROR(((0+FB11+FB12+FB13+FB14+FB15+FB16+FB17+FB19+FB20+FB21+FB22+FB23+FB24+FB25+FB27+FB28+FB29+FB30)/T2),0)</f>
        <v/>
      </c>
      <c r="FL30" s="5">
        <f>IFERROR(ROUND(FB30/FD30,2),0)</f>
        <v/>
      </c>
      <c r="FM30" s="5">
        <f>IFERROR(ROUND(FB30/FE30,2),0)</f>
        <v/>
      </c>
      <c r="FN30" s="2" t="inlineStr">
        <is>
          <t>2023-10-07</t>
        </is>
      </c>
      <c r="FO30" s="5">
        <f>ROUND(0.0,2)</f>
        <v/>
      </c>
      <c r="FP30" s="3">
        <f>ROUND(12.0,2)</f>
        <v/>
      </c>
      <c r="FQ30" s="3">
        <f>ROUND(0.0,2)</f>
        <v/>
      </c>
      <c r="FR30" s="3">
        <f>ROUND(0.0,2)</f>
        <v/>
      </c>
      <c r="FS30" s="3">
        <f>ROUND(0.0,2)</f>
        <v/>
      </c>
      <c r="FT30" s="3">
        <f>ROUND(0.0,2)</f>
        <v/>
      </c>
      <c r="FU30" s="3">
        <f>ROUND(0.0,2)</f>
        <v/>
      </c>
      <c r="FV30" s="3">
        <f>ROUND(0.0,2)</f>
        <v/>
      </c>
      <c r="FW30" s="4">
        <f>IFERROR((FQ30/FP30),0)</f>
        <v/>
      </c>
      <c r="FX30" s="4">
        <f>IFERROR(((0+FO11+FO12+FO13+FO14+FO15+FO16+FO17+FO19+FO20+FO21+FO22+FO23+FO24+FO25+FO27+FO28+FO29+FO30)/T2),0)</f>
        <v/>
      </c>
      <c r="FY30" s="5">
        <f>IFERROR(ROUND(FO30/FQ30,2),0)</f>
        <v/>
      </c>
      <c r="FZ30" s="5">
        <f>IFERROR(ROUND(FO30/FR30,2),0)</f>
        <v/>
      </c>
      <c r="GA30" s="2" t="inlineStr">
        <is>
          <t>2023-10-07</t>
        </is>
      </c>
      <c r="GB30" s="5">
        <f>ROUND(0.28,2)</f>
        <v/>
      </c>
      <c r="GC30" s="3">
        <f>ROUND(27.0,2)</f>
        <v/>
      </c>
      <c r="GD30" s="3">
        <f>ROUND(1.0,2)</f>
        <v/>
      </c>
      <c r="GE30" s="3">
        <f>ROUND(7.0,2)</f>
        <v/>
      </c>
      <c r="GF30" s="3">
        <f>ROUND(6.0,2)</f>
        <v/>
      </c>
      <c r="GG30" s="3">
        <f>ROUND(4.0,2)</f>
        <v/>
      </c>
      <c r="GH30" s="3">
        <f>ROUND(3.0,2)</f>
        <v/>
      </c>
      <c r="GI30" s="3">
        <f>ROUND(3.0,2)</f>
        <v/>
      </c>
      <c r="GJ30" s="4">
        <f>IFERROR((GD30/GC30),0)</f>
        <v/>
      </c>
      <c r="GK30" s="4">
        <f>IFERROR(((0+GB11+GB12+GB13+GB14+GB15+GB16+GB17+GB19+GB20+GB21+GB22+GB23+GB24+GB25+GB27+GB28+GB29+GB30)/T2),0)</f>
        <v/>
      </c>
      <c r="GL30" s="5">
        <f>IFERROR(ROUND(GB30/GD30,2),0)</f>
        <v/>
      </c>
      <c r="GM30" s="5">
        <f>IFERROR(ROUND(GB30/GE30,2),0)</f>
        <v/>
      </c>
      <c r="GN30" s="2" t="inlineStr">
        <is>
          <t>2023-10-07</t>
        </is>
      </c>
      <c r="GO30" s="5">
        <f>ROUND(0.0,2)</f>
        <v/>
      </c>
      <c r="GP30" s="3">
        <f>ROUND(19.0,2)</f>
        <v/>
      </c>
      <c r="GQ30" s="3">
        <f>ROUND(0.0,2)</f>
        <v/>
      </c>
      <c r="GR30" s="3">
        <f>ROUND(3.0,2)</f>
        <v/>
      </c>
      <c r="GS30" s="3">
        <f>ROUND(3.0,2)</f>
        <v/>
      </c>
      <c r="GT30" s="3">
        <f>ROUND(2.0,2)</f>
        <v/>
      </c>
      <c r="GU30" s="3">
        <f>ROUND(1.0,2)</f>
        <v/>
      </c>
      <c r="GV30" s="3">
        <f>ROUND(1.0,2)</f>
        <v/>
      </c>
      <c r="GW30" s="4">
        <f>IFERROR((GQ30/GP30),0)</f>
        <v/>
      </c>
      <c r="GX30" s="4">
        <f>IFERROR(((0+GO11+GO12+GO13+GO14+GO15+GO16+GO17+GO19+GO20+GO21+GO22+GO23+GO24+GO25+GO27+GO28+GO29+GO30)/T2),0)</f>
        <v/>
      </c>
      <c r="GY30" s="5">
        <f>IFERROR(ROUND(GO30/GQ30,2),0)</f>
        <v/>
      </c>
      <c r="GZ30" s="5">
        <f>IFERROR(ROUND(GO30/GR30,2),0)</f>
        <v/>
      </c>
      <c r="HA30" s="2" t="inlineStr">
        <is>
          <t>2023-10-07</t>
        </is>
      </c>
      <c r="HB30" s="5">
        <f>ROUND(0.0,2)</f>
        <v/>
      </c>
      <c r="HC30" s="3">
        <f>ROUND(62.0,2)</f>
        <v/>
      </c>
      <c r="HD30" s="3">
        <f>ROUND(0.0,2)</f>
        <v/>
      </c>
      <c r="HE30" s="3">
        <f>ROUND(3.0,2)</f>
        <v/>
      </c>
      <c r="HF30" s="3">
        <f>ROUND(2.0,2)</f>
        <v/>
      </c>
      <c r="HG30" s="3">
        <f>ROUND(1.0,2)</f>
        <v/>
      </c>
      <c r="HH30" s="3">
        <f>ROUND(1.0,2)</f>
        <v/>
      </c>
      <c r="HI30" s="3">
        <f>ROUND(0.0,2)</f>
        <v/>
      </c>
      <c r="HJ30" s="4">
        <f>IFERROR((HD30/HC30),0)</f>
        <v/>
      </c>
      <c r="HK30" s="4">
        <f>IFERROR(((0+HB11+HB12+HB13+HB14+HB15+HB16+HB17+HB19+HB20+HB21+HB22+HB23+HB24+HB25+HB27+HB28+HB29+HB30)/T2),0)</f>
        <v/>
      </c>
      <c r="HL30" s="5">
        <f>IFERROR(ROUND(HB30/HD30,2),0)</f>
        <v/>
      </c>
      <c r="HM30" s="5">
        <f>IFERROR(ROUND(HB30/HE30,2),0)</f>
        <v/>
      </c>
      <c r="HN30" s="2" t="inlineStr">
        <is>
          <t>2023-10-07</t>
        </is>
      </c>
      <c r="HO30" s="5">
        <f>ROUND(0.0,2)</f>
        <v/>
      </c>
      <c r="HP30" s="3">
        <f>ROUND(38.0,2)</f>
        <v/>
      </c>
      <c r="HQ30" s="3">
        <f>ROUND(0.0,2)</f>
        <v/>
      </c>
      <c r="HR30" s="3">
        <f>ROUND(1.0,2)</f>
        <v/>
      </c>
      <c r="HS30" s="3">
        <f>ROUND(1.0,2)</f>
        <v/>
      </c>
      <c r="HT30" s="3">
        <f>ROUND(1.0,2)</f>
        <v/>
      </c>
      <c r="HU30" s="3">
        <f>ROUND(0.0,2)</f>
        <v/>
      </c>
      <c r="HV30" s="3">
        <f>ROUND(0.0,2)</f>
        <v/>
      </c>
      <c r="HW30" s="4">
        <f>IFERROR((HQ30/HP30),0)</f>
        <v/>
      </c>
      <c r="HX30" s="4">
        <f>IFERROR(((0+HO11+HO12+HO13+HO14+HO15+HO16+HO17+HO19+HO20+HO21+HO22+HO23+HO24+HO25+HO27+HO28+HO29+HO30)/T2),0)</f>
        <v/>
      </c>
      <c r="HY30" s="5">
        <f>IFERROR(ROUND(HO30/HQ30,2),0)</f>
        <v/>
      </c>
      <c r="HZ30" s="5">
        <f>IFERROR(ROUND(HO30/HR30,2),0)</f>
        <v/>
      </c>
      <c r="IA30" s="2" t="inlineStr">
        <is>
          <t>2023-10-07</t>
        </is>
      </c>
      <c r="IB30" s="5">
        <f>ROUND(0.28,2)</f>
        <v/>
      </c>
      <c r="IC30" s="3">
        <f>ROUND(77.0,2)</f>
        <v/>
      </c>
      <c r="ID30" s="3">
        <f>ROUND(1.0,2)</f>
        <v/>
      </c>
      <c r="IE30" s="3">
        <f>ROUND(6.0,2)</f>
        <v/>
      </c>
      <c r="IF30" s="3">
        <f>ROUND(5.0,2)</f>
        <v/>
      </c>
      <c r="IG30" s="3">
        <f>ROUND(4.0,2)</f>
        <v/>
      </c>
      <c r="IH30" s="3">
        <f>ROUND(1.0,2)</f>
        <v/>
      </c>
      <c r="II30" s="3">
        <f>ROUND(1.0,2)</f>
        <v/>
      </c>
      <c r="IJ30" s="4">
        <f>IFERROR((ID30/IC30),0)</f>
        <v/>
      </c>
      <c r="IK30" s="4">
        <f>IFERROR(((0+IB11+IB12+IB13+IB14+IB15+IB16+IB17+IB19+IB20+IB21+IB22+IB23+IB24+IB25+IB27+IB28+IB29+IB30)/T2),0)</f>
        <v/>
      </c>
      <c r="IL30" s="5">
        <f>IFERROR(ROUND(IB30/ID30,2),0)</f>
        <v/>
      </c>
      <c r="IM30" s="5">
        <f>IFERROR(ROUND(IB30/IE30,2),0)</f>
        <v/>
      </c>
      <c r="IN30" s="2" t="inlineStr">
        <is>
          <t>2023-10-07</t>
        </is>
      </c>
      <c r="IO30" s="5">
        <f>ROUND(0.0,2)</f>
        <v/>
      </c>
      <c r="IP30" s="3">
        <f>ROUND(33.0,2)</f>
        <v/>
      </c>
      <c r="IQ30" s="3">
        <f>ROUND(0.0,2)</f>
        <v/>
      </c>
      <c r="IR30" s="3">
        <f>ROUND(3.0,2)</f>
        <v/>
      </c>
      <c r="IS30" s="3">
        <f>ROUND(1.0,2)</f>
        <v/>
      </c>
      <c r="IT30" s="3">
        <f>ROUND(1.0,2)</f>
        <v/>
      </c>
      <c r="IU30" s="3">
        <f>ROUND(1.0,2)</f>
        <v/>
      </c>
      <c r="IV30" s="3">
        <f>ROUND(0.0,2)</f>
        <v/>
      </c>
      <c r="IW30" s="4">
        <f>IFERROR((IQ30/IP30),0)</f>
        <v/>
      </c>
      <c r="IX30" s="4">
        <f>IFERROR(((0+IO11+IO12+IO13+IO14+IO15+IO16+IO17+IO19+IO20+IO21+IO22+IO23+IO24+IO25+IO27+IO28+IO29+IO30)/T2),0)</f>
        <v/>
      </c>
      <c r="IY30" s="5">
        <f>IFERROR(ROUND(IO30/IQ30,2),0)</f>
        <v/>
      </c>
      <c r="IZ30" s="5">
        <f>IFERROR(ROUND(IO30/IR30,2),0)</f>
        <v/>
      </c>
      <c r="JA30" s="2" t="inlineStr">
        <is>
          <t>2023-10-07</t>
        </is>
      </c>
      <c r="JB30" s="5">
        <f>ROUND(0.56,2)</f>
        <v/>
      </c>
      <c r="JC30" s="3">
        <f>ROUND(15.0,2)</f>
        <v/>
      </c>
      <c r="JD30" s="3">
        <f>ROUND(2.0,2)</f>
        <v/>
      </c>
      <c r="JE30" s="3">
        <f>ROUND(4.0,2)</f>
        <v/>
      </c>
      <c r="JF30" s="3">
        <f>ROUND(4.0,2)</f>
        <v/>
      </c>
      <c r="JG30" s="3">
        <f>ROUND(2.0,2)</f>
        <v/>
      </c>
      <c r="JH30" s="3">
        <f>ROUND(2.0,2)</f>
        <v/>
      </c>
      <c r="JI30" s="3">
        <f>ROUND(2.0,2)</f>
        <v/>
      </c>
      <c r="JJ30" s="4">
        <f>IFERROR((JD30/JC30),0)</f>
        <v/>
      </c>
      <c r="JK30" s="4">
        <f>IFERROR(((0+JB11+JB12+JB13+JB14+JB15+JB16+JB17+JB19+JB20+JB21+JB22+JB23+JB24+JB25+JB27+JB28+JB29+JB30)/T2),0)</f>
        <v/>
      </c>
      <c r="JL30" s="5">
        <f>IFERROR(ROUND(JB30/JD30,2),0)</f>
        <v/>
      </c>
      <c r="JM30" s="5">
        <f>IFERROR(ROUND(JB30/JE30,2),0)</f>
        <v/>
      </c>
    </row>
    <row r="31">
      <c r="A31" s="2" t="inlineStr">
        <is>
          <t>2023-10-08</t>
        </is>
      </c>
      <c r="B31" s="5">
        <f>ROUND(14.280000000000001,2)</f>
        <v/>
      </c>
      <c r="C31" s="3">
        <f>ROUND(1312.0,2)</f>
        <v/>
      </c>
      <c r="D31" s="3">
        <f>ROUND(51.0,2)</f>
        <v/>
      </c>
      <c r="E31" s="3">
        <f>ROUND(125.0,2)</f>
        <v/>
      </c>
      <c r="F31" s="3">
        <f>ROUND(107.0,2)</f>
        <v/>
      </c>
      <c r="G31" s="3">
        <f>ROUND(51.0,2)</f>
        <v/>
      </c>
      <c r="H31" s="3">
        <f>ROUND(39.0,2)</f>
        <v/>
      </c>
      <c r="I31" s="3">
        <f>ROUND(30.0,2)</f>
        <v/>
      </c>
      <c r="J31" s="4">
        <f>IFERROR((D31/C31),0)</f>
        <v/>
      </c>
      <c r="K31" s="4">
        <f>IFERROR(((0+B11+B12+B13+B14+B15+B16+B17+B19+B20+B21+B22+B23+B24+B25+B27+B28+B29+B30+B31)/T2),0)</f>
        <v/>
      </c>
      <c r="L31" s="5">
        <f>IFERROR(ROUND(B31/D31,2),0)</f>
        <v/>
      </c>
      <c r="M31" s="5">
        <f>IFERROR(ROUND(B31/E31,2),0)</f>
        <v/>
      </c>
      <c r="N31" s="2" t="inlineStr">
        <is>
          <t>2023-10-08</t>
        </is>
      </c>
      <c r="O31" s="5">
        <f>ROUND(0.8400000000000001,2)</f>
        <v/>
      </c>
      <c r="P31" s="3">
        <f>ROUND(61.0,2)</f>
        <v/>
      </c>
      <c r="Q31" s="3">
        <f>ROUND(3.0,2)</f>
        <v/>
      </c>
      <c r="R31" s="3">
        <f>ROUND(5.0,2)</f>
        <v/>
      </c>
      <c r="S31" s="3">
        <f>ROUND(4.0,2)</f>
        <v/>
      </c>
      <c r="T31" s="3">
        <f>ROUND(1.0,2)</f>
        <v/>
      </c>
      <c r="U31" s="3">
        <f>ROUND(1.0,2)</f>
        <v/>
      </c>
      <c r="V31" s="3">
        <f>ROUND(1.0,2)</f>
        <v/>
      </c>
      <c r="W31" s="4">
        <f>IFERROR((Q31/P31),0)</f>
        <v/>
      </c>
      <c r="X31" s="4">
        <f>IFERROR(((0+O11+O12+O13+O14+O15+O16+O17+O19+O20+O21+O22+O23+O24+O25+O27+O28+O29+O30+O31)/T2),0)</f>
        <v/>
      </c>
      <c r="Y31" s="5">
        <f>IFERROR(ROUND(O31/Q31,2),0)</f>
        <v/>
      </c>
      <c r="Z31" s="5">
        <f>IFERROR(ROUND(O31/R31,2),0)</f>
        <v/>
      </c>
      <c r="AA31" s="2" t="inlineStr">
        <is>
          <t>2023-10-08</t>
        </is>
      </c>
      <c r="AB31" s="5">
        <f>ROUND(0.28,2)</f>
        <v/>
      </c>
      <c r="AC31" s="3">
        <f>ROUND(11.0,2)</f>
        <v/>
      </c>
      <c r="AD31" s="3">
        <f>ROUND(1.0,2)</f>
        <v/>
      </c>
      <c r="AE31" s="3">
        <f>ROUND(1.0,2)</f>
        <v/>
      </c>
      <c r="AF31" s="3">
        <f>ROUND(1.0,2)</f>
        <v/>
      </c>
      <c r="AG31" s="3">
        <f>ROUND(1.0,2)</f>
        <v/>
      </c>
      <c r="AH31" s="3">
        <f>ROUND(1.0,2)</f>
        <v/>
      </c>
      <c r="AI31" s="3">
        <f>ROUND(1.0,2)</f>
        <v/>
      </c>
      <c r="AJ31" s="4">
        <f>IFERROR((AD31/AC31),0)</f>
        <v/>
      </c>
      <c r="AK31" s="4">
        <f>IFERROR(((0+AB11+AB12+AB13+AB14+AB15+AB16+AB17+AB19+AB20+AB21+AB22+AB23+AB24+AB25+AB27+AB28+AB29+AB30+AB31)/T2),0)</f>
        <v/>
      </c>
      <c r="AL31" s="5">
        <f>IFERROR(ROUND(AB31/AD31,2),0)</f>
        <v/>
      </c>
      <c r="AM31" s="5">
        <f>IFERROR(ROUND(AB31/AE31,2),0)</f>
        <v/>
      </c>
      <c r="AN31" s="2" t="inlineStr">
        <is>
          <t>2023-10-08</t>
        </is>
      </c>
      <c r="AO31" s="5">
        <f>ROUND(0.56,2)</f>
        <v/>
      </c>
      <c r="AP31" s="3">
        <f>ROUND(33.0,2)</f>
        <v/>
      </c>
      <c r="AQ31" s="3">
        <f>ROUND(2.0,2)</f>
        <v/>
      </c>
      <c r="AR31" s="3">
        <f>ROUND(3.0,2)</f>
        <v/>
      </c>
      <c r="AS31" s="3">
        <f>ROUND(3.0,2)</f>
        <v/>
      </c>
      <c r="AT31" s="3">
        <f>ROUND(2.0,2)</f>
        <v/>
      </c>
      <c r="AU31" s="3">
        <f>ROUND(1.0,2)</f>
        <v/>
      </c>
      <c r="AV31" s="3">
        <f>ROUND(1.0,2)</f>
        <v/>
      </c>
      <c r="AW31" s="4">
        <f>IFERROR((AQ31/AP31),0)</f>
        <v/>
      </c>
      <c r="AX31" s="4">
        <f>IFERROR(((0+AO11+AO12+AO13+AO14+AO15+AO16+AO17+AO19+AO20+AO21+AO22+AO23+AO24+AO25+AO27+AO28+AO29+AO30+AO31)/T2),0)</f>
        <v/>
      </c>
      <c r="AY31" s="5">
        <f>IFERROR(ROUND(AO31/AQ31,2),0)</f>
        <v/>
      </c>
      <c r="AZ31" s="5">
        <f>IFERROR(ROUND(AO31/AR31,2),0)</f>
        <v/>
      </c>
      <c r="BA31" s="2" t="inlineStr">
        <is>
          <t>2023-10-08</t>
        </is>
      </c>
      <c r="BB31" s="5">
        <f>ROUND(0.0,2)</f>
        <v/>
      </c>
      <c r="BC31" s="3">
        <f>ROUND(13.0,2)</f>
        <v/>
      </c>
      <c r="BD31" s="3">
        <f>ROUND(0.0,2)</f>
        <v/>
      </c>
      <c r="BE31" s="3">
        <f>ROUND(1.0,2)</f>
        <v/>
      </c>
      <c r="BF31" s="3">
        <f>ROUND(1.0,2)</f>
        <v/>
      </c>
      <c r="BG31" s="3">
        <f>ROUND(1.0,2)</f>
        <v/>
      </c>
      <c r="BH31" s="3">
        <f>ROUND(1.0,2)</f>
        <v/>
      </c>
      <c r="BI31" s="3">
        <f>ROUND(1.0,2)</f>
        <v/>
      </c>
      <c r="BJ31" s="4">
        <f>IFERROR((BD31/BC31),0)</f>
        <v/>
      </c>
      <c r="BK31" s="4">
        <f>IFERROR(((0+BB11+BB12+BB13+BB14+BB15+BB16+BB17+BB19+BB20+BB21+BB22+BB23+BB24+BB25+BB27+BB28+BB29+BB30+BB31)/T2),0)</f>
        <v/>
      </c>
      <c r="BL31" s="5">
        <f>IFERROR(ROUND(BB31/BD31,2),0)</f>
        <v/>
      </c>
      <c r="BM31" s="5">
        <f>IFERROR(ROUND(BB31/BE31,2),0)</f>
        <v/>
      </c>
      <c r="BN31" s="2" t="inlineStr">
        <is>
          <t>2023-10-08</t>
        </is>
      </c>
      <c r="BO31" s="5">
        <f>ROUND(4.760000000000001,2)</f>
        <v/>
      </c>
      <c r="BP31" s="3">
        <f>ROUND(249.0,2)</f>
        <v/>
      </c>
      <c r="BQ31" s="3">
        <f>ROUND(17.0,2)</f>
        <v/>
      </c>
      <c r="BR31" s="3">
        <f>ROUND(31.0,2)</f>
        <v/>
      </c>
      <c r="BS31" s="3">
        <f>ROUND(25.0,2)</f>
        <v/>
      </c>
      <c r="BT31" s="3">
        <f>ROUND(11.0,2)</f>
        <v/>
      </c>
      <c r="BU31" s="3">
        <f>ROUND(10.0,2)</f>
        <v/>
      </c>
      <c r="BV31" s="3">
        <f>ROUND(7.0,2)</f>
        <v/>
      </c>
      <c r="BW31" s="4">
        <f>IFERROR((BQ31/BP31),0)</f>
        <v/>
      </c>
      <c r="BX31" s="4">
        <f>IFERROR(((0+BO11+BO12+BO13+BO14+BO15+BO16+BO17+BO19+BO20+BO21+BO22+BO23+BO24+BO25+BO27+BO28+BO29+BO30+BO31)/T2),0)</f>
        <v/>
      </c>
      <c r="BY31" s="5">
        <f>IFERROR(ROUND(BO31/BQ31,2),0)</f>
        <v/>
      </c>
      <c r="BZ31" s="5">
        <f>IFERROR(ROUND(BO31/BR31,2),0)</f>
        <v/>
      </c>
      <c r="CA31" s="2" t="inlineStr">
        <is>
          <t>2023-10-08</t>
        </is>
      </c>
      <c r="CB31" s="5">
        <f>ROUND(1.12,2)</f>
        <v/>
      </c>
      <c r="CC31" s="3">
        <f>ROUND(147.0,2)</f>
        <v/>
      </c>
      <c r="CD31" s="3">
        <f>ROUND(4.0,2)</f>
        <v/>
      </c>
      <c r="CE31" s="3">
        <f>ROUND(10.0,2)</f>
        <v/>
      </c>
      <c r="CF31" s="3">
        <f>ROUND(8.0,2)</f>
        <v/>
      </c>
      <c r="CG31" s="3">
        <f>ROUND(3.0,2)</f>
        <v/>
      </c>
      <c r="CH31" s="3">
        <f>ROUND(1.0,2)</f>
        <v/>
      </c>
      <c r="CI31" s="3">
        <f>ROUND(0.0,2)</f>
        <v/>
      </c>
      <c r="CJ31" s="4">
        <f>IFERROR((CD31/CC31),0)</f>
        <v/>
      </c>
      <c r="CK31" s="4">
        <f>IFERROR(((0+CB11+CB12+CB13+CB14+CB15+CB16+CB17+CB19+CB20+CB21+CB22+CB23+CB24+CB25+CB27+CB28+CB29+CB30+CB31)/T2),0)</f>
        <v/>
      </c>
      <c r="CL31" s="5">
        <f>IFERROR(ROUND(CB31/CD31,2),0)</f>
        <v/>
      </c>
      <c r="CM31" s="5">
        <f>IFERROR(ROUND(CB31/CE31,2),0)</f>
        <v/>
      </c>
      <c r="CN31" s="2" t="inlineStr">
        <is>
          <t>2023-10-08</t>
        </is>
      </c>
      <c r="CO31" s="5">
        <f>ROUND(0.0,2)</f>
        <v/>
      </c>
      <c r="CP31" s="3">
        <f>ROUND(21.0,2)</f>
        <v/>
      </c>
      <c r="CQ31" s="3">
        <f>ROUND(0.0,2)</f>
        <v/>
      </c>
      <c r="CR31" s="3">
        <f>ROUND(1.0,2)</f>
        <v/>
      </c>
      <c r="CS31" s="3">
        <f>ROUND(1.0,2)</f>
        <v/>
      </c>
      <c r="CT31" s="3">
        <f>ROUND(1.0,2)</f>
        <v/>
      </c>
      <c r="CU31" s="3">
        <f>ROUND(1.0,2)</f>
        <v/>
      </c>
      <c r="CV31" s="3">
        <f>ROUND(0.0,2)</f>
        <v/>
      </c>
      <c r="CW31" s="4">
        <f>IFERROR((CQ31/CP31),0)</f>
        <v/>
      </c>
      <c r="CX31" s="4">
        <f>IFERROR(((0+CO11+CO12+CO13+CO14+CO15+CO16+CO17+CO19+CO20+CO21+CO22+CO23+CO24+CO25+CO27+CO28+CO29+CO30+CO31)/T2),0)</f>
        <v/>
      </c>
      <c r="CY31" s="5">
        <f>IFERROR(ROUND(CO31/CQ31,2),0)</f>
        <v/>
      </c>
      <c r="CZ31" s="5">
        <f>IFERROR(ROUND(CO31/CR31,2),0)</f>
        <v/>
      </c>
      <c r="DA31" s="2" t="inlineStr">
        <is>
          <t>2023-10-08</t>
        </is>
      </c>
      <c r="DB31" s="5">
        <f>ROUND(0.0,2)</f>
        <v/>
      </c>
      <c r="DC31" s="3">
        <f>ROUND(12.0,2)</f>
        <v/>
      </c>
      <c r="DD31" s="3">
        <f>ROUND(0.0,2)</f>
        <v/>
      </c>
      <c r="DE31" s="3">
        <f>ROUND(2.0,2)</f>
        <v/>
      </c>
      <c r="DF31" s="3">
        <f>ROUND(2.0,2)</f>
        <v/>
      </c>
      <c r="DG31" s="3">
        <f>ROUND(2.0,2)</f>
        <v/>
      </c>
      <c r="DH31" s="3">
        <f>ROUND(2.0,2)</f>
        <v/>
      </c>
      <c r="DI31" s="3">
        <f>ROUND(2.0,2)</f>
        <v/>
      </c>
      <c r="DJ31" s="4">
        <f>IFERROR((DD31/DC31),0)</f>
        <v/>
      </c>
      <c r="DK31" s="4">
        <f>IFERROR(((0+DB11+DB12+DB13+DB14+DB15+DB16+DB17+DB19+DB20+DB21+DB22+DB23+DB24+DB25+DB27+DB28+DB29+DB30+DB31)/T2),0)</f>
        <v/>
      </c>
      <c r="DL31" s="5">
        <f>IFERROR(ROUND(DB31/DD31,2),0)</f>
        <v/>
      </c>
      <c r="DM31" s="5">
        <f>IFERROR(ROUND(DB31/DE31,2),0)</f>
        <v/>
      </c>
      <c r="DN31" s="2" t="inlineStr">
        <is>
          <t>2023-10-08</t>
        </is>
      </c>
      <c r="DO31" s="5">
        <f>ROUND(0.0,2)</f>
        <v/>
      </c>
      <c r="DP31" s="3">
        <f>ROUND(4.0,2)</f>
        <v/>
      </c>
      <c r="DQ31" s="3">
        <f>ROUND(0.0,2)</f>
        <v/>
      </c>
      <c r="DR31" s="3">
        <f>ROUND(0.0,2)</f>
        <v/>
      </c>
      <c r="DS31" s="3">
        <f>ROUND(0.0,2)</f>
        <v/>
      </c>
      <c r="DT31" s="3">
        <f>ROUND(0.0,2)</f>
        <v/>
      </c>
      <c r="DU31" s="3">
        <f>ROUND(0.0,2)</f>
        <v/>
      </c>
      <c r="DV31" s="3">
        <f>ROUND(0.0,2)</f>
        <v/>
      </c>
      <c r="DW31" s="4">
        <f>IFERROR((DQ31/DP31),0)</f>
        <v/>
      </c>
      <c r="DX31" s="4">
        <f>IFERROR(((0+DO11+DO12+DO13+DO14+DO15+DO16+DO17+DO19+DO20+DO21+DO22+DO23+DO24+DO25+DO27+DO28+DO29+DO30+DO31)/T2),0)</f>
        <v/>
      </c>
      <c r="DY31" s="5">
        <f>IFERROR(ROUND(DO31/DQ31,2),0)</f>
        <v/>
      </c>
      <c r="DZ31" s="5">
        <f>IFERROR(ROUND(DO31/DR31,2),0)</f>
        <v/>
      </c>
      <c r="EA31" s="2" t="inlineStr">
        <is>
          <t>2023-10-08</t>
        </is>
      </c>
      <c r="EB31" s="5">
        <f>ROUND(1.6800000000000002,2)</f>
        <v/>
      </c>
      <c r="EC31" s="3">
        <f>ROUND(193.0,2)</f>
        <v/>
      </c>
      <c r="ED31" s="3">
        <f>ROUND(6.0,2)</f>
        <v/>
      </c>
      <c r="EE31" s="3">
        <f>ROUND(6.0,2)</f>
        <v/>
      </c>
      <c r="EF31" s="3">
        <f>ROUND(4.0,2)</f>
        <v/>
      </c>
      <c r="EG31" s="3">
        <f>ROUND(2.0,2)</f>
        <v/>
      </c>
      <c r="EH31" s="3">
        <f>ROUND(1.0,2)</f>
        <v/>
      </c>
      <c r="EI31" s="3">
        <f>ROUND(1.0,2)</f>
        <v/>
      </c>
      <c r="EJ31" s="4">
        <f>IFERROR((ED31/EC31),0)</f>
        <v/>
      </c>
      <c r="EK31" s="4">
        <f>IFERROR(((0+EB11+EB12+EB13+EB14+EB15+EB16+EB17+EB19+EB20+EB21+EB22+EB23+EB24+EB25+EB27+EB28+EB29+EB30+EB31)/T2),0)</f>
        <v/>
      </c>
      <c r="EL31" s="5">
        <f>IFERROR(ROUND(EB31/ED31,2),0)</f>
        <v/>
      </c>
      <c r="EM31" s="5">
        <f>IFERROR(ROUND(EB31/EE31,2),0)</f>
        <v/>
      </c>
      <c r="EN31" s="2" t="inlineStr">
        <is>
          <t>2023-10-08</t>
        </is>
      </c>
      <c r="EO31" s="5">
        <f>ROUND(1.4000000000000001,2)</f>
        <v/>
      </c>
      <c r="EP31" s="3">
        <f>ROUND(79.0,2)</f>
        <v/>
      </c>
      <c r="EQ31" s="3">
        <f>ROUND(5.0,2)</f>
        <v/>
      </c>
      <c r="ER31" s="3">
        <f>ROUND(11.0,2)</f>
        <v/>
      </c>
      <c r="ES31" s="3">
        <f>ROUND(9.0,2)</f>
        <v/>
      </c>
      <c r="ET31" s="3">
        <f>ROUND(3.0,2)</f>
        <v/>
      </c>
      <c r="EU31" s="3">
        <f>ROUND(2.0,2)</f>
        <v/>
      </c>
      <c r="EV31" s="3">
        <f>ROUND(1.0,2)</f>
        <v/>
      </c>
      <c r="EW31" s="4">
        <f>IFERROR((EQ31/EP31),0)</f>
        <v/>
      </c>
      <c r="EX31" s="4">
        <f>IFERROR(((0+EO11+EO12+EO13+EO14+EO15+EO16+EO17+EO19+EO20+EO21+EO22+EO23+EO24+EO25+EO27+EO28+EO29+EO30+EO31)/T2),0)</f>
        <v/>
      </c>
      <c r="EY31" s="5">
        <f>IFERROR(ROUND(EO31/EQ31,2),0)</f>
        <v/>
      </c>
      <c r="EZ31" s="5">
        <f>IFERROR(ROUND(EO31/ER31,2),0)</f>
        <v/>
      </c>
      <c r="FA31" s="2" t="inlineStr">
        <is>
          <t>2023-10-08</t>
        </is>
      </c>
      <c r="FB31" s="5">
        <f>ROUND(0.8400000000000001,2)</f>
        <v/>
      </c>
      <c r="FC31" s="3">
        <f>ROUND(104.0,2)</f>
        <v/>
      </c>
      <c r="FD31" s="3">
        <f>ROUND(3.0,2)</f>
        <v/>
      </c>
      <c r="FE31" s="3">
        <f>ROUND(10.0,2)</f>
        <v/>
      </c>
      <c r="FF31" s="3">
        <f>ROUND(10.0,2)</f>
        <v/>
      </c>
      <c r="FG31" s="3">
        <f>ROUND(4.0,2)</f>
        <v/>
      </c>
      <c r="FH31" s="3">
        <f>ROUND(3.0,2)</f>
        <v/>
      </c>
      <c r="FI31" s="3">
        <f>ROUND(3.0,2)</f>
        <v/>
      </c>
      <c r="FJ31" s="4">
        <f>IFERROR((FD31/FC31),0)</f>
        <v/>
      </c>
      <c r="FK31" s="4">
        <f>IFERROR(((0+FB11+FB12+FB13+FB14+FB15+FB16+FB17+FB19+FB20+FB21+FB22+FB23+FB24+FB25+FB27+FB28+FB29+FB30+FB31)/T2),0)</f>
        <v/>
      </c>
      <c r="FL31" s="5">
        <f>IFERROR(ROUND(FB31/FD31,2),0)</f>
        <v/>
      </c>
      <c r="FM31" s="5">
        <f>IFERROR(ROUND(FB31/FE31,2),0)</f>
        <v/>
      </c>
      <c r="FN31" s="2" t="inlineStr">
        <is>
          <t>2023-10-08</t>
        </is>
      </c>
      <c r="FO31" s="5">
        <f>ROUND(0.0,2)</f>
        <v/>
      </c>
      <c r="FP31" s="3">
        <f>ROUND(16.0,2)</f>
        <v/>
      </c>
      <c r="FQ31" s="3">
        <f>ROUND(0.0,2)</f>
        <v/>
      </c>
      <c r="FR31" s="3">
        <f>ROUND(3.0,2)</f>
        <v/>
      </c>
      <c r="FS31" s="3">
        <f>ROUND(3.0,2)</f>
        <v/>
      </c>
      <c r="FT31" s="3">
        <f>ROUND(2.0,2)</f>
        <v/>
      </c>
      <c r="FU31" s="3">
        <f>ROUND(1.0,2)</f>
        <v/>
      </c>
      <c r="FV31" s="3">
        <f>ROUND(1.0,2)</f>
        <v/>
      </c>
      <c r="FW31" s="4">
        <f>IFERROR((FQ31/FP31),0)</f>
        <v/>
      </c>
      <c r="FX31" s="4">
        <f>IFERROR(((0+FO11+FO12+FO13+FO14+FO15+FO16+FO17+FO19+FO20+FO21+FO22+FO23+FO24+FO25+FO27+FO28+FO29+FO30+FO31)/T2),0)</f>
        <v/>
      </c>
      <c r="FY31" s="5">
        <f>IFERROR(ROUND(FO31/FQ31,2),0)</f>
        <v/>
      </c>
      <c r="FZ31" s="5">
        <f>IFERROR(ROUND(FO31/FR31,2),0)</f>
        <v/>
      </c>
      <c r="GA31" s="2" t="inlineStr">
        <is>
          <t>2023-10-08</t>
        </is>
      </c>
      <c r="GB31" s="5">
        <f>ROUND(2.24,2)</f>
        <v/>
      </c>
      <c r="GC31" s="3">
        <f>ROUND(162.0,2)</f>
        <v/>
      </c>
      <c r="GD31" s="3">
        <f>ROUND(8.0,2)</f>
        <v/>
      </c>
      <c r="GE31" s="3">
        <f>ROUND(27.0,2)</f>
        <v/>
      </c>
      <c r="GF31" s="3">
        <f>ROUND(24.0,2)</f>
        <v/>
      </c>
      <c r="GG31" s="3">
        <f>ROUND(11.0,2)</f>
        <v/>
      </c>
      <c r="GH31" s="3">
        <f>ROUND(7.0,2)</f>
        <v/>
      </c>
      <c r="GI31" s="3">
        <f>ROUND(5.0,2)</f>
        <v/>
      </c>
      <c r="GJ31" s="4">
        <f>IFERROR((GD31/GC31),0)</f>
        <v/>
      </c>
      <c r="GK31" s="4">
        <f>IFERROR(((0+GB11+GB12+GB13+GB14+GB15+GB16+GB17+GB19+GB20+GB21+GB22+GB23+GB24+GB25+GB27+GB28+GB29+GB30+GB31)/T2),0)</f>
        <v/>
      </c>
      <c r="GL31" s="5">
        <f>IFERROR(ROUND(GB31/GD31,2),0)</f>
        <v/>
      </c>
      <c r="GM31" s="5">
        <f>IFERROR(ROUND(GB31/GE31,2),0)</f>
        <v/>
      </c>
      <c r="GN31" s="2" t="inlineStr">
        <is>
          <t>2023-10-08</t>
        </is>
      </c>
      <c r="GO31" s="5">
        <f>ROUND(0.0,2)</f>
        <v/>
      </c>
      <c r="GP31" s="3">
        <f>ROUND(15.0,2)</f>
        <v/>
      </c>
      <c r="GQ31" s="3">
        <f>ROUND(0.0,2)</f>
        <v/>
      </c>
      <c r="GR31" s="3">
        <f>ROUND(1.0,2)</f>
        <v/>
      </c>
      <c r="GS31" s="3">
        <f>ROUND(1.0,2)</f>
        <v/>
      </c>
      <c r="GT31" s="3">
        <f>ROUND(1.0,2)</f>
        <v/>
      </c>
      <c r="GU31" s="3">
        <f>ROUND(1.0,2)</f>
        <v/>
      </c>
      <c r="GV31" s="3">
        <f>ROUND(1.0,2)</f>
        <v/>
      </c>
      <c r="GW31" s="4">
        <f>IFERROR((GQ31/GP31),0)</f>
        <v/>
      </c>
      <c r="GX31" s="4">
        <f>IFERROR(((0+GO11+GO12+GO13+GO14+GO15+GO16+GO17+GO19+GO20+GO21+GO22+GO23+GO24+GO25+GO27+GO28+GO29+GO30+GO31)/T2),0)</f>
        <v/>
      </c>
      <c r="GY31" s="5">
        <f>IFERROR(ROUND(GO31/GQ31,2),0)</f>
        <v/>
      </c>
      <c r="GZ31" s="5">
        <f>IFERROR(ROUND(GO31/GR31,2),0)</f>
        <v/>
      </c>
      <c r="HA31" s="2" t="inlineStr">
        <is>
          <t>2023-10-08</t>
        </is>
      </c>
      <c r="HB31" s="5">
        <f>ROUND(0.28,2)</f>
        <v/>
      </c>
      <c r="HC31" s="3">
        <f>ROUND(82.0,2)</f>
        <v/>
      </c>
      <c r="HD31" s="3">
        <f>ROUND(1.0,2)</f>
        <v/>
      </c>
      <c r="HE31" s="3">
        <f>ROUND(7.0,2)</f>
        <v/>
      </c>
      <c r="HF31" s="3">
        <f>ROUND(6.0,2)</f>
        <v/>
      </c>
      <c r="HG31" s="3">
        <f>ROUND(3.0,2)</f>
        <v/>
      </c>
      <c r="HH31" s="3">
        <f>ROUND(3.0,2)</f>
        <v/>
      </c>
      <c r="HI31" s="3">
        <f>ROUND(2.0,2)</f>
        <v/>
      </c>
      <c r="HJ31" s="4">
        <f>IFERROR((HD31/HC31),0)</f>
        <v/>
      </c>
      <c r="HK31" s="4">
        <f>IFERROR(((0+HB11+HB12+HB13+HB14+HB15+HB16+HB17+HB19+HB20+HB21+HB22+HB23+HB24+HB25+HB27+HB28+HB29+HB30+HB31)/T2),0)</f>
        <v/>
      </c>
      <c r="HL31" s="5">
        <f>IFERROR(ROUND(HB31/HD31,2),0)</f>
        <v/>
      </c>
      <c r="HM31" s="5">
        <f>IFERROR(ROUND(HB31/HE31,2),0)</f>
        <v/>
      </c>
      <c r="HN31" s="2" t="inlineStr">
        <is>
          <t>2023-10-08</t>
        </is>
      </c>
      <c r="HO31" s="5">
        <f>ROUND(0.0,2)</f>
        <v/>
      </c>
      <c r="HP31" s="3">
        <f>ROUND(28.0,2)</f>
        <v/>
      </c>
      <c r="HQ31" s="3">
        <f>ROUND(0.0,2)</f>
        <v/>
      </c>
      <c r="HR31" s="3">
        <f>ROUND(0.0,2)</f>
        <v/>
      </c>
      <c r="HS31" s="3">
        <f>ROUND(0.0,2)</f>
        <v/>
      </c>
      <c r="HT31" s="3">
        <f>ROUND(0.0,2)</f>
        <v/>
      </c>
      <c r="HU31" s="3">
        <f>ROUND(0.0,2)</f>
        <v/>
      </c>
      <c r="HV31" s="3">
        <f>ROUND(0.0,2)</f>
        <v/>
      </c>
      <c r="HW31" s="4">
        <f>IFERROR((HQ31/HP31),0)</f>
        <v/>
      </c>
      <c r="HX31" s="4">
        <f>IFERROR(((0+HO11+HO12+HO13+HO14+HO15+HO16+HO17+HO19+HO20+HO21+HO22+HO23+HO24+HO25+HO27+HO28+HO29+HO30+HO31)/T2),0)</f>
        <v/>
      </c>
      <c r="HY31" s="5">
        <f>IFERROR(ROUND(HO31/HQ31,2),0)</f>
        <v/>
      </c>
      <c r="HZ31" s="5">
        <f>IFERROR(ROUND(HO31/HR31,2),0)</f>
        <v/>
      </c>
      <c r="IA31" s="2" t="inlineStr">
        <is>
          <t>2023-10-08</t>
        </is>
      </c>
      <c r="IB31" s="5">
        <f>ROUND(0.28,2)</f>
        <v/>
      </c>
      <c r="IC31" s="3">
        <f>ROUND(44.0,2)</f>
        <v/>
      </c>
      <c r="ID31" s="3">
        <f>ROUND(1.0,2)</f>
        <v/>
      </c>
      <c r="IE31" s="3">
        <f>ROUND(1.0,2)</f>
        <v/>
      </c>
      <c r="IF31" s="3">
        <f>ROUND(1.0,2)</f>
        <v/>
      </c>
      <c r="IG31" s="3">
        <f>ROUND(0.0,2)</f>
        <v/>
      </c>
      <c r="IH31" s="3">
        <f>ROUND(0.0,2)</f>
        <v/>
      </c>
      <c r="II31" s="3">
        <f>ROUND(0.0,2)</f>
        <v/>
      </c>
      <c r="IJ31" s="4">
        <f>IFERROR((ID31/IC31),0)</f>
        <v/>
      </c>
      <c r="IK31" s="4">
        <f>IFERROR(((0+IB11+IB12+IB13+IB14+IB15+IB16+IB17+IB19+IB20+IB21+IB22+IB23+IB24+IB25+IB27+IB28+IB29+IB30+IB31)/T2),0)</f>
        <v/>
      </c>
      <c r="IL31" s="5">
        <f>IFERROR(ROUND(IB31/ID31,2),0)</f>
        <v/>
      </c>
      <c r="IM31" s="5">
        <f>IFERROR(ROUND(IB31/IE31,2),0)</f>
        <v/>
      </c>
      <c r="IN31" s="2" t="inlineStr">
        <is>
          <t>2023-10-08</t>
        </is>
      </c>
      <c r="IO31" s="5">
        <f>ROUND(0.0,2)</f>
        <v/>
      </c>
      <c r="IP31" s="3">
        <f>ROUND(29.0,2)</f>
        <v/>
      </c>
      <c r="IQ31" s="3">
        <f>ROUND(0.0,2)</f>
        <v/>
      </c>
      <c r="IR31" s="3">
        <f>ROUND(3.0,2)</f>
        <v/>
      </c>
      <c r="IS31" s="3">
        <f>ROUND(2.0,2)</f>
        <v/>
      </c>
      <c r="IT31" s="3">
        <f>ROUND(2.0,2)</f>
        <v/>
      </c>
      <c r="IU31" s="3">
        <f>ROUND(2.0,2)</f>
        <v/>
      </c>
      <c r="IV31" s="3">
        <f>ROUND(2.0,2)</f>
        <v/>
      </c>
      <c r="IW31" s="4">
        <f>IFERROR((IQ31/IP31),0)</f>
        <v/>
      </c>
      <c r="IX31" s="4">
        <f>IFERROR(((0+IO11+IO12+IO13+IO14+IO15+IO16+IO17+IO19+IO20+IO21+IO22+IO23+IO24+IO25+IO27+IO28+IO29+IO30+IO31)/T2),0)</f>
        <v/>
      </c>
      <c r="IY31" s="5">
        <f>IFERROR(ROUND(IO31/IQ31,2),0)</f>
        <v/>
      </c>
      <c r="IZ31" s="5">
        <f>IFERROR(ROUND(IO31/IR31,2),0)</f>
        <v/>
      </c>
      <c r="JA31" s="2" t="inlineStr">
        <is>
          <t>2023-10-08</t>
        </is>
      </c>
      <c r="JB31" s="5">
        <f>ROUND(0.0,2)</f>
        <v/>
      </c>
      <c r="JC31" s="3">
        <f>ROUND(9.0,2)</f>
        <v/>
      </c>
      <c r="JD31" s="3">
        <f>ROUND(0.0,2)</f>
        <v/>
      </c>
      <c r="JE31" s="3">
        <f>ROUND(2.0,2)</f>
        <v/>
      </c>
      <c r="JF31" s="3">
        <f>ROUND(2.0,2)</f>
        <v/>
      </c>
      <c r="JG31" s="3">
        <f>ROUND(1.0,2)</f>
        <v/>
      </c>
      <c r="JH31" s="3">
        <f>ROUND(1.0,2)</f>
        <v/>
      </c>
      <c r="JI31" s="3">
        <f>ROUND(1.0,2)</f>
        <v/>
      </c>
      <c r="JJ31" s="4">
        <f>IFERROR((JD31/JC31),0)</f>
        <v/>
      </c>
      <c r="JK31" s="4">
        <f>IFERROR(((0+JB11+JB12+JB13+JB14+JB15+JB16+JB17+JB19+JB20+JB21+JB22+JB23+JB24+JB25+JB27+JB28+JB29+JB30+JB31)/T2),0)</f>
        <v/>
      </c>
      <c r="JL31" s="5">
        <f>IFERROR(ROUND(JB31/JD31,2),0)</f>
        <v/>
      </c>
      <c r="JM31" s="5">
        <f>IFERROR(ROUND(JB31/JE31,2),0)</f>
        <v/>
      </c>
    </row>
    <row r="32">
      <c r="A32" s="2" t="inlineStr">
        <is>
          <t>2023-10-09</t>
        </is>
      </c>
      <c r="B32" s="5">
        <f>ROUND(23.800000000000004,2)</f>
        <v/>
      </c>
      <c r="C32" s="3">
        <f>ROUND(2625.0,2)</f>
        <v/>
      </c>
      <c r="D32" s="3">
        <f>ROUND(85.0,2)</f>
        <v/>
      </c>
      <c r="E32" s="3">
        <f>ROUND(146.0,2)</f>
        <v/>
      </c>
      <c r="F32" s="3">
        <f>ROUND(122.0,2)</f>
        <v/>
      </c>
      <c r="G32" s="3">
        <f>ROUND(58.0,2)</f>
        <v/>
      </c>
      <c r="H32" s="3">
        <f>ROUND(42.0,2)</f>
        <v/>
      </c>
      <c r="I32" s="3">
        <f>ROUND(33.0,2)</f>
        <v/>
      </c>
      <c r="J32" s="4">
        <f>IFERROR((D32/C32),0)</f>
        <v/>
      </c>
      <c r="K32" s="4">
        <f>IFERROR(((0+B11+B12+B13+B14+B15+B16+B17+B19+B20+B21+B22+B23+B24+B25+B27+B28+B29+B30+B31+B32)/T2),0)</f>
        <v/>
      </c>
      <c r="L32" s="5">
        <f>IFERROR(ROUND(B32/D32,2),0)</f>
        <v/>
      </c>
      <c r="M32" s="5">
        <f>IFERROR(ROUND(B32/E32,2),0)</f>
        <v/>
      </c>
      <c r="N32" s="2" t="inlineStr">
        <is>
          <t>2023-10-09</t>
        </is>
      </c>
      <c r="O32" s="5">
        <f>ROUND(7.000000000000001,2)</f>
        <v/>
      </c>
      <c r="P32" s="3">
        <f>ROUND(420.0,2)</f>
        <v/>
      </c>
      <c r="Q32" s="3">
        <f>ROUND(25.0,2)</f>
        <v/>
      </c>
      <c r="R32" s="3">
        <f>ROUND(26.0,2)</f>
        <v/>
      </c>
      <c r="S32" s="3">
        <f>ROUND(20.0,2)</f>
        <v/>
      </c>
      <c r="T32" s="3">
        <f>ROUND(11.0,2)</f>
        <v/>
      </c>
      <c r="U32" s="3">
        <f>ROUND(8.0,2)</f>
        <v/>
      </c>
      <c r="V32" s="3">
        <f>ROUND(7.0,2)</f>
        <v/>
      </c>
      <c r="W32" s="4">
        <f>IFERROR((Q32/P32),0)</f>
        <v/>
      </c>
      <c r="X32" s="4">
        <f>IFERROR(((0+O11+O12+O13+O14+O15+O16+O17+O19+O20+O21+O22+O23+O24+O25+O27+O28+O29+O30+O31+O32)/T2),0)</f>
        <v/>
      </c>
      <c r="Y32" s="5">
        <f>IFERROR(ROUND(O32/Q32,2),0)</f>
        <v/>
      </c>
      <c r="Z32" s="5">
        <f>IFERROR(ROUND(O32/R32,2),0)</f>
        <v/>
      </c>
      <c r="AA32" s="2" t="inlineStr">
        <is>
          <t>2023-10-09</t>
        </is>
      </c>
      <c r="AB32" s="5">
        <f>ROUND(2.8000000000000003,2)</f>
        <v/>
      </c>
      <c r="AC32" s="3">
        <f>ROUND(253.0,2)</f>
        <v/>
      </c>
      <c r="AD32" s="3">
        <f>ROUND(10.0,2)</f>
        <v/>
      </c>
      <c r="AE32" s="3">
        <f>ROUND(11.0,2)</f>
        <v/>
      </c>
      <c r="AF32" s="3">
        <f>ROUND(9.0,2)</f>
        <v/>
      </c>
      <c r="AG32" s="3">
        <f>ROUND(8.0,2)</f>
        <v/>
      </c>
      <c r="AH32" s="3">
        <f>ROUND(7.0,2)</f>
        <v/>
      </c>
      <c r="AI32" s="3">
        <f>ROUND(4.0,2)</f>
        <v/>
      </c>
      <c r="AJ32" s="4">
        <f>IFERROR((AD32/AC32),0)</f>
        <v/>
      </c>
      <c r="AK32" s="4">
        <f>IFERROR(((0+AB11+AB12+AB13+AB14+AB15+AB16+AB17+AB19+AB20+AB21+AB22+AB23+AB24+AB25+AB27+AB28+AB29+AB30+AB31+AB32)/T2),0)</f>
        <v/>
      </c>
      <c r="AL32" s="5">
        <f>IFERROR(ROUND(AB32/AD32,2),0)</f>
        <v/>
      </c>
      <c r="AM32" s="5">
        <f>IFERROR(ROUND(AB32/AE32,2),0)</f>
        <v/>
      </c>
      <c r="AN32" s="2" t="inlineStr">
        <is>
          <t>2023-10-09</t>
        </is>
      </c>
      <c r="AO32" s="5">
        <f>ROUND(0.0,2)</f>
        <v/>
      </c>
      <c r="AP32" s="3">
        <f>ROUND(33.0,2)</f>
        <v/>
      </c>
      <c r="AQ32" s="3">
        <f>ROUND(0.0,2)</f>
        <v/>
      </c>
      <c r="AR32" s="3">
        <f>ROUND(2.0,2)</f>
        <v/>
      </c>
      <c r="AS32" s="3">
        <f>ROUND(2.0,2)</f>
        <v/>
      </c>
      <c r="AT32" s="3">
        <f>ROUND(1.0,2)</f>
        <v/>
      </c>
      <c r="AU32" s="3">
        <f>ROUND(1.0,2)</f>
        <v/>
      </c>
      <c r="AV32" s="3">
        <f>ROUND(1.0,2)</f>
        <v/>
      </c>
      <c r="AW32" s="4">
        <f>IFERROR((AQ32/AP32),0)</f>
        <v/>
      </c>
      <c r="AX32" s="4">
        <f>IFERROR(((0+AO11+AO12+AO13+AO14+AO15+AO16+AO17+AO19+AO20+AO21+AO22+AO23+AO24+AO25+AO27+AO28+AO29+AO30+AO31+AO32)/T2),0)</f>
        <v/>
      </c>
      <c r="AY32" s="5">
        <f>IFERROR(ROUND(AO32/AQ32,2),0)</f>
        <v/>
      </c>
      <c r="AZ32" s="5">
        <f>IFERROR(ROUND(AO32/AR32,2),0)</f>
        <v/>
      </c>
      <c r="BA32" s="2" t="inlineStr">
        <is>
          <t>2023-10-09</t>
        </is>
      </c>
      <c r="BB32" s="5">
        <f>ROUND(3.0800000000000005,2)</f>
        <v/>
      </c>
      <c r="BC32" s="3">
        <f>ROUND(329.0,2)</f>
        <v/>
      </c>
      <c r="BD32" s="3">
        <f>ROUND(11.0,2)</f>
        <v/>
      </c>
      <c r="BE32" s="3">
        <f>ROUND(14.0,2)</f>
        <v/>
      </c>
      <c r="BF32" s="3">
        <f>ROUND(13.0,2)</f>
        <v/>
      </c>
      <c r="BG32" s="3">
        <f>ROUND(7.0,2)</f>
        <v/>
      </c>
      <c r="BH32" s="3">
        <f>ROUND(6.0,2)</f>
        <v/>
      </c>
      <c r="BI32" s="3">
        <f>ROUND(6.0,2)</f>
        <v/>
      </c>
      <c r="BJ32" s="4">
        <f>IFERROR((BD32/BC32),0)</f>
        <v/>
      </c>
      <c r="BK32" s="4">
        <f>IFERROR(((0+BB11+BB12+BB13+BB14+BB15+BB16+BB17+BB19+BB20+BB21+BB22+BB23+BB24+BB25+BB27+BB28+BB29+BB30+BB31+BB32)/T2),0)</f>
        <v/>
      </c>
      <c r="BL32" s="5">
        <f>IFERROR(ROUND(BB32/BD32,2),0)</f>
        <v/>
      </c>
      <c r="BM32" s="5">
        <f>IFERROR(ROUND(BB32/BE32,2),0)</f>
        <v/>
      </c>
      <c r="BN32" s="2" t="inlineStr">
        <is>
          <t>2023-10-09</t>
        </is>
      </c>
      <c r="BO32" s="5">
        <f>ROUND(5.32,2)</f>
        <v/>
      </c>
      <c r="BP32" s="3">
        <f>ROUND(622.0,2)</f>
        <v/>
      </c>
      <c r="BQ32" s="3">
        <f>ROUND(19.0,2)</f>
        <v/>
      </c>
      <c r="BR32" s="3">
        <f>ROUND(29.0,2)</f>
        <v/>
      </c>
      <c r="BS32" s="3">
        <f>ROUND(22.0,2)</f>
        <v/>
      </c>
      <c r="BT32" s="3">
        <f>ROUND(9.0,2)</f>
        <v/>
      </c>
      <c r="BU32" s="3">
        <f>ROUND(7.0,2)</f>
        <v/>
      </c>
      <c r="BV32" s="3">
        <f>ROUND(5.0,2)</f>
        <v/>
      </c>
      <c r="BW32" s="4">
        <f>IFERROR((BQ32/BP32),0)</f>
        <v/>
      </c>
      <c r="BX32" s="4">
        <f>IFERROR(((0+BO11+BO12+BO13+BO14+BO15+BO16+BO17+BO19+BO20+BO21+BO22+BO23+BO24+BO25+BO27+BO28+BO29+BO30+BO31+BO32)/T2),0)</f>
        <v/>
      </c>
      <c r="BY32" s="5">
        <f>IFERROR(ROUND(BO32/BQ32,2),0)</f>
        <v/>
      </c>
      <c r="BZ32" s="5">
        <f>IFERROR(ROUND(BO32/BR32,2),0)</f>
        <v/>
      </c>
      <c r="CA32" s="2" t="inlineStr">
        <is>
          <t>2023-10-09</t>
        </is>
      </c>
      <c r="CB32" s="5">
        <f>ROUND(0.56,2)</f>
        <v/>
      </c>
      <c r="CC32" s="3">
        <f>ROUND(318.0,2)</f>
        <v/>
      </c>
      <c r="CD32" s="3">
        <f>ROUND(2.0,2)</f>
        <v/>
      </c>
      <c r="CE32" s="3">
        <f>ROUND(13.0,2)</f>
        <v/>
      </c>
      <c r="CF32" s="3">
        <f>ROUND(12.0,2)</f>
        <v/>
      </c>
      <c r="CG32" s="3">
        <f>ROUND(3.0,2)</f>
        <v/>
      </c>
      <c r="CH32" s="3">
        <f>ROUND(1.0,2)</f>
        <v/>
      </c>
      <c r="CI32" s="3">
        <f>ROUND(1.0,2)</f>
        <v/>
      </c>
      <c r="CJ32" s="4">
        <f>IFERROR((CD32/CC32),0)</f>
        <v/>
      </c>
      <c r="CK32" s="4">
        <f>IFERROR(((0+CB11+CB12+CB13+CB14+CB15+CB16+CB17+CB19+CB20+CB21+CB22+CB23+CB24+CB25+CB27+CB28+CB29+CB30+CB31+CB32)/T2),0)</f>
        <v/>
      </c>
      <c r="CL32" s="5">
        <f>IFERROR(ROUND(CB32/CD32,2),0)</f>
        <v/>
      </c>
      <c r="CM32" s="5">
        <f>IFERROR(ROUND(CB32/CE32,2),0)</f>
        <v/>
      </c>
      <c r="CN32" s="2" t="inlineStr">
        <is>
          <t>2023-10-09</t>
        </is>
      </c>
      <c r="CO32" s="5">
        <f>ROUND(0.28,2)</f>
        <v/>
      </c>
      <c r="CP32" s="3">
        <f>ROUND(74.0,2)</f>
        <v/>
      </c>
      <c r="CQ32" s="3">
        <f>ROUND(1.0,2)</f>
        <v/>
      </c>
      <c r="CR32" s="3">
        <f>ROUND(1.0,2)</f>
        <v/>
      </c>
      <c r="CS32" s="3">
        <f>ROUND(0.0,2)</f>
        <v/>
      </c>
      <c r="CT32" s="3">
        <f>ROUND(0.0,2)</f>
        <v/>
      </c>
      <c r="CU32" s="3">
        <f>ROUND(0.0,2)</f>
        <v/>
      </c>
      <c r="CV32" s="3">
        <f>ROUND(0.0,2)</f>
        <v/>
      </c>
      <c r="CW32" s="4">
        <f>IFERROR((CQ32/CP32),0)</f>
        <v/>
      </c>
      <c r="CX32" s="4">
        <f>IFERROR(((0+CO11+CO12+CO13+CO14+CO15+CO16+CO17+CO19+CO20+CO21+CO22+CO23+CO24+CO25+CO27+CO28+CO29+CO30+CO31+CO32)/T2),0)</f>
        <v/>
      </c>
      <c r="CY32" s="5">
        <f>IFERROR(ROUND(CO32/CQ32,2),0)</f>
        <v/>
      </c>
      <c r="CZ32" s="5">
        <f>IFERROR(ROUND(CO32/CR32,2),0)</f>
        <v/>
      </c>
      <c r="DA32" s="2" t="inlineStr">
        <is>
          <t>2023-10-09</t>
        </is>
      </c>
      <c r="DB32" s="5">
        <f>ROUND(1.12,2)</f>
        <v/>
      </c>
      <c r="DC32" s="3">
        <f>ROUND(71.0,2)</f>
        <v/>
      </c>
      <c r="DD32" s="3">
        <f>ROUND(4.0,2)</f>
        <v/>
      </c>
      <c r="DE32" s="3">
        <f>ROUND(6.0,2)</f>
        <v/>
      </c>
      <c r="DF32" s="3">
        <f>ROUND(6.0,2)</f>
        <v/>
      </c>
      <c r="DG32" s="3">
        <f>ROUND(4.0,2)</f>
        <v/>
      </c>
      <c r="DH32" s="3">
        <f>ROUND(2.0,2)</f>
        <v/>
      </c>
      <c r="DI32" s="3">
        <f>ROUND(1.0,2)</f>
        <v/>
      </c>
      <c r="DJ32" s="4">
        <f>IFERROR((DD32/DC32),0)</f>
        <v/>
      </c>
      <c r="DK32" s="4">
        <f>IFERROR(((0+DB11+DB12+DB13+DB14+DB15+DB16+DB17+DB19+DB20+DB21+DB22+DB23+DB24+DB25+DB27+DB28+DB29+DB30+DB31+DB32)/T2),0)</f>
        <v/>
      </c>
      <c r="DL32" s="5">
        <f>IFERROR(ROUND(DB32/DD32,2),0)</f>
        <v/>
      </c>
      <c r="DM32" s="5">
        <f>IFERROR(ROUND(DB32/DE32,2),0)</f>
        <v/>
      </c>
      <c r="DN32" s="2" t="inlineStr">
        <is>
          <t>2023-10-09</t>
        </is>
      </c>
      <c r="DO32" s="5">
        <f>ROUND(0.0,2)</f>
        <v/>
      </c>
      <c r="DP32" s="3">
        <f>ROUND(25.0,2)</f>
        <v/>
      </c>
      <c r="DQ32" s="3">
        <f>ROUND(0.0,2)</f>
        <v/>
      </c>
      <c r="DR32" s="3">
        <f>ROUND(1.0,2)</f>
        <v/>
      </c>
      <c r="DS32" s="3">
        <f>ROUND(1.0,2)</f>
        <v/>
      </c>
      <c r="DT32" s="3">
        <f>ROUND(0.0,2)</f>
        <v/>
      </c>
      <c r="DU32" s="3">
        <f>ROUND(0.0,2)</f>
        <v/>
      </c>
      <c r="DV32" s="3">
        <f>ROUND(0.0,2)</f>
        <v/>
      </c>
      <c r="DW32" s="4">
        <f>IFERROR((DQ32/DP32),0)</f>
        <v/>
      </c>
      <c r="DX32" s="4">
        <f>IFERROR(((0+DO11+DO12+DO13+DO14+DO15+DO16+DO17+DO19+DO20+DO21+DO22+DO23+DO24+DO25+DO27+DO28+DO29+DO30+DO31+DO32)/T2),0)</f>
        <v/>
      </c>
      <c r="DY32" s="5">
        <f>IFERROR(ROUND(DO32/DQ32,2),0)</f>
        <v/>
      </c>
      <c r="DZ32" s="5">
        <f>IFERROR(ROUND(DO32/DR32,2),0)</f>
        <v/>
      </c>
      <c r="EA32" s="2" t="inlineStr">
        <is>
          <t>2023-10-09</t>
        </is>
      </c>
      <c r="EB32" s="5">
        <f>ROUND(0.28,2)</f>
        <v/>
      </c>
      <c r="EC32" s="3">
        <f>ROUND(36.0,2)</f>
        <v/>
      </c>
      <c r="ED32" s="3">
        <f>ROUND(1.0,2)</f>
        <v/>
      </c>
      <c r="EE32" s="3">
        <f>ROUND(3.0,2)</f>
        <v/>
      </c>
      <c r="EF32" s="3">
        <f>ROUND(2.0,2)</f>
        <v/>
      </c>
      <c r="EG32" s="3">
        <f>ROUND(0.0,2)</f>
        <v/>
      </c>
      <c r="EH32" s="3">
        <f>ROUND(0.0,2)</f>
        <v/>
      </c>
      <c r="EI32" s="3">
        <f>ROUND(0.0,2)</f>
        <v/>
      </c>
      <c r="EJ32" s="4">
        <f>IFERROR((ED32/EC32),0)</f>
        <v/>
      </c>
      <c r="EK32" s="4">
        <f>IFERROR(((0+EB11+EB12+EB13+EB14+EB15+EB16+EB17+EB19+EB20+EB21+EB22+EB23+EB24+EB25+EB27+EB28+EB29+EB30+EB31+EB32)/T2),0)</f>
        <v/>
      </c>
      <c r="EL32" s="5">
        <f>IFERROR(ROUND(EB32/ED32,2),0)</f>
        <v/>
      </c>
      <c r="EM32" s="5">
        <f>IFERROR(ROUND(EB32/EE32,2),0)</f>
        <v/>
      </c>
      <c r="EN32" s="2" t="inlineStr">
        <is>
          <t>2023-10-09</t>
        </is>
      </c>
      <c r="EO32" s="5">
        <f>ROUND(0.56,2)</f>
        <v/>
      </c>
      <c r="EP32" s="3">
        <f>ROUND(105.0,2)</f>
        <v/>
      </c>
      <c r="EQ32" s="3">
        <f>ROUND(2.0,2)</f>
        <v/>
      </c>
      <c r="ER32" s="3">
        <f>ROUND(6.0,2)</f>
        <v/>
      </c>
      <c r="ES32" s="3">
        <f>ROUND(5.0,2)</f>
        <v/>
      </c>
      <c r="ET32" s="3">
        <f>ROUND(2.0,2)</f>
        <v/>
      </c>
      <c r="EU32" s="3">
        <f>ROUND(1.0,2)</f>
        <v/>
      </c>
      <c r="EV32" s="3">
        <f>ROUND(1.0,2)</f>
        <v/>
      </c>
      <c r="EW32" s="4">
        <f>IFERROR((EQ32/EP32),0)</f>
        <v/>
      </c>
      <c r="EX32" s="4">
        <f>IFERROR(((0+EO11+EO12+EO13+EO14+EO15+EO16+EO17+EO19+EO20+EO21+EO22+EO23+EO24+EO25+EO27+EO28+EO29+EO30+EO31+EO32)/T2),0)</f>
        <v/>
      </c>
      <c r="EY32" s="5">
        <f>IFERROR(ROUND(EO32/EQ32,2),0)</f>
        <v/>
      </c>
      <c r="EZ32" s="5">
        <f>IFERROR(ROUND(EO32/ER32,2),0)</f>
        <v/>
      </c>
      <c r="FA32" s="2" t="inlineStr">
        <is>
          <t>2023-10-09</t>
        </is>
      </c>
      <c r="FB32" s="5">
        <f>ROUND(0.28,2)</f>
        <v/>
      </c>
      <c r="FC32" s="3">
        <f>ROUND(55.0,2)</f>
        <v/>
      </c>
      <c r="FD32" s="3">
        <f>ROUND(1.0,2)</f>
        <v/>
      </c>
      <c r="FE32" s="3">
        <f>ROUND(7.0,2)</f>
        <v/>
      </c>
      <c r="FF32" s="3">
        <f>ROUND(7.0,2)</f>
        <v/>
      </c>
      <c r="FG32" s="3">
        <f>ROUND(3.0,2)</f>
        <v/>
      </c>
      <c r="FH32" s="3">
        <f>ROUND(2.0,2)</f>
        <v/>
      </c>
      <c r="FI32" s="3">
        <f>ROUND(2.0,2)</f>
        <v/>
      </c>
      <c r="FJ32" s="4">
        <f>IFERROR((FD32/FC32),0)</f>
        <v/>
      </c>
      <c r="FK32" s="4">
        <f>IFERROR(((0+FB11+FB12+FB13+FB14+FB15+FB16+FB17+FB19+FB20+FB21+FB22+FB23+FB24+FB25+FB27+FB28+FB29+FB30+FB31+FB32)/T2),0)</f>
        <v/>
      </c>
      <c r="FL32" s="5">
        <f>IFERROR(ROUND(FB32/FD32,2),0)</f>
        <v/>
      </c>
      <c r="FM32" s="5">
        <f>IFERROR(ROUND(FB32/FE32,2),0)</f>
        <v/>
      </c>
      <c r="FN32" s="2" t="inlineStr">
        <is>
          <t>2023-10-09</t>
        </is>
      </c>
      <c r="FO32" s="5">
        <f>ROUND(0.0,2)</f>
        <v/>
      </c>
      <c r="FP32" s="3">
        <f>ROUND(6.0,2)</f>
        <v/>
      </c>
      <c r="FQ32" s="3">
        <f>ROUND(0.0,2)</f>
        <v/>
      </c>
      <c r="FR32" s="3">
        <f>ROUND(0.0,2)</f>
        <v/>
      </c>
      <c r="FS32" s="3">
        <f>ROUND(0.0,2)</f>
        <v/>
      </c>
      <c r="FT32" s="3">
        <f>ROUND(0.0,2)</f>
        <v/>
      </c>
      <c r="FU32" s="3">
        <f>ROUND(0.0,2)</f>
        <v/>
      </c>
      <c r="FV32" s="3">
        <f>ROUND(0.0,2)</f>
        <v/>
      </c>
      <c r="FW32" s="4">
        <f>IFERROR((FQ32/FP32),0)</f>
        <v/>
      </c>
      <c r="FX32" s="4">
        <f>IFERROR(((0+FO11+FO12+FO13+FO14+FO15+FO16+FO17+FO19+FO20+FO21+FO22+FO23+FO24+FO25+FO27+FO28+FO29+FO30+FO31+FO32)/T2),0)</f>
        <v/>
      </c>
      <c r="FY32" s="5">
        <f>IFERROR(ROUND(FO32/FQ32,2),0)</f>
        <v/>
      </c>
      <c r="FZ32" s="5">
        <f>IFERROR(ROUND(FO32/FR32,2),0)</f>
        <v/>
      </c>
      <c r="GA32" s="2" t="inlineStr">
        <is>
          <t>2023-10-09</t>
        </is>
      </c>
      <c r="GB32" s="5">
        <f>ROUND(2.24,2)</f>
        <v/>
      </c>
      <c r="GC32" s="3">
        <f>ROUND(182.0,2)</f>
        <v/>
      </c>
      <c r="GD32" s="3">
        <f>ROUND(8.0,2)</f>
        <v/>
      </c>
      <c r="GE32" s="3">
        <f>ROUND(18.0,2)</f>
        <v/>
      </c>
      <c r="GF32" s="3">
        <f>ROUND(16.0,2)</f>
        <v/>
      </c>
      <c r="GG32" s="3">
        <f>ROUND(5.0,2)</f>
        <v/>
      </c>
      <c r="GH32" s="3">
        <f>ROUND(2.0,2)</f>
        <v/>
      </c>
      <c r="GI32" s="3">
        <f>ROUND(1.0,2)</f>
        <v/>
      </c>
      <c r="GJ32" s="4">
        <f>IFERROR((GD32/GC32),0)</f>
        <v/>
      </c>
      <c r="GK32" s="4">
        <f>IFERROR(((0+GB11+GB12+GB13+GB14+GB15+GB16+GB17+GB19+GB20+GB21+GB22+GB23+GB24+GB25+GB27+GB28+GB29+GB30+GB31+GB32)/T2),0)</f>
        <v/>
      </c>
      <c r="GL32" s="5">
        <f>IFERROR(ROUND(GB32/GD32,2),0)</f>
        <v/>
      </c>
      <c r="GM32" s="5">
        <f>IFERROR(ROUND(GB32/GE32,2),0)</f>
        <v/>
      </c>
      <c r="GN32" s="2" t="inlineStr">
        <is>
          <t>2023-10-09</t>
        </is>
      </c>
      <c r="GO32" s="5">
        <f>ROUND(0.0,2)</f>
        <v/>
      </c>
      <c r="GP32" s="3">
        <f>ROUND(3.0,2)</f>
        <v/>
      </c>
      <c r="GQ32" s="3">
        <f>ROUND(0.0,2)</f>
        <v/>
      </c>
      <c r="GR32" s="3">
        <f>ROUND(0.0,2)</f>
        <v/>
      </c>
      <c r="GS32" s="3">
        <f>ROUND(0.0,2)</f>
        <v/>
      </c>
      <c r="GT32" s="3">
        <f>ROUND(0.0,2)</f>
        <v/>
      </c>
      <c r="GU32" s="3">
        <f>ROUND(0.0,2)</f>
        <v/>
      </c>
      <c r="GV32" s="3">
        <f>ROUND(0.0,2)</f>
        <v/>
      </c>
      <c r="GW32" s="4">
        <f>IFERROR((GQ32/GP32),0)</f>
        <v/>
      </c>
      <c r="GX32" s="4">
        <f>IFERROR(((0+GO11+GO12+GO13+GO14+GO15+GO16+GO17+GO19+GO20+GO21+GO22+GO23+GO24+GO25+GO27+GO28+GO29+GO30+GO31+GO32)/T2),0)</f>
        <v/>
      </c>
      <c r="GY32" s="5">
        <f>IFERROR(ROUND(GO32/GQ32,2),0)</f>
        <v/>
      </c>
      <c r="GZ32" s="5">
        <f>IFERROR(ROUND(GO32/GR32,2),0)</f>
        <v/>
      </c>
      <c r="HA32" s="2" t="inlineStr">
        <is>
          <t>2023-10-09</t>
        </is>
      </c>
      <c r="HB32" s="5">
        <f>ROUND(0.0,2)</f>
        <v/>
      </c>
      <c r="HC32" s="3">
        <f>ROUND(30.0,2)</f>
        <v/>
      </c>
      <c r="HD32" s="3">
        <f>ROUND(0.0,2)</f>
        <v/>
      </c>
      <c r="HE32" s="3">
        <f>ROUND(1.0,2)</f>
        <v/>
      </c>
      <c r="HF32" s="3">
        <f>ROUND(1.0,2)</f>
        <v/>
      </c>
      <c r="HG32" s="3">
        <f>ROUND(0.0,2)</f>
        <v/>
      </c>
      <c r="HH32" s="3">
        <f>ROUND(0.0,2)</f>
        <v/>
      </c>
      <c r="HI32" s="3">
        <f>ROUND(0.0,2)</f>
        <v/>
      </c>
      <c r="HJ32" s="4">
        <f>IFERROR((HD32/HC32),0)</f>
        <v/>
      </c>
      <c r="HK32" s="4">
        <f>IFERROR(((0+HB11+HB12+HB13+HB14+HB15+HB16+HB17+HB19+HB20+HB21+HB22+HB23+HB24+HB25+HB27+HB28+HB29+HB30+HB31+HB32)/T2),0)</f>
        <v/>
      </c>
      <c r="HL32" s="5">
        <f>IFERROR(ROUND(HB32/HD32,2),0)</f>
        <v/>
      </c>
      <c r="HM32" s="5">
        <f>IFERROR(ROUND(HB32/HE32,2),0)</f>
        <v/>
      </c>
      <c r="HN32" s="2" t="inlineStr">
        <is>
          <t>2023-10-09</t>
        </is>
      </c>
      <c r="HO32" s="5">
        <f>ROUND(0.0,2)</f>
        <v/>
      </c>
      <c r="HP32" s="3">
        <f>ROUND(9.0,2)</f>
        <v/>
      </c>
      <c r="HQ32" s="3">
        <f>ROUND(0.0,2)</f>
        <v/>
      </c>
      <c r="HR32" s="3">
        <f>ROUND(2.0,2)</f>
        <v/>
      </c>
      <c r="HS32" s="3">
        <f>ROUND(1.0,2)</f>
        <v/>
      </c>
      <c r="HT32" s="3">
        <f>ROUND(1.0,2)</f>
        <v/>
      </c>
      <c r="HU32" s="3">
        <f>ROUND(1.0,2)</f>
        <v/>
      </c>
      <c r="HV32" s="3">
        <f>ROUND(1.0,2)</f>
        <v/>
      </c>
      <c r="HW32" s="4">
        <f>IFERROR((HQ32/HP32),0)</f>
        <v/>
      </c>
      <c r="HX32" s="4">
        <f>IFERROR(((0+HO11+HO12+HO13+HO14+HO15+HO16+HO17+HO19+HO20+HO21+HO22+HO23+HO24+HO25+HO27+HO28+HO29+HO30+HO31+HO32)/T2),0)</f>
        <v/>
      </c>
      <c r="HY32" s="5">
        <f>IFERROR(ROUND(HO32/HQ32,2),0)</f>
        <v/>
      </c>
      <c r="HZ32" s="5">
        <f>IFERROR(ROUND(HO32/HR32,2),0)</f>
        <v/>
      </c>
      <c r="IA32" s="2" t="inlineStr">
        <is>
          <t>2023-10-09</t>
        </is>
      </c>
      <c r="IB32" s="5">
        <f>ROUND(0.28,2)</f>
        <v/>
      </c>
      <c r="IC32" s="3">
        <f>ROUND(40.0,2)</f>
        <v/>
      </c>
      <c r="ID32" s="3">
        <f>ROUND(1.0,2)</f>
        <v/>
      </c>
      <c r="IE32" s="3">
        <f>ROUND(3.0,2)</f>
        <v/>
      </c>
      <c r="IF32" s="3">
        <f>ROUND(2.0,2)</f>
        <v/>
      </c>
      <c r="IG32" s="3">
        <f>ROUND(1.0,2)</f>
        <v/>
      </c>
      <c r="IH32" s="3">
        <f>ROUND(1.0,2)</f>
        <v/>
      </c>
      <c r="II32" s="3">
        <f>ROUND(0.0,2)</f>
        <v/>
      </c>
      <c r="IJ32" s="4">
        <f>IFERROR((ID32/IC32),0)</f>
        <v/>
      </c>
      <c r="IK32" s="4">
        <f>IFERROR(((0+IB11+IB12+IB13+IB14+IB15+IB16+IB17+IB19+IB20+IB21+IB22+IB23+IB24+IB25+IB27+IB28+IB29+IB30+IB31+IB32)/T2),0)</f>
        <v/>
      </c>
      <c r="IL32" s="5">
        <f>IFERROR(ROUND(IB32/ID32,2),0)</f>
        <v/>
      </c>
      <c r="IM32" s="5">
        <f>IFERROR(ROUND(IB32/IE32,2),0)</f>
        <v/>
      </c>
      <c r="IN32" s="2" t="inlineStr">
        <is>
          <t>2023-10-09</t>
        </is>
      </c>
      <c r="IO32" s="5">
        <f>ROUND(0.0,2)</f>
        <v/>
      </c>
      <c r="IP32" s="3">
        <f>ROUND(13.0,2)</f>
        <v/>
      </c>
      <c r="IQ32" s="3">
        <f>ROUND(0.0,2)</f>
        <v/>
      </c>
      <c r="IR32" s="3">
        <f>ROUND(3.0,2)</f>
        <v/>
      </c>
      <c r="IS32" s="3">
        <f>ROUND(3.0,2)</f>
        <v/>
      </c>
      <c r="IT32" s="3">
        <f>ROUND(3.0,2)</f>
        <v/>
      </c>
      <c r="IU32" s="3">
        <f>ROUND(3.0,2)</f>
        <v/>
      </c>
      <c r="IV32" s="3">
        <f>ROUND(3.0,2)</f>
        <v/>
      </c>
      <c r="IW32" s="4">
        <f>IFERROR((IQ32/IP32),0)</f>
        <v/>
      </c>
      <c r="IX32" s="4">
        <f>IFERROR(((0+IO11+IO12+IO13+IO14+IO15+IO16+IO17+IO19+IO20+IO21+IO22+IO23+IO24+IO25+IO27+IO28+IO29+IO30+IO31+IO32)/T2),0)</f>
        <v/>
      </c>
      <c r="IY32" s="5">
        <f>IFERROR(ROUND(IO32/IQ32,2),0)</f>
        <v/>
      </c>
      <c r="IZ32" s="5">
        <f>IFERROR(ROUND(IO32/IR32,2),0)</f>
        <v/>
      </c>
      <c r="JA32" s="2" t="inlineStr">
        <is>
          <t>2023-10-09</t>
        </is>
      </c>
      <c r="JB32" s="5">
        <f>ROUND(0.0,2)</f>
        <v/>
      </c>
      <c r="JC32" s="3">
        <f>ROUND(1.0,2)</f>
        <v/>
      </c>
      <c r="JD32" s="3">
        <f>ROUND(0.0,2)</f>
        <v/>
      </c>
      <c r="JE32" s="3">
        <f>ROUND(0.0,2)</f>
        <v/>
      </c>
      <c r="JF32" s="3">
        <f>ROUND(0.0,2)</f>
        <v/>
      </c>
      <c r="JG32" s="3">
        <f>ROUND(0.0,2)</f>
        <v/>
      </c>
      <c r="JH32" s="3">
        <f>ROUND(0.0,2)</f>
        <v/>
      </c>
      <c r="JI32" s="3">
        <f>ROUND(0.0,2)</f>
        <v/>
      </c>
      <c r="JJ32" s="4">
        <f>IFERROR((JD32/JC32),0)</f>
        <v/>
      </c>
      <c r="JK32" s="4">
        <f>IFERROR(((0+JB11+JB12+JB13+JB14+JB15+JB16+JB17+JB19+JB20+JB21+JB22+JB23+JB24+JB25+JB27+JB28+JB29+JB30+JB31+JB32)/T2),0)</f>
        <v/>
      </c>
      <c r="JL32" s="5">
        <f>IFERROR(ROUND(JB32/JD32,2),0)</f>
        <v/>
      </c>
      <c r="JM32" s="5">
        <f>IFERROR(ROUND(JB32/JE32,2),0)</f>
        <v/>
      </c>
    </row>
    <row r="33">
      <c r="A33" s="2" t="inlineStr">
        <is>
          <t>2023-10-10</t>
        </is>
      </c>
      <c r="B33" s="5">
        <f>ROUND(23.240000000000002,2)</f>
        <v/>
      </c>
      <c r="C33" s="3">
        <f>ROUND(3058.0,2)</f>
        <v/>
      </c>
      <c r="D33" s="3">
        <f>ROUND(83.0,2)</f>
        <v/>
      </c>
      <c r="E33" s="3">
        <f>ROUND(261.0,2)</f>
        <v/>
      </c>
      <c r="F33" s="3">
        <f>ROUND(223.0,2)</f>
        <v/>
      </c>
      <c r="G33" s="3">
        <f>ROUND(84.0,2)</f>
        <v/>
      </c>
      <c r="H33" s="3">
        <f>ROUND(61.0,2)</f>
        <v/>
      </c>
      <c r="I33" s="3">
        <f>ROUND(41.0,2)</f>
        <v/>
      </c>
      <c r="J33" s="4">
        <f>IFERROR((D33/C33),0)</f>
        <v/>
      </c>
      <c r="K33" s="4">
        <f>IFERROR(((0+B11+B12+B13+B14+B15+B16+B17+B19+B20+B21+B22+B23+B24+B25+B27+B28+B29+B30+B31+B32+B33)/T2),0)</f>
        <v/>
      </c>
      <c r="L33" s="5">
        <f>IFERROR(ROUND(B33/D33,2),0)</f>
        <v/>
      </c>
      <c r="M33" s="5">
        <f>IFERROR(ROUND(B33/E33,2),0)</f>
        <v/>
      </c>
      <c r="N33" s="2" t="inlineStr">
        <is>
          <t>2023-10-10</t>
        </is>
      </c>
      <c r="O33" s="5">
        <f>ROUND(1.6800000000000002,2)</f>
        <v/>
      </c>
      <c r="P33" s="3">
        <f>ROUND(166.0,2)</f>
        <v/>
      </c>
      <c r="Q33" s="3">
        <f>ROUND(6.0,2)</f>
        <v/>
      </c>
      <c r="R33" s="3">
        <f>ROUND(7.0,2)</f>
        <v/>
      </c>
      <c r="S33" s="3">
        <f>ROUND(6.0,2)</f>
        <v/>
      </c>
      <c r="T33" s="3">
        <f>ROUND(2.0,2)</f>
        <v/>
      </c>
      <c r="U33" s="3">
        <f>ROUND(2.0,2)</f>
        <v/>
      </c>
      <c r="V33" s="3">
        <f>ROUND(2.0,2)</f>
        <v/>
      </c>
      <c r="W33" s="4">
        <f>IFERROR((Q33/P33),0)</f>
        <v/>
      </c>
      <c r="X33" s="4">
        <f>IFERROR(((0+O11+O12+O13+O14+O15+O16+O17+O19+O20+O21+O22+O23+O24+O25+O27+O28+O29+O30+O31+O32+O33)/T2),0)</f>
        <v/>
      </c>
      <c r="Y33" s="5">
        <f>IFERROR(ROUND(O33/Q33,2),0)</f>
        <v/>
      </c>
      <c r="Z33" s="5">
        <f>IFERROR(ROUND(O33/R33,2),0)</f>
        <v/>
      </c>
      <c r="AA33" s="2" t="inlineStr">
        <is>
          <t>2023-10-10</t>
        </is>
      </c>
      <c r="AB33" s="5">
        <f>ROUND(0.56,2)</f>
        <v/>
      </c>
      <c r="AC33" s="3">
        <f>ROUND(143.0,2)</f>
        <v/>
      </c>
      <c r="AD33" s="3">
        <f>ROUND(2.0,2)</f>
        <v/>
      </c>
      <c r="AE33" s="3">
        <f>ROUND(3.0,2)</f>
        <v/>
      </c>
      <c r="AF33" s="3">
        <f>ROUND(2.0,2)</f>
        <v/>
      </c>
      <c r="AG33" s="3">
        <f>ROUND(1.0,2)</f>
        <v/>
      </c>
      <c r="AH33" s="3">
        <f>ROUND(0.0,2)</f>
        <v/>
      </c>
      <c r="AI33" s="3">
        <f>ROUND(0.0,2)</f>
        <v/>
      </c>
      <c r="AJ33" s="4">
        <f>IFERROR((AD33/AC33),0)</f>
        <v/>
      </c>
      <c r="AK33" s="4">
        <f>IFERROR(((0+AB11+AB12+AB13+AB14+AB15+AB16+AB17+AB19+AB20+AB21+AB22+AB23+AB24+AB25+AB27+AB28+AB29+AB30+AB31+AB32+AB33)/T2),0)</f>
        <v/>
      </c>
      <c r="AL33" s="5">
        <f>IFERROR(ROUND(AB33/AD33,2),0)</f>
        <v/>
      </c>
      <c r="AM33" s="5">
        <f>IFERROR(ROUND(AB33/AE33,2),0)</f>
        <v/>
      </c>
      <c r="AN33" s="2" t="inlineStr">
        <is>
          <t>2023-10-10</t>
        </is>
      </c>
      <c r="AO33" s="5">
        <f>ROUND(0.28,2)</f>
        <v/>
      </c>
      <c r="AP33" s="3">
        <f>ROUND(29.0,2)</f>
        <v/>
      </c>
      <c r="AQ33" s="3">
        <f>ROUND(1.0,2)</f>
        <v/>
      </c>
      <c r="AR33" s="3">
        <f>ROUND(1.0,2)</f>
        <v/>
      </c>
      <c r="AS33" s="3">
        <f>ROUND(1.0,2)</f>
        <v/>
      </c>
      <c r="AT33" s="3">
        <f>ROUND(1.0,2)</f>
        <v/>
      </c>
      <c r="AU33" s="3">
        <f>ROUND(1.0,2)</f>
        <v/>
      </c>
      <c r="AV33" s="3">
        <f>ROUND(0.0,2)</f>
        <v/>
      </c>
      <c r="AW33" s="4">
        <f>IFERROR((AQ33/AP33),0)</f>
        <v/>
      </c>
      <c r="AX33" s="4">
        <f>IFERROR(((0+AO11+AO12+AO13+AO14+AO15+AO16+AO17+AO19+AO20+AO21+AO22+AO23+AO24+AO25+AO27+AO28+AO29+AO30+AO31+AO32+AO33)/T2),0)</f>
        <v/>
      </c>
      <c r="AY33" s="5">
        <f>IFERROR(ROUND(AO33/AQ33,2),0)</f>
        <v/>
      </c>
      <c r="AZ33" s="5">
        <f>IFERROR(ROUND(AO33/AR33,2),0)</f>
        <v/>
      </c>
      <c r="BA33" s="2" t="inlineStr">
        <is>
          <t>2023-10-10</t>
        </is>
      </c>
      <c r="BB33" s="5">
        <f>ROUND(1.6800000000000002,2)</f>
        <v/>
      </c>
      <c r="BC33" s="3">
        <f>ROUND(169.0,2)</f>
        <v/>
      </c>
      <c r="BD33" s="3">
        <f>ROUND(6.0,2)</f>
        <v/>
      </c>
      <c r="BE33" s="3">
        <f>ROUND(8.0,2)</f>
        <v/>
      </c>
      <c r="BF33" s="3">
        <f>ROUND(8.0,2)</f>
        <v/>
      </c>
      <c r="BG33" s="3">
        <f>ROUND(5.0,2)</f>
        <v/>
      </c>
      <c r="BH33" s="3">
        <f>ROUND(4.0,2)</f>
        <v/>
      </c>
      <c r="BI33" s="3">
        <f>ROUND(4.0,2)</f>
        <v/>
      </c>
      <c r="BJ33" s="4">
        <f>IFERROR((BD33/BC33),0)</f>
        <v/>
      </c>
      <c r="BK33" s="4">
        <f>IFERROR(((0+BB11+BB12+BB13+BB14+BB15+BB16+BB17+BB19+BB20+BB21+BB22+BB23+BB24+BB25+BB27+BB28+BB29+BB30+BB31+BB32+BB33)/T2),0)</f>
        <v/>
      </c>
      <c r="BL33" s="5">
        <f>IFERROR(ROUND(BB33/BD33,2),0)</f>
        <v/>
      </c>
      <c r="BM33" s="5">
        <f>IFERROR(ROUND(BB33/BE33,2),0)</f>
        <v/>
      </c>
      <c r="BN33" s="2" t="inlineStr">
        <is>
          <t>2023-10-10</t>
        </is>
      </c>
      <c r="BO33" s="5">
        <f>ROUND(4.76,2)</f>
        <v/>
      </c>
      <c r="BP33" s="3">
        <f>ROUND(460.0,2)</f>
        <v/>
      </c>
      <c r="BQ33" s="3">
        <f>ROUND(17.0,2)</f>
        <v/>
      </c>
      <c r="BR33" s="3">
        <f>ROUND(30.0,2)</f>
        <v/>
      </c>
      <c r="BS33" s="3">
        <f>ROUND(24.0,2)</f>
        <v/>
      </c>
      <c r="BT33" s="3">
        <f>ROUND(7.0,2)</f>
        <v/>
      </c>
      <c r="BU33" s="3">
        <f>ROUND(6.0,2)</f>
        <v/>
      </c>
      <c r="BV33" s="3">
        <f>ROUND(4.0,2)</f>
        <v/>
      </c>
      <c r="BW33" s="4">
        <f>IFERROR((BQ33/BP33),0)</f>
        <v/>
      </c>
      <c r="BX33" s="4">
        <f>IFERROR(((0+BO11+BO12+BO13+BO14+BO15+BO16+BO17+BO19+BO20+BO21+BO22+BO23+BO24+BO25+BO27+BO28+BO29+BO30+BO31+BO32+BO33)/T2),0)</f>
        <v/>
      </c>
      <c r="BY33" s="5">
        <f>IFERROR(ROUND(BO33/BQ33,2),0)</f>
        <v/>
      </c>
      <c r="BZ33" s="5">
        <f>IFERROR(ROUND(BO33/BR33,2),0)</f>
        <v/>
      </c>
      <c r="CA33" s="2" t="inlineStr">
        <is>
          <t>2023-10-10</t>
        </is>
      </c>
      <c r="CB33" s="5">
        <f>ROUND(6.720000000000001,2)</f>
        <v/>
      </c>
      <c r="CC33" s="3">
        <f>ROUND(823.0,2)</f>
        <v/>
      </c>
      <c r="CD33" s="3">
        <f>ROUND(24.0,2)</f>
        <v/>
      </c>
      <c r="CE33" s="3">
        <f>ROUND(96.0,2)</f>
        <v/>
      </c>
      <c r="CF33" s="3">
        <f>ROUND(85.0,2)</f>
        <v/>
      </c>
      <c r="CG33" s="3">
        <f>ROUND(27.0,2)</f>
        <v/>
      </c>
      <c r="CH33" s="3">
        <f>ROUND(16.0,2)</f>
        <v/>
      </c>
      <c r="CI33" s="3">
        <f>ROUND(10.0,2)</f>
        <v/>
      </c>
      <c r="CJ33" s="4">
        <f>IFERROR((CD33/CC33),0)</f>
        <v/>
      </c>
      <c r="CK33" s="4">
        <f>IFERROR(((0+CB11+CB12+CB13+CB14+CB15+CB16+CB17+CB19+CB20+CB21+CB22+CB23+CB24+CB25+CB27+CB28+CB29+CB30+CB31+CB32+CB33)/T2),0)</f>
        <v/>
      </c>
      <c r="CL33" s="5">
        <f>IFERROR(ROUND(CB33/CD33,2),0)</f>
        <v/>
      </c>
      <c r="CM33" s="5">
        <f>IFERROR(ROUND(CB33/CE33,2),0)</f>
        <v/>
      </c>
      <c r="CN33" s="2" t="inlineStr">
        <is>
          <t>2023-10-10</t>
        </is>
      </c>
      <c r="CO33" s="5">
        <f>ROUND(0.0,2)</f>
        <v/>
      </c>
      <c r="CP33" s="3">
        <f>ROUND(64.0,2)</f>
        <v/>
      </c>
      <c r="CQ33" s="3">
        <f>ROUND(0.0,2)</f>
        <v/>
      </c>
      <c r="CR33" s="3">
        <f>ROUND(0.0,2)</f>
        <v/>
      </c>
      <c r="CS33" s="3">
        <f>ROUND(0.0,2)</f>
        <v/>
      </c>
      <c r="CT33" s="3">
        <f>ROUND(0.0,2)</f>
        <v/>
      </c>
      <c r="CU33" s="3">
        <f>ROUND(0.0,2)</f>
        <v/>
      </c>
      <c r="CV33" s="3">
        <f>ROUND(0.0,2)</f>
        <v/>
      </c>
      <c r="CW33" s="4">
        <f>IFERROR((CQ33/CP33),0)</f>
        <v/>
      </c>
      <c r="CX33" s="4">
        <f>IFERROR(((0+CO11+CO12+CO13+CO14+CO15+CO16+CO17+CO19+CO20+CO21+CO22+CO23+CO24+CO25+CO27+CO28+CO29+CO30+CO31+CO32+CO33)/T2),0)</f>
        <v/>
      </c>
      <c r="CY33" s="5">
        <f>IFERROR(ROUND(CO33/CQ33,2),0)</f>
        <v/>
      </c>
      <c r="CZ33" s="5">
        <f>IFERROR(ROUND(CO33/CR33,2),0)</f>
        <v/>
      </c>
      <c r="DA33" s="2" t="inlineStr">
        <is>
          <t>2023-10-10</t>
        </is>
      </c>
      <c r="DB33" s="5">
        <f>ROUND(0.0,2)</f>
        <v/>
      </c>
      <c r="DC33" s="3">
        <f>ROUND(48.0,2)</f>
        <v/>
      </c>
      <c r="DD33" s="3">
        <f>ROUND(0.0,2)</f>
        <v/>
      </c>
      <c r="DE33" s="3">
        <f>ROUND(3.0,2)</f>
        <v/>
      </c>
      <c r="DF33" s="3">
        <f>ROUND(3.0,2)</f>
        <v/>
      </c>
      <c r="DG33" s="3">
        <f>ROUND(1.0,2)</f>
        <v/>
      </c>
      <c r="DH33" s="3">
        <f>ROUND(1.0,2)</f>
        <v/>
      </c>
      <c r="DI33" s="3">
        <f>ROUND(1.0,2)</f>
        <v/>
      </c>
      <c r="DJ33" s="4">
        <f>IFERROR((DD33/DC33),0)</f>
        <v/>
      </c>
      <c r="DK33" s="4">
        <f>IFERROR(((0+DB11+DB12+DB13+DB14+DB15+DB16+DB17+DB19+DB20+DB21+DB22+DB23+DB24+DB25+DB27+DB28+DB29+DB30+DB31+DB32+DB33)/T2),0)</f>
        <v/>
      </c>
      <c r="DL33" s="5">
        <f>IFERROR(ROUND(DB33/DD33,2),0)</f>
        <v/>
      </c>
      <c r="DM33" s="5">
        <f>IFERROR(ROUND(DB33/DE33,2),0)</f>
        <v/>
      </c>
      <c r="DN33" s="2" t="inlineStr">
        <is>
          <t>2023-10-10</t>
        </is>
      </c>
      <c r="DO33" s="5">
        <f>ROUND(0.56,2)</f>
        <v/>
      </c>
      <c r="DP33" s="3">
        <f>ROUND(17.0,2)</f>
        <v/>
      </c>
      <c r="DQ33" s="3">
        <f>ROUND(2.0,2)</f>
        <v/>
      </c>
      <c r="DR33" s="3">
        <f>ROUND(2.0,2)</f>
        <v/>
      </c>
      <c r="DS33" s="3">
        <f>ROUND(2.0,2)</f>
        <v/>
      </c>
      <c r="DT33" s="3">
        <f>ROUND(1.0,2)</f>
        <v/>
      </c>
      <c r="DU33" s="3">
        <f>ROUND(1.0,2)</f>
        <v/>
      </c>
      <c r="DV33" s="3">
        <f>ROUND(1.0,2)</f>
        <v/>
      </c>
      <c r="DW33" s="4">
        <f>IFERROR((DQ33/DP33),0)</f>
        <v/>
      </c>
      <c r="DX33" s="4">
        <f>IFERROR(((0+DO11+DO12+DO13+DO14+DO15+DO16+DO17+DO19+DO20+DO21+DO22+DO23+DO24+DO25+DO27+DO28+DO29+DO30+DO31+DO32+DO33)/T2),0)</f>
        <v/>
      </c>
      <c r="DY33" s="5">
        <f>IFERROR(ROUND(DO33/DQ33,2),0)</f>
        <v/>
      </c>
      <c r="DZ33" s="5">
        <f>IFERROR(ROUND(DO33/DR33,2),0)</f>
        <v/>
      </c>
      <c r="EA33" s="2" t="inlineStr">
        <is>
          <t>2023-10-10</t>
        </is>
      </c>
      <c r="EB33" s="5">
        <f>ROUND(0.56,2)</f>
        <v/>
      </c>
      <c r="EC33" s="3">
        <f>ROUND(81.0,2)</f>
        <v/>
      </c>
      <c r="ED33" s="3">
        <f>ROUND(2.0,2)</f>
        <v/>
      </c>
      <c r="EE33" s="3">
        <f>ROUND(7.0,2)</f>
        <v/>
      </c>
      <c r="EF33" s="3">
        <f>ROUND(6.0,2)</f>
        <v/>
      </c>
      <c r="EG33" s="3">
        <f>ROUND(2.0,2)</f>
        <v/>
      </c>
      <c r="EH33" s="3">
        <f>ROUND(2.0,2)</f>
        <v/>
      </c>
      <c r="EI33" s="3">
        <f>ROUND(1.0,2)</f>
        <v/>
      </c>
      <c r="EJ33" s="4">
        <f>IFERROR((ED33/EC33),0)</f>
        <v/>
      </c>
      <c r="EK33" s="4">
        <f>IFERROR(((0+EB11+EB12+EB13+EB14+EB15+EB16+EB17+EB19+EB20+EB21+EB22+EB23+EB24+EB25+EB27+EB28+EB29+EB30+EB31+EB32+EB33)/T2),0)</f>
        <v/>
      </c>
      <c r="EL33" s="5">
        <f>IFERROR(ROUND(EB33/ED33,2),0)</f>
        <v/>
      </c>
      <c r="EM33" s="5">
        <f>IFERROR(ROUND(EB33/EE33,2),0)</f>
        <v/>
      </c>
      <c r="EN33" s="2" t="inlineStr">
        <is>
          <t>2023-10-10</t>
        </is>
      </c>
      <c r="EO33" s="5">
        <f>ROUND(1.4000000000000001,2)</f>
        <v/>
      </c>
      <c r="EP33" s="3">
        <f>ROUND(213.0,2)</f>
        <v/>
      </c>
      <c r="EQ33" s="3">
        <f>ROUND(5.0,2)</f>
        <v/>
      </c>
      <c r="ER33" s="3">
        <f>ROUND(24.0,2)</f>
        <v/>
      </c>
      <c r="ES33" s="3">
        <f>ROUND(17.0,2)</f>
        <v/>
      </c>
      <c r="ET33" s="3">
        <f>ROUND(7.0,2)</f>
        <v/>
      </c>
      <c r="EU33" s="3">
        <f>ROUND(7.0,2)</f>
        <v/>
      </c>
      <c r="EV33" s="3">
        <f>ROUND(4.0,2)</f>
        <v/>
      </c>
      <c r="EW33" s="4">
        <f>IFERROR((EQ33/EP33),0)</f>
        <v/>
      </c>
      <c r="EX33" s="4">
        <f>IFERROR(((0+EO11+EO12+EO13+EO14+EO15+EO16+EO17+EO19+EO20+EO21+EO22+EO23+EO24+EO25+EO27+EO28+EO29+EO30+EO31+EO32+EO33)/T2),0)</f>
        <v/>
      </c>
      <c r="EY33" s="5">
        <f>IFERROR(ROUND(EO33/EQ33,2),0)</f>
        <v/>
      </c>
      <c r="EZ33" s="5">
        <f>IFERROR(ROUND(EO33/ER33,2),0)</f>
        <v/>
      </c>
      <c r="FA33" s="2" t="inlineStr">
        <is>
          <t>2023-10-10</t>
        </is>
      </c>
      <c r="FB33" s="5">
        <f>ROUND(0.56,2)</f>
        <v/>
      </c>
      <c r="FC33" s="3">
        <f>ROUND(126.0,2)</f>
        <v/>
      </c>
      <c r="FD33" s="3">
        <f>ROUND(2.0,2)</f>
        <v/>
      </c>
      <c r="FE33" s="3">
        <f>ROUND(11.0,2)</f>
        <v/>
      </c>
      <c r="FF33" s="3">
        <f>ROUND(10.0,2)</f>
        <v/>
      </c>
      <c r="FG33" s="3">
        <f>ROUND(5.0,2)</f>
        <v/>
      </c>
      <c r="FH33" s="3">
        <f>ROUND(4.0,2)</f>
        <v/>
      </c>
      <c r="FI33" s="3">
        <f>ROUND(3.0,2)</f>
        <v/>
      </c>
      <c r="FJ33" s="4">
        <f>IFERROR((FD33/FC33),0)</f>
        <v/>
      </c>
      <c r="FK33" s="4">
        <f>IFERROR(((0+FB11+FB12+FB13+FB14+FB15+FB16+FB17+FB19+FB20+FB21+FB22+FB23+FB24+FB25+FB27+FB28+FB29+FB30+FB31+FB32+FB33)/T2),0)</f>
        <v/>
      </c>
      <c r="FL33" s="5">
        <f>IFERROR(ROUND(FB33/FD33,2),0)</f>
        <v/>
      </c>
      <c r="FM33" s="5">
        <f>IFERROR(ROUND(FB33/FE33,2),0)</f>
        <v/>
      </c>
      <c r="FN33" s="2" t="inlineStr">
        <is>
          <t>2023-10-10</t>
        </is>
      </c>
      <c r="FO33" s="5">
        <f>ROUND(0.0,2)</f>
        <v/>
      </c>
      <c r="FP33" s="3">
        <f>ROUND(24.0,2)</f>
        <v/>
      </c>
      <c r="FQ33" s="3">
        <f>ROUND(0.0,2)</f>
        <v/>
      </c>
      <c r="FR33" s="3">
        <f>ROUND(2.0,2)</f>
        <v/>
      </c>
      <c r="FS33" s="3">
        <f>ROUND(1.0,2)</f>
        <v/>
      </c>
      <c r="FT33" s="3">
        <f>ROUND(0.0,2)</f>
        <v/>
      </c>
      <c r="FU33" s="3">
        <f>ROUND(0.0,2)</f>
        <v/>
      </c>
      <c r="FV33" s="3">
        <f>ROUND(0.0,2)</f>
        <v/>
      </c>
      <c r="FW33" s="4">
        <f>IFERROR((FQ33/FP33),0)</f>
        <v/>
      </c>
      <c r="FX33" s="4">
        <f>IFERROR(((0+FO11+FO12+FO13+FO14+FO15+FO16+FO17+FO19+FO20+FO21+FO22+FO23+FO24+FO25+FO27+FO28+FO29+FO30+FO31+FO32+FO33)/T2),0)</f>
        <v/>
      </c>
      <c r="FY33" s="5">
        <f>IFERROR(ROUND(FO33/FQ33,2),0)</f>
        <v/>
      </c>
      <c r="FZ33" s="5">
        <f>IFERROR(ROUND(FO33/FR33,2),0)</f>
        <v/>
      </c>
      <c r="GA33" s="2" t="inlineStr">
        <is>
          <t>2023-10-10</t>
        </is>
      </c>
      <c r="GB33" s="5">
        <f>ROUND(3.920000000000001,2)</f>
        <v/>
      </c>
      <c r="GC33" s="3">
        <f>ROUND(322.0,2)</f>
        <v/>
      </c>
      <c r="GD33" s="3">
        <f>ROUND(14.0,2)</f>
        <v/>
      </c>
      <c r="GE33" s="3">
        <f>ROUND(46.0,2)</f>
        <v/>
      </c>
      <c r="GF33" s="3">
        <f>ROUND(41.0,2)</f>
        <v/>
      </c>
      <c r="GG33" s="3">
        <f>ROUND(14.0,2)</f>
        <v/>
      </c>
      <c r="GH33" s="3">
        <f>ROUND(9.0,2)</f>
        <v/>
      </c>
      <c r="GI33" s="3">
        <f>ROUND(5.0,2)</f>
        <v/>
      </c>
      <c r="GJ33" s="4">
        <f>IFERROR((GD33/GC33),0)</f>
        <v/>
      </c>
      <c r="GK33" s="4">
        <f>IFERROR(((0+GB11+GB12+GB13+GB14+GB15+GB16+GB17+GB19+GB20+GB21+GB22+GB23+GB24+GB25+GB27+GB28+GB29+GB30+GB31+GB32+GB33)/T2),0)</f>
        <v/>
      </c>
      <c r="GL33" s="5">
        <f>IFERROR(ROUND(GB33/GD33,2),0)</f>
        <v/>
      </c>
      <c r="GM33" s="5">
        <f>IFERROR(ROUND(GB33/GE33,2),0)</f>
        <v/>
      </c>
      <c r="GN33" s="2" t="inlineStr">
        <is>
          <t>2023-10-10</t>
        </is>
      </c>
      <c r="GO33" s="5">
        <f>ROUND(0.0,2)</f>
        <v/>
      </c>
      <c r="GP33" s="3">
        <f>ROUND(23.0,2)</f>
        <v/>
      </c>
      <c r="GQ33" s="3">
        <f>ROUND(0.0,2)</f>
        <v/>
      </c>
      <c r="GR33" s="3">
        <f>ROUND(2.0,2)</f>
        <v/>
      </c>
      <c r="GS33" s="3">
        <f>ROUND(2.0,2)</f>
        <v/>
      </c>
      <c r="GT33" s="3">
        <f>ROUND(1.0,2)</f>
        <v/>
      </c>
      <c r="GU33" s="3">
        <f>ROUND(1.0,2)</f>
        <v/>
      </c>
      <c r="GV33" s="3">
        <f>ROUND(0.0,2)</f>
        <v/>
      </c>
      <c r="GW33" s="4">
        <f>IFERROR((GQ33/GP33),0)</f>
        <v/>
      </c>
      <c r="GX33" s="4">
        <f>IFERROR(((0+GO11+GO12+GO13+GO14+GO15+GO16+GO17+GO19+GO20+GO21+GO22+GO23+GO24+GO25+GO27+GO28+GO29+GO30+GO31+GO32+GO33)/T2),0)</f>
        <v/>
      </c>
      <c r="GY33" s="5">
        <f>IFERROR(ROUND(GO33/GQ33,2),0)</f>
        <v/>
      </c>
      <c r="GZ33" s="5">
        <f>IFERROR(ROUND(GO33/GR33,2),0)</f>
        <v/>
      </c>
      <c r="HA33" s="2" t="inlineStr">
        <is>
          <t>2023-10-10</t>
        </is>
      </c>
      <c r="HB33" s="5">
        <f>ROUND(0.0,2)</f>
        <v/>
      </c>
      <c r="HC33" s="3">
        <f>ROUND(157.0,2)</f>
        <v/>
      </c>
      <c r="HD33" s="3">
        <f>ROUND(0.0,2)</f>
        <v/>
      </c>
      <c r="HE33" s="3">
        <f>ROUND(5.0,2)</f>
        <v/>
      </c>
      <c r="HF33" s="3">
        <f>ROUND(4.0,2)</f>
        <v/>
      </c>
      <c r="HG33" s="3">
        <f>ROUND(2.0,2)</f>
        <v/>
      </c>
      <c r="HH33" s="3">
        <f>ROUND(2.0,2)</f>
        <v/>
      </c>
      <c r="HI33" s="3">
        <f>ROUND(1.0,2)</f>
        <v/>
      </c>
      <c r="HJ33" s="4">
        <f>IFERROR((HD33/HC33),0)</f>
        <v/>
      </c>
      <c r="HK33" s="4">
        <f>IFERROR(((0+HB11+HB12+HB13+HB14+HB15+HB16+HB17+HB19+HB20+HB21+HB22+HB23+HB24+HB25+HB27+HB28+HB29+HB30+HB31+HB32+HB33)/T2),0)</f>
        <v/>
      </c>
      <c r="HL33" s="5">
        <f>IFERROR(ROUND(HB33/HD33,2),0)</f>
        <v/>
      </c>
      <c r="HM33" s="5">
        <f>IFERROR(ROUND(HB33/HE33,2),0)</f>
        <v/>
      </c>
      <c r="HN33" s="2" t="inlineStr">
        <is>
          <t>2023-10-10</t>
        </is>
      </c>
      <c r="HO33" s="5">
        <f>ROUND(0.28,2)</f>
        <v/>
      </c>
      <c r="HP33" s="3">
        <f>ROUND(40.0,2)</f>
        <v/>
      </c>
      <c r="HQ33" s="3">
        <f>ROUND(1.0,2)</f>
        <v/>
      </c>
      <c r="HR33" s="3">
        <f>ROUND(3.0,2)</f>
        <v/>
      </c>
      <c r="HS33" s="3">
        <f>ROUND(2.0,2)</f>
        <v/>
      </c>
      <c r="HT33" s="3">
        <f>ROUND(2.0,2)</f>
        <v/>
      </c>
      <c r="HU33" s="3">
        <f>ROUND(1.0,2)</f>
        <v/>
      </c>
      <c r="HV33" s="3">
        <f>ROUND(1.0,2)</f>
        <v/>
      </c>
      <c r="HW33" s="4">
        <f>IFERROR((HQ33/HP33),0)</f>
        <v/>
      </c>
      <c r="HX33" s="4">
        <f>IFERROR(((0+HO11+HO12+HO13+HO14+HO15+HO16+HO17+HO19+HO20+HO21+HO22+HO23+HO24+HO25+HO27+HO28+HO29+HO30+HO31+HO32+HO33)/T2),0)</f>
        <v/>
      </c>
      <c r="HY33" s="5">
        <f>IFERROR(ROUND(HO33/HQ33,2),0)</f>
        <v/>
      </c>
      <c r="HZ33" s="5">
        <f>IFERROR(ROUND(HO33/HR33,2),0)</f>
        <v/>
      </c>
      <c r="IA33" s="2" t="inlineStr">
        <is>
          <t>2023-10-10</t>
        </is>
      </c>
      <c r="IB33" s="5">
        <f>ROUND(0.28,2)</f>
        <v/>
      </c>
      <c r="IC33" s="3">
        <f>ROUND(98.0,2)</f>
        <v/>
      </c>
      <c r="ID33" s="3">
        <f>ROUND(1.0,2)</f>
        <v/>
      </c>
      <c r="IE33" s="3">
        <f>ROUND(7.0,2)</f>
        <v/>
      </c>
      <c r="IF33" s="3">
        <f>ROUND(6.0,2)</f>
        <v/>
      </c>
      <c r="IG33" s="3">
        <f>ROUND(4.0,2)</f>
        <v/>
      </c>
      <c r="IH33" s="3">
        <f>ROUND(3.0,2)</f>
        <v/>
      </c>
      <c r="II33" s="3">
        <f>ROUND(3.0,2)</f>
        <v/>
      </c>
      <c r="IJ33" s="4">
        <f>IFERROR((ID33/IC33),0)</f>
        <v/>
      </c>
      <c r="IK33" s="4">
        <f>IFERROR(((0+IB11+IB12+IB13+IB14+IB15+IB16+IB17+IB19+IB20+IB21+IB22+IB23+IB24+IB25+IB27+IB28+IB29+IB30+IB31+IB32+IB33)/T2),0)</f>
        <v/>
      </c>
      <c r="IL33" s="5">
        <f>IFERROR(ROUND(IB33/ID33,2),0)</f>
        <v/>
      </c>
      <c r="IM33" s="5">
        <f>IFERROR(ROUND(IB33/IE33,2),0)</f>
        <v/>
      </c>
      <c r="IN33" s="2" t="inlineStr">
        <is>
          <t>2023-10-10</t>
        </is>
      </c>
      <c r="IO33" s="5">
        <f>ROUND(0.0,2)</f>
        <v/>
      </c>
      <c r="IP33" s="3">
        <f>ROUND(42.0,2)</f>
        <v/>
      </c>
      <c r="IQ33" s="3">
        <f>ROUND(0.0,2)</f>
        <v/>
      </c>
      <c r="IR33" s="3">
        <f>ROUND(2.0,2)</f>
        <v/>
      </c>
      <c r="IS33" s="3">
        <f>ROUND(1.0,2)</f>
        <v/>
      </c>
      <c r="IT33" s="3">
        <f>ROUND(0.0,2)</f>
        <v/>
      </c>
      <c r="IU33" s="3">
        <f>ROUND(0.0,2)</f>
        <v/>
      </c>
      <c r="IV33" s="3">
        <f>ROUND(0.0,2)</f>
        <v/>
      </c>
      <c r="IW33" s="4">
        <f>IFERROR((IQ33/IP33),0)</f>
        <v/>
      </c>
      <c r="IX33" s="4">
        <f>IFERROR(((0+IO11+IO12+IO13+IO14+IO15+IO16+IO17+IO19+IO20+IO21+IO22+IO23+IO24+IO25+IO27+IO28+IO29+IO30+IO31+IO32+IO33)/T2),0)</f>
        <v/>
      </c>
      <c r="IY33" s="5">
        <f>IFERROR(ROUND(IO33/IQ33,2),0)</f>
        <v/>
      </c>
      <c r="IZ33" s="5">
        <f>IFERROR(ROUND(IO33/IR33,2),0)</f>
        <v/>
      </c>
      <c r="JA33" s="2" t="inlineStr">
        <is>
          <t>2023-10-10</t>
        </is>
      </c>
      <c r="JB33" s="5">
        <f>ROUND(0.0,2)</f>
        <v/>
      </c>
      <c r="JC33" s="3">
        <f>ROUND(13.0,2)</f>
        <v/>
      </c>
      <c r="JD33" s="3">
        <f>ROUND(0.0,2)</f>
        <v/>
      </c>
      <c r="JE33" s="3">
        <f>ROUND(2.0,2)</f>
        <v/>
      </c>
      <c r="JF33" s="3">
        <f>ROUND(2.0,2)</f>
        <v/>
      </c>
      <c r="JG33" s="3">
        <f>ROUND(2.0,2)</f>
        <v/>
      </c>
      <c r="JH33" s="3">
        <f>ROUND(1.0,2)</f>
        <v/>
      </c>
      <c r="JI33" s="3">
        <f>ROUND(1.0,2)</f>
        <v/>
      </c>
      <c r="JJ33" s="4">
        <f>IFERROR((JD33/JC33),0)</f>
        <v/>
      </c>
      <c r="JK33" s="4">
        <f>IFERROR(((0+JB11+JB12+JB13+JB14+JB15+JB16+JB17+JB19+JB20+JB21+JB22+JB23+JB24+JB25+JB27+JB28+JB29+JB30+JB31+JB32+JB33)/T2),0)</f>
        <v/>
      </c>
      <c r="JL33" s="5">
        <f>IFERROR(ROUND(JB33/JD33,2),0)</f>
        <v/>
      </c>
      <c r="JM33" s="5">
        <f>IFERROR(ROUND(JB33/JE33,2),0)</f>
        <v/>
      </c>
    </row>
    <row r="34">
      <c r="A34" s="2" t="inlineStr">
        <is>
          <t>3 Weekly Total</t>
        </is>
      </c>
      <c r="B34" s="5">
        <f>ROUND(141.96,2)</f>
        <v/>
      </c>
      <c r="C34" s="3">
        <f>ROUND(17398.0,2)</f>
        <v/>
      </c>
      <c r="D34" s="3">
        <f>ROUND(507.0,2)</f>
        <v/>
      </c>
      <c r="E34" s="3">
        <f>ROUND(1225.0,2)</f>
        <v/>
      </c>
      <c r="F34" s="3">
        <f>ROUND(1031.0,2)</f>
        <v/>
      </c>
      <c r="G34" s="3">
        <f>ROUND(473.0,2)</f>
        <v/>
      </c>
      <c r="H34" s="3">
        <f>ROUND(346.0,2)</f>
        <v/>
      </c>
      <c r="I34" s="3">
        <f>ROUND(260.0,2)</f>
        <v/>
      </c>
      <c r="J34" s="4">
        <f>IFERROR((D34/C34),0)</f>
        <v/>
      </c>
      <c r="K34" s="4">
        <f>IFERROR(((0+B11+B12+B13+B14+B15+B16+B17+B19+B20+B21+B22+B23+B24+B25+B27+B28+B29+B30+B31+B32+B33)/T2),0)</f>
        <v/>
      </c>
      <c r="L34" s="5">
        <f>IFERROR(ROUND(B34/D34,2),0)</f>
        <v/>
      </c>
      <c r="M34" s="5">
        <f>IFERROR(ROUND(B34/E34,2),0)</f>
        <v/>
      </c>
      <c r="N34" s="2" t="inlineStr">
        <is>
          <t>3 Weekly Total</t>
        </is>
      </c>
      <c r="O34" s="5">
        <f>ROUND(14.28,2)</f>
        <v/>
      </c>
      <c r="P34" s="3">
        <f>ROUND(1275.0,2)</f>
        <v/>
      </c>
      <c r="Q34" s="3">
        <f>ROUND(51.0,2)</f>
        <v/>
      </c>
      <c r="R34" s="3">
        <f>ROUND(73.0,2)</f>
        <v/>
      </c>
      <c r="S34" s="3">
        <f>ROUND(57.0,2)</f>
        <v/>
      </c>
      <c r="T34" s="3">
        <f>ROUND(26.0,2)</f>
        <v/>
      </c>
      <c r="U34" s="3">
        <f>ROUND(20.0,2)</f>
        <v/>
      </c>
      <c r="V34" s="3">
        <f>ROUND(17.0,2)</f>
        <v/>
      </c>
      <c r="W34" s="4">
        <f>IFERROR((Q34/P34),0)</f>
        <v/>
      </c>
      <c r="X34" s="4">
        <f>IFERROR(((0+O11+O12+O13+O14+O15+O16+O17+O19+O20+O21+O22+O23+O24+O25+O27+O28+O29+O30+O31+O32+O33)/T2),0)</f>
        <v/>
      </c>
      <c r="Y34" s="5">
        <f>IFERROR(ROUND(O34/Q34,2),0)</f>
        <v/>
      </c>
      <c r="Z34" s="5">
        <f>IFERROR(ROUND(O34/R34,2),0)</f>
        <v/>
      </c>
      <c r="AA34" s="2" t="inlineStr">
        <is>
          <t>3 Weekly Total</t>
        </is>
      </c>
      <c r="AB34" s="5">
        <f>ROUND(10.08,2)</f>
        <v/>
      </c>
      <c r="AC34" s="3">
        <f>ROUND(750.0,2)</f>
        <v/>
      </c>
      <c r="AD34" s="3">
        <f>ROUND(36.0,2)</f>
        <v/>
      </c>
      <c r="AE34" s="3">
        <f>ROUND(32.0,2)</f>
        <v/>
      </c>
      <c r="AF34" s="3">
        <f>ROUND(26.0,2)</f>
        <v/>
      </c>
      <c r="AG34" s="3">
        <f>ROUND(21.0,2)</f>
        <v/>
      </c>
      <c r="AH34" s="3">
        <f>ROUND(17.0,2)</f>
        <v/>
      </c>
      <c r="AI34" s="3">
        <f>ROUND(14.0,2)</f>
        <v/>
      </c>
      <c r="AJ34" s="4">
        <f>IFERROR((AD34/AC34),0)</f>
        <v/>
      </c>
      <c r="AK34" s="4">
        <f>IFERROR(((0+AB11+AB12+AB13+AB14+AB15+AB16+AB17+AB19+AB20+AB21+AB22+AB23+AB24+AB25+AB27+AB28+AB29+AB30+AB31+AB32+AB33)/T2),0)</f>
        <v/>
      </c>
      <c r="AL34" s="5">
        <f>IFERROR(ROUND(AB34/AD34,2),0)</f>
        <v/>
      </c>
      <c r="AM34" s="5">
        <f>IFERROR(ROUND(AB34/AE34,2),0)</f>
        <v/>
      </c>
      <c r="AN34" s="2" t="inlineStr">
        <is>
          <t>3 Weekly Total</t>
        </is>
      </c>
      <c r="AO34" s="5">
        <f>ROUND(1.4,2)</f>
        <v/>
      </c>
      <c r="AP34" s="3">
        <f>ROUND(228.0,2)</f>
        <v/>
      </c>
      <c r="AQ34" s="3">
        <f>ROUND(5.0,2)</f>
        <v/>
      </c>
      <c r="AR34" s="3">
        <f>ROUND(16.0,2)</f>
        <v/>
      </c>
      <c r="AS34" s="3">
        <f>ROUND(14.0,2)</f>
        <v/>
      </c>
      <c r="AT34" s="3">
        <f>ROUND(11.0,2)</f>
        <v/>
      </c>
      <c r="AU34" s="3">
        <f>ROUND(9.0,2)</f>
        <v/>
      </c>
      <c r="AV34" s="3">
        <f>ROUND(7.0,2)</f>
        <v/>
      </c>
      <c r="AW34" s="4">
        <f>IFERROR((AQ34/AP34),0)</f>
        <v/>
      </c>
      <c r="AX34" s="4">
        <f>IFERROR(((0+AO11+AO12+AO13+AO14+AO15+AO16+AO17+AO19+AO20+AO21+AO22+AO23+AO24+AO25+AO27+AO28+AO29+AO30+AO31+AO32+AO33)/T2),0)</f>
        <v/>
      </c>
      <c r="AY34" s="5">
        <f>IFERROR(ROUND(AO34/AQ34,2),0)</f>
        <v/>
      </c>
      <c r="AZ34" s="5">
        <f>IFERROR(ROUND(AO34/AR34,2),0)</f>
        <v/>
      </c>
      <c r="BA34" s="2" t="inlineStr">
        <is>
          <t>3 Weekly Total</t>
        </is>
      </c>
      <c r="BB34" s="5">
        <f>ROUND(9.8,2)</f>
        <v/>
      </c>
      <c r="BC34" s="3">
        <f>ROUND(1094.0,2)</f>
        <v/>
      </c>
      <c r="BD34" s="3">
        <f>ROUND(35.0,2)</f>
        <v/>
      </c>
      <c r="BE34" s="3">
        <f>ROUND(42.0,2)</f>
        <v/>
      </c>
      <c r="BF34" s="3">
        <f>ROUND(39.0,2)</f>
        <v/>
      </c>
      <c r="BG34" s="3">
        <f>ROUND(20.0,2)</f>
        <v/>
      </c>
      <c r="BH34" s="3">
        <f>ROUND(17.0,2)</f>
        <v/>
      </c>
      <c r="BI34" s="3">
        <f>ROUND(17.0,2)</f>
        <v/>
      </c>
      <c r="BJ34" s="4">
        <f>IFERROR((BD34/BC34),0)</f>
        <v/>
      </c>
      <c r="BK34" s="4">
        <f>IFERROR(((0+BB11+BB12+BB13+BB14+BB15+BB16+BB17+BB19+BB20+BB21+BB22+BB23+BB24+BB25+BB27+BB28+BB29+BB30+BB31+BB32+BB33)/T2),0)</f>
        <v/>
      </c>
      <c r="BL34" s="5">
        <f>IFERROR(ROUND(BB34/BD34,2),0)</f>
        <v/>
      </c>
      <c r="BM34" s="5">
        <f>IFERROR(ROUND(BB34/BE34,2),0)</f>
        <v/>
      </c>
      <c r="BN34" s="2" t="inlineStr">
        <is>
          <t>3 Weekly Total</t>
        </is>
      </c>
      <c r="BO34" s="5">
        <f>ROUND(39.76,2)</f>
        <v/>
      </c>
      <c r="BP34" s="3">
        <f>ROUND(4089.0,2)</f>
        <v/>
      </c>
      <c r="BQ34" s="3">
        <f>ROUND(142.0,2)</f>
        <v/>
      </c>
      <c r="BR34" s="3">
        <f>ROUND(270.0,2)</f>
        <v/>
      </c>
      <c r="BS34" s="3">
        <f>ROUND(213.0,2)</f>
        <v/>
      </c>
      <c r="BT34" s="3">
        <f>ROUND(82.0,2)</f>
        <v/>
      </c>
      <c r="BU34" s="3">
        <f>ROUND(65.0,2)</f>
        <v/>
      </c>
      <c r="BV34" s="3">
        <f>ROUND(46.0,2)</f>
        <v/>
      </c>
      <c r="BW34" s="4">
        <f>IFERROR((BQ34/BP34),0)</f>
        <v/>
      </c>
      <c r="BX34" s="4">
        <f>IFERROR(((0+BO11+BO12+BO13+BO14+BO15+BO16+BO17+BO19+BO20+BO21+BO22+BO23+BO24+BO25+BO27+BO28+BO29+BO30+BO31+BO32+BO33)/T2),0)</f>
        <v/>
      </c>
      <c r="BY34" s="5">
        <f>IFERROR(ROUND(BO34/BQ34,2),0)</f>
        <v/>
      </c>
      <c r="BZ34" s="5">
        <f>IFERROR(ROUND(BO34/BR34,2),0)</f>
        <v/>
      </c>
      <c r="CA34" s="2" t="inlineStr">
        <is>
          <t>3 Weekly Total</t>
        </is>
      </c>
      <c r="CB34" s="5">
        <f>ROUND(11.2,2)</f>
        <v/>
      </c>
      <c r="CC34" s="3">
        <f>ROUND(2116.0,2)</f>
        <v/>
      </c>
      <c r="CD34" s="3">
        <f>ROUND(40.0,2)</f>
        <v/>
      </c>
      <c r="CE34" s="3">
        <f>ROUND(150.0,2)</f>
        <v/>
      </c>
      <c r="CF34" s="3">
        <f>ROUND(132.0,2)</f>
        <v/>
      </c>
      <c r="CG34" s="3">
        <f>ROUND(43.0,2)</f>
        <v/>
      </c>
      <c r="CH34" s="3">
        <f>ROUND(24.0,2)</f>
        <v/>
      </c>
      <c r="CI34" s="3">
        <f>ROUND(15.0,2)</f>
        <v/>
      </c>
      <c r="CJ34" s="4">
        <f>IFERROR((CD34/CC34),0)</f>
        <v/>
      </c>
      <c r="CK34" s="4">
        <f>IFERROR(((0+CB11+CB12+CB13+CB14+CB15+CB16+CB17+CB19+CB20+CB21+CB22+CB23+CB24+CB25+CB27+CB28+CB29+CB30+CB31+CB32+CB33)/T2),0)</f>
        <v/>
      </c>
      <c r="CL34" s="5">
        <f>IFERROR(ROUND(CB34/CD34,2),0)</f>
        <v/>
      </c>
      <c r="CM34" s="5">
        <f>IFERROR(ROUND(CB34/CE34,2),0)</f>
        <v/>
      </c>
      <c r="CN34" s="2" t="inlineStr">
        <is>
          <t>3 Weekly Total</t>
        </is>
      </c>
      <c r="CO34" s="5">
        <f>ROUND(2.24,2)</f>
        <v/>
      </c>
      <c r="CP34" s="3">
        <f>ROUND(618.0,2)</f>
        <v/>
      </c>
      <c r="CQ34" s="3">
        <f>ROUND(8.0,2)</f>
        <v/>
      </c>
      <c r="CR34" s="3">
        <f>ROUND(16.0,2)</f>
        <v/>
      </c>
      <c r="CS34" s="3">
        <f>ROUND(13.0,2)</f>
        <v/>
      </c>
      <c r="CT34" s="3">
        <f>ROUND(5.0,2)</f>
        <v/>
      </c>
      <c r="CU34" s="3">
        <f>ROUND(4.0,2)</f>
        <v/>
      </c>
      <c r="CV34" s="3">
        <f>ROUND(2.0,2)</f>
        <v/>
      </c>
      <c r="CW34" s="4">
        <f>IFERROR((CQ34/CP34),0)</f>
        <v/>
      </c>
      <c r="CX34" s="4">
        <f>IFERROR(((0+CO11+CO12+CO13+CO14+CO15+CO16+CO17+CO19+CO20+CO21+CO22+CO23+CO24+CO25+CO27+CO28+CO29+CO30+CO31+CO32+CO33)/T2),0)</f>
        <v/>
      </c>
      <c r="CY34" s="5">
        <f>IFERROR(ROUND(CO34/CQ34,2),0)</f>
        <v/>
      </c>
      <c r="CZ34" s="5">
        <f>IFERROR(ROUND(CO34/CR34,2),0)</f>
        <v/>
      </c>
      <c r="DA34" s="2" t="inlineStr">
        <is>
          <t>3 Weekly Total</t>
        </is>
      </c>
      <c r="DB34" s="5">
        <f>ROUND(1.68,2)</f>
        <v/>
      </c>
      <c r="DC34" s="3">
        <f>ROUND(310.0,2)</f>
        <v/>
      </c>
      <c r="DD34" s="3">
        <f>ROUND(6.0,2)</f>
        <v/>
      </c>
      <c r="DE34" s="3">
        <f>ROUND(24.0,2)</f>
        <v/>
      </c>
      <c r="DF34" s="3">
        <f>ROUND(23.0,2)</f>
        <v/>
      </c>
      <c r="DG34" s="3">
        <f>ROUND(16.0,2)</f>
        <v/>
      </c>
      <c r="DH34" s="3">
        <f>ROUND(13.0,2)</f>
        <v/>
      </c>
      <c r="DI34" s="3">
        <f>ROUND(11.0,2)</f>
        <v/>
      </c>
      <c r="DJ34" s="4">
        <f>IFERROR((DD34/DC34),0)</f>
        <v/>
      </c>
      <c r="DK34" s="4">
        <f>IFERROR(((0+DB11+DB12+DB13+DB14+DB15+DB16+DB17+DB19+DB20+DB21+DB22+DB23+DB24+DB25+DB27+DB28+DB29+DB30+DB31+DB32+DB33)/T2),0)</f>
        <v/>
      </c>
      <c r="DL34" s="5">
        <f>IFERROR(ROUND(DB34/DD34,2),0)</f>
        <v/>
      </c>
      <c r="DM34" s="5">
        <f>IFERROR(ROUND(DB34/DE34,2),0)</f>
        <v/>
      </c>
      <c r="DN34" s="2" t="inlineStr">
        <is>
          <t>3 Weekly Total</t>
        </is>
      </c>
      <c r="DO34" s="5">
        <f>ROUND(0.56,2)</f>
        <v/>
      </c>
      <c r="DP34" s="3">
        <f>ROUND(155.0,2)</f>
        <v/>
      </c>
      <c r="DQ34" s="3">
        <f>ROUND(2.0,2)</f>
        <v/>
      </c>
      <c r="DR34" s="3">
        <f>ROUND(9.0,2)</f>
        <v/>
      </c>
      <c r="DS34" s="3">
        <f>ROUND(9.0,2)</f>
        <v/>
      </c>
      <c r="DT34" s="3">
        <f>ROUND(4.0,2)</f>
        <v/>
      </c>
      <c r="DU34" s="3">
        <f>ROUND(4.0,2)</f>
        <v/>
      </c>
      <c r="DV34" s="3">
        <f>ROUND(2.0,2)</f>
        <v/>
      </c>
      <c r="DW34" s="4">
        <f>IFERROR((DQ34/DP34),0)</f>
        <v/>
      </c>
      <c r="DX34" s="4">
        <f>IFERROR(((0+DO11+DO12+DO13+DO14+DO15+DO16+DO17+DO19+DO20+DO21+DO22+DO23+DO24+DO25+DO27+DO28+DO29+DO30+DO31+DO32+DO33)/T2),0)</f>
        <v/>
      </c>
      <c r="DY34" s="5">
        <f>IFERROR(ROUND(DO34/DQ34,2),0)</f>
        <v/>
      </c>
      <c r="DZ34" s="5">
        <f>IFERROR(ROUND(DO34/DR34,2),0)</f>
        <v/>
      </c>
      <c r="EA34" s="2" t="inlineStr">
        <is>
          <t>3 Weekly Total</t>
        </is>
      </c>
      <c r="EB34" s="5">
        <f>ROUND(5.88,2)</f>
        <v/>
      </c>
      <c r="EC34" s="3">
        <f>ROUND(651.0,2)</f>
        <v/>
      </c>
      <c r="ED34" s="3">
        <f>ROUND(21.0,2)</f>
        <v/>
      </c>
      <c r="EE34" s="3">
        <f>ROUND(28.0,2)</f>
        <v/>
      </c>
      <c r="EF34" s="3">
        <f>ROUND(19.0,2)</f>
        <v/>
      </c>
      <c r="EG34" s="3">
        <f>ROUND(8.0,2)</f>
        <v/>
      </c>
      <c r="EH34" s="3">
        <f>ROUND(6.0,2)</f>
        <v/>
      </c>
      <c r="EI34" s="3">
        <f>ROUND(5.0,2)</f>
        <v/>
      </c>
      <c r="EJ34" s="4">
        <f>IFERROR((ED34/EC34),0)</f>
        <v/>
      </c>
      <c r="EK34" s="4">
        <f>IFERROR(((0+EB11+EB12+EB13+EB14+EB15+EB16+EB17+EB19+EB20+EB21+EB22+EB23+EB24+EB25+EB27+EB28+EB29+EB30+EB31+EB32+EB33)/T2),0)</f>
        <v/>
      </c>
      <c r="EL34" s="5">
        <f>IFERROR(ROUND(EB34/ED34,2),0)</f>
        <v/>
      </c>
      <c r="EM34" s="5">
        <f>IFERROR(ROUND(EB34/EE34,2),0)</f>
        <v/>
      </c>
      <c r="EN34" s="2" t="inlineStr">
        <is>
          <t>3 Weekly Total</t>
        </is>
      </c>
      <c r="EO34" s="5">
        <f>ROUND(7.84,2)</f>
        <v/>
      </c>
      <c r="EP34" s="3">
        <f>ROUND(796.0,2)</f>
        <v/>
      </c>
      <c r="EQ34" s="3">
        <f>ROUND(28.0,2)</f>
        <v/>
      </c>
      <c r="ER34" s="3">
        <f>ROUND(96.0,2)</f>
        <v/>
      </c>
      <c r="ES34" s="3">
        <f>ROUND(76.0,2)</f>
        <v/>
      </c>
      <c r="ET34" s="3">
        <f>ROUND(32.0,2)</f>
        <v/>
      </c>
      <c r="EU34" s="3">
        <f>ROUND(23.0,2)</f>
        <v/>
      </c>
      <c r="EV34" s="3">
        <f>ROUND(15.0,2)</f>
        <v/>
      </c>
      <c r="EW34" s="4">
        <f>IFERROR((EQ34/EP34),0)</f>
        <v/>
      </c>
      <c r="EX34" s="4">
        <f>IFERROR(((0+EO11+EO12+EO13+EO14+EO15+EO16+EO17+EO19+EO20+EO21+EO22+EO23+EO24+EO25+EO27+EO28+EO29+EO30+EO31+EO32+EO33)/T2),0)</f>
        <v/>
      </c>
      <c r="EY34" s="5">
        <f>IFERROR(ROUND(EO34/EQ34,2),0)</f>
        <v/>
      </c>
      <c r="EZ34" s="5">
        <f>IFERROR(ROUND(EO34/ER34,2),0)</f>
        <v/>
      </c>
      <c r="FA34" s="2" t="inlineStr">
        <is>
          <t>3 Weekly Total</t>
        </is>
      </c>
      <c r="FB34" s="5">
        <f>ROUND(8.68,2)</f>
        <v/>
      </c>
      <c r="FC34" s="3">
        <f>ROUND(1332.0,2)</f>
        <v/>
      </c>
      <c r="FD34" s="3">
        <f>ROUND(31.0,2)</f>
        <v/>
      </c>
      <c r="FE34" s="3">
        <f>ROUND(90.0,2)</f>
        <v/>
      </c>
      <c r="FF34" s="3">
        <f>ROUND(81.0,2)</f>
        <v/>
      </c>
      <c r="FG34" s="3">
        <f>ROUND(35.0,2)</f>
        <v/>
      </c>
      <c r="FH34" s="3">
        <f>ROUND(24.0,2)</f>
        <v/>
      </c>
      <c r="FI34" s="3">
        <f>ROUND(18.0,2)</f>
        <v/>
      </c>
      <c r="FJ34" s="4">
        <f>IFERROR((FD34/FC34),0)</f>
        <v/>
      </c>
      <c r="FK34" s="4">
        <f>IFERROR(((0+FB11+FB12+FB13+FB14+FB15+FB16+FB17+FB19+FB20+FB21+FB22+FB23+FB24+FB25+FB27+FB28+FB29+FB30+FB31+FB32+FB33)/T2),0)</f>
        <v/>
      </c>
      <c r="FL34" s="5">
        <f>IFERROR(ROUND(FB34/FD34,2),0)</f>
        <v/>
      </c>
      <c r="FM34" s="5">
        <f>IFERROR(ROUND(FB34/FE34,2),0)</f>
        <v/>
      </c>
      <c r="FN34" s="2" t="inlineStr">
        <is>
          <t>3 Weekly Total</t>
        </is>
      </c>
      <c r="FO34" s="5">
        <f>ROUND(2.52,2)</f>
        <v/>
      </c>
      <c r="FP34" s="3">
        <f>ROUND(342.0,2)</f>
        <v/>
      </c>
      <c r="FQ34" s="3">
        <f>ROUND(9.0,2)</f>
        <v/>
      </c>
      <c r="FR34" s="3">
        <f>ROUND(36.0,2)</f>
        <v/>
      </c>
      <c r="FS34" s="3">
        <f>ROUND(33.0,2)</f>
        <v/>
      </c>
      <c r="FT34" s="3">
        <f>ROUND(17.0,2)</f>
        <v/>
      </c>
      <c r="FU34" s="3">
        <f>ROUND(10.0,2)</f>
        <v/>
      </c>
      <c r="FV34" s="3">
        <f>ROUND(7.0,2)</f>
        <v/>
      </c>
      <c r="FW34" s="4">
        <f>IFERROR((FQ34/FP34),0)</f>
        <v/>
      </c>
      <c r="FX34" s="4">
        <f>IFERROR(((0+FO11+FO12+FO13+FO14+FO15+FO16+FO17+FO19+FO20+FO21+FO22+FO23+FO24+FO25+FO27+FO28+FO29+FO30+FO31+FO32+FO33)/T2),0)</f>
        <v/>
      </c>
      <c r="FY34" s="5">
        <f>IFERROR(ROUND(FO34/FQ34,2),0)</f>
        <v/>
      </c>
      <c r="FZ34" s="5">
        <f>IFERROR(ROUND(FO34/FR34,2),0)</f>
        <v/>
      </c>
      <c r="GA34" s="2" t="inlineStr">
        <is>
          <t>3 Weekly Total</t>
        </is>
      </c>
      <c r="GB34" s="5">
        <f>ROUND(13.16,2)</f>
        <v/>
      </c>
      <c r="GC34" s="3">
        <f>ROUND(1427.0,2)</f>
        <v/>
      </c>
      <c r="GD34" s="3">
        <f>ROUND(47.0,2)</f>
        <v/>
      </c>
      <c r="GE34" s="3">
        <f>ROUND(183.0,2)</f>
        <v/>
      </c>
      <c r="GF34" s="3">
        <f>ROUND(161.0,2)</f>
        <v/>
      </c>
      <c r="GG34" s="3">
        <f>ROUND(65.0,2)</f>
        <v/>
      </c>
      <c r="GH34" s="3">
        <f>ROUND(43.0,2)</f>
        <v/>
      </c>
      <c r="GI34" s="3">
        <f>ROUND(29.0,2)</f>
        <v/>
      </c>
      <c r="GJ34" s="4">
        <f>IFERROR((GD34/GC34),0)</f>
        <v/>
      </c>
      <c r="GK34" s="4">
        <f>IFERROR(((0+GB11+GB12+GB13+GB14+GB15+GB16+GB17+GB19+GB20+GB21+GB22+GB23+GB24+GB25+GB27+GB28+GB29+GB30+GB31+GB32+GB33)/T2),0)</f>
        <v/>
      </c>
      <c r="GL34" s="5">
        <f>IFERROR(ROUND(GB34/GD34,2),0)</f>
        <v/>
      </c>
      <c r="GM34" s="5">
        <f>IFERROR(ROUND(GB34/GE34,2),0)</f>
        <v/>
      </c>
      <c r="GN34" s="2" t="inlineStr">
        <is>
          <t>3 Weekly Total</t>
        </is>
      </c>
      <c r="GO34" s="5">
        <f>ROUND(1.4,2)</f>
        <v/>
      </c>
      <c r="GP34" s="3">
        <f>ROUND(155.0,2)</f>
        <v/>
      </c>
      <c r="GQ34" s="3">
        <f>ROUND(5.0,2)</f>
        <v/>
      </c>
      <c r="GR34" s="3">
        <f>ROUND(16.0,2)</f>
        <v/>
      </c>
      <c r="GS34" s="3">
        <f>ROUND(16.0,2)</f>
        <v/>
      </c>
      <c r="GT34" s="3">
        <f>ROUND(11.0,2)</f>
        <v/>
      </c>
      <c r="GU34" s="3">
        <f>ROUND(9.0,2)</f>
        <v/>
      </c>
      <c r="GV34" s="3">
        <f>ROUND(7.0,2)</f>
        <v/>
      </c>
      <c r="GW34" s="4">
        <f>IFERROR((GQ34/GP34),0)</f>
        <v/>
      </c>
      <c r="GX34" s="4">
        <f>IFERROR(((0+GO11+GO12+GO13+GO14+GO15+GO16+GO17+GO19+GO20+GO21+GO22+GO23+GO24+GO25+GO27+GO28+GO29+GO30+GO31+GO32+GO33)/T2),0)</f>
        <v/>
      </c>
      <c r="GY34" s="5">
        <f>IFERROR(ROUND(GO34/GQ34,2),0)</f>
        <v/>
      </c>
      <c r="GZ34" s="5">
        <f>IFERROR(ROUND(GO34/GR34,2),0)</f>
        <v/>
      </c>
      <c r="HA34" s="2" t="inlineStr">
        <is>
          <t>3 Weekly Total</t>
        </is>
      </c>
      <c r="HB34" s="5">
        <f>ROUND(0.84,2)</f>
        <v/>
      </c>
      <c r="HC34" s="3">
        <f>ROUND(638.0,2)</f>
        <v/>
      </c>
      <c r="HD34" s="3">
        <f>ROUND(3.0,2)</f>
        <v/>
      </c>
      <c r="HE34" s="3">
        <f>ROUND(28.0,2)</f>
        <v/>
      </c>
      <c r="HF34" s="3">
        <f>ROUND(23.0,2)</f>
        <v/>
      </c>
      <c r="HG34" s="3">
        <f>ROUND(13.0,2)</f>
        <v/>
      </c>
      <c r="HH34" s="3">
        <f>ROUND(11.0,2)</f>
        <v/>
      </c>
      <c r="HI34" s="3">
        <f>ROUND(8.0,2)</f>
        <v/>
      </c>
      <c r="HJ34" s="4">
        <f>IFERROR((HD34/HC34),0)</f>
        <v/>
      </c>
      <c r="HK34" s="4">
        <f>IFERROR(((0+HB11+HB12+HB13+HB14+HB15+HB16+HB17+HB19+HB20+HB21+HB22+HB23+HB24+HB25+HB27+HB28+HB29+HB30+HB31+HB32+HB33)/T2),0)</f>
        <v/>
      </c>
      <c r="HL34" s="5">
        <f>IFERROR(ROUND(HB34/HD34,2),0)</f>
        <v/>
      </c>
      <c r="HM34" s="5">
        <f>IFERROR(ROUND(HB34/HE34,2),0)</f>
        <v/>
      </c>
      <c r="HN34" s="2" t="inlineStr">
        <is>
          <t>3 Weekly Total</t>
        </is>
      </c>
      <c r="HO34" s="5">
        <f>ROUND(3.08,2)</f>
        <v/>
      </c>
      <c r="HP34" s="3">
        <f>ROUND(302.0,2)</f>
        <v/>
      </c>
      <c r="HQ34" s="3">
        <f>ROUND(11.0,2)</f>
        <v/>
      </c>
      <c r="HR34" s="3">
        <f>ROUND(25.0,2)</f>
        <v/>
      </c>
      <c r="HS34" s="3">
        <f>ROUND(22.0,2)</f>
        <v/>
      </c>
      <c r="HT34" s="3">
        <f>ROUND(15.0,2)</f>
        <v/>
      </c>
      <c r="HU34" s="3">
        <f>ROUND(9.0,2)</f>
        <v/>
      </c>
      <c r="HV34" s="3">
        <f>ROUND(8.0,2)</f>
        <v/>
      </c>
      <c r="HW34" s="4">
        <f>IFERROR((HQ34/HP34),0)</f>
        <v/>
      </c>
      <c r="HX34" s="4">
        <f>IFERROR(((0+HO11+HO12+HO13+HO14+HO15+HO16+HO17+HO19+HO20+HO21+HO22+HO23+HO24+HO25+HO27+HO28+HO29+HO30+HO31+HO32+HO33)/T2),0)</f>
        <v/>
      </c>
      <c r="HY34" s="5">
        <f>IFERROR(ROUND(HO34/HQ34,2),0)</f>
        <v/>
      </c>
      <c r="HZ34" s="5">
        <f>IFERROR(ROUND(HO34/HR34,2),0)</f>
        <v/>
      </c>
      <c r="IA34" s="2" t="inlineStr">
        <is>
          <t>3 Weekly Total</t>
        </is>
      </c>
      <c r="IB34" s="5">
        <f>ROUND(5.88,2)</f>
        <v/>
      </c>
      <c r="IC34" s="3">
        <f>ROUND(727.0,2)</f>
        <v/>
      </c>
      <c r="ID34" s="3">
        <f>ROUND(21.0,2)</f>
        <v/>
      </c>
      <c r="IE34" s="3">
        <f>ROUND(42.0,2)</f>
        <v/>
      </c>
      <c r="IF34" s="3">
        <f>ROUND(35.0,2)</f>
        <v/>
      </c>
      <c r="IG34" s="3">
        <f>ROUND(21.0,2)</f>
        <v/>
      </c>
      <c r="IH34" s="3">
        <f>ROUND(15.0,2)</f>
        <v/>
      </c>
      <c r="II34" s="3">
        <f>ROUND(11.0,2)</f>
        <v/>
      </c>
      <c r="IJ34" s="4">
        <f>IFERROR((ID34/IC34),0)</f>
        <v/>
      </c>
      <c r="IK34" s="4">
        <f>IFERROR(((0+IB11+IB12+IB13+IB14+IB15+IB16+IB17+IB19+IB20+IB21+IB22+IB23+IB24+IB25+IB27+IB28+IB29+IB30+IB31+IB32+IB33)/T2),0)</f>
        <v/>
      </c>
      <c r="IL34" s="5">
        <f>IFERROR(ROUND(IB34/ID34,2),0)</f>
        <v/>
      </c>
      <c r="IM34" s="5">
        <f>IFERROR(ROUND(IB34/IE34,2),0)</f>
        <v/>
      </c>
      <c r="IN34" s="2" t="inlineStr">
        <is>
          <t>3 Weekly Total</t>
        </is>
      </c>
      <c r="IO34" s="5">
        <f>ROUND(0.84,2)</f>
        <v/>
      </c>
      <c r="IP34" s="3">
        <f>ROUND(330.0,2)</f>
        <v/>
      </c>
      <c r="IQ34" s="3">
        <f>ROUND(3.0,2)</f>
        <v/>
      </c>
      <c r="IR34" s="3">
        <f>ROUND(37.0,2)</f>
        <v/>
      </c>
      <c r="IS34" s="3">
        <f>ROUND(27.0,2)</f>
        <v/>
      </c>
      <c r="IT34" s="3">
        <f>ROUND(20.0,2)</f>
        <v/>
      </c>
      <c r="IU34" s="3">
        <f>ROUND(17.0,2)</f>
        <v/>
      </c>
      <c r="IV34" s="3">
        <f>ROUND(16.0,2)</f>
        <v/>
      </c>
      <c r="IW34" s="4">
        <f>IFERROR((IQ34/IP34),0)</f>
        <v/>
      </c>
      <c r="IX34" s="4">
        <f>IFERROR(((0+IO11+IO12+IO13+IO14+IO15+IO16+IO17+IO19+IO20+IO21+IO22+IO23+IO24+IO25+IO27+IO28+IO29+IO30+IO31+IO32+IO33)/T2),0)</f>
        <v/>
      </c>
      <c r="IY34" s="5">
        <f>IFERROR(ROUND(IO34/IQ34,2),0)</f>
        <v/>
      </c>
      <c r="IZ34" s="5">
        <f>IFERROR(ROUND(IO34/IR34,2),0)</f>
        <v/>
      </c>
      <c r="JA34" s="2" t="inlineStr">
        <is>
          <t>3 Weekly Total</t>
        </is>
      </c>
      <c r="JB34" s="5">
        <f>ROUND(0.84,2)</f>
        <v/>
      </c>
      <c r="JC34" s="3">
        <f>ROUND(63.0,2)</f>
        <v/>
      </c>
      <c r="JD34" s="3">
        <f>ROUND(3.0,2)</f>
        <v/>
      </c>
      <c r="JE34" s="3">
        <f>ROUND(12.0,2)</f>
        <v/>
      </c>
      <c r="JF34" s="3">
        <f>ROUND(12.0,2)</f>
        <v/>
      </c>
      <c r="JG34" s="3">
        <f>ROUND(8.0,2)</f>
        <v/>
      </c>
      <c r="JH34" s="3">
        <f>ROUND(6.0,2)</f>
        <v/>
      </c>
      <c r="JI34" s="3">
        <f>ROUND(5.0,2)</f>
        <v/>
      </c>
      <c r="JJ34" s="4">
        <f>IFERROR((JD34/JC34),0)</f>
        <v/>
      </c>
      <c r="JK34" s="4">
        <f>IFERROR(((0+JB11+JB12+JB13+JB14+JB15+JB16+JB17+JB19+JB20+JB21+JB22+JB23+JB24+JB25+JB27+JB28+JB29+JB30+JB31+JB32+JB33)/T2),0)</f>
        <v/>
      </c>
      <c r="JL34" s="5">
        <f>IFERROR(ROUND(JB34/JD34,2),0)</f>
        <v/>
      </c>
      <c r="JM34" s="5">
        <f>IFERROR(ROUND(JB34/JE34,2),0)</f>
        <v/>
      </c>
    </row>
    <row r="35">
      <c r="A35" s="2" t="inlineStr">
        <is>
          <t>2023-10-11</t>
        </is>
      </c>
      <c r="B35" s="5">
        <f>ROUND(154.28000000000003,2)</f>
        <v/>
      </c>
      <c r="C35" s="3">
        <f>ROUND(27839.0,2)</f>
        <v/>
      </c>
      <c r="D35" s="3">
        <f>ROUND(551.0,2)</f>
        <v/>
      </c>
      <c r="E35" s="3">
        <f>ROUND(1389.0,2)</f>
        <v/>
      </c>
      <c r="F35" s="3">
        <f>ROUND(1084.0,2)</f>
        <v/>
      </c>
      <c r="G35" s="3">
        <f>ROUND(429.0,2)</f>
        <v/>
      </c>
      <c r="H35" s="3">
        <f>ROUND(286.0,2)</f>
        <v/>
      </c>
      <c r="I35" s="3">
        <f>ROUND(214.0,2)</f>
        <v/>
      </c>
      <c r="J35" s="4">
        <f>IFERROR((D35/C35),0)</f>
        <v/>
      </c>
      <c r="K35" s="4">
        <f>IFERROR(((0+B11+B12+B13+B14+B15+B16+B17+B19+B20+B21+B22+B23+B24+B25+B27+B28+B29+B30+B31+B32+B33+B35)/T2),0)</f>
        <v/>
      </c>
      <c r="L35" s="5">
        <f>IFERROR(ROUND(B35/D35,2),0)</f>
        <v/>
      </c>
      <c r="M35" s="5">
        <f>IFERROR(ROUND(B35/E35,2),0)</f>
        <v/>
      </c>
      <c r="N35" s="2" t="inlineStr">
        <is>
          <t>2023-10-11</t>
        </is>
      </c>
      <c r="O35" s="5">
        <f>ROUND(9.8,2)</f>
        <v/>
      </c>
      <c r="P35" s="3">
        <f>ROUND(2170.0,2)</f>
        <v/>
      </c>
      <c r="Q35" s="3">
        <f>ROUND(35.0,2)</f>
        <v/>
      </c>
      <c r="R35" s="3">
        <f>ROUND(41.0,2)</f>
        <v/>
      </c>
      <c r="S35" s="3">
        <f>ROUND(27.0,2)</f>
        <v/>
      </c>
      <c r="T35" s="3">
        <f>ROUND(10.0,2)</f>
        <v/>
      </c>
      <c r="U35" s="3">
        <f>ROUND(7.0,2)</f>
        <v/>
      </c>
      <c r="V35" s="3">
        <f>ROUND(6.0,2)</f>
        <v/>
      </c>
      <c r="W35" s="4">
        <f>IFERROR((Q35/P35),0)</f>
        <v/>
      </c>
      <c r="X35" s="4">
        <f>IFERROR(((0+O11+O12+O13+O14+O15+O16+O17+O19+O20+O21+O22+O23+O24+O25+O27+O28+O29+O30+O31+O32+O33+O35)/T2),0)</f>
        <v/>
      </c>
      <c r="Y35" s="5">
        <f>IFERROR(ROUND(O35/Q35,2),0)</f>
        <v/>
      </c>
      <c r="Z35" s="5">
        <f>IFERROR(ROUND(O35/R35,2),0)</f>
        <v/>
      </c>
      <c r="AA35" s="2" t="inlineStr">
        <is>
          <t>2023-10-11</t>
        </is>
      </c>
      <c r="AB35" s="5">
        <f>ROUND(6.44,2)</f>
        <v/>
      </c>
      <c r="AC35" s="3">
        <f>ROUND(2134.0,2)</f>
        <v/>
      </c>
      <c r="AD35" s="3">
        <f>ROUND(23.0,2)</f>
        <v/>
      </c>
      <c r="AE35" s="3">
        <f>ROUND(56.0,2)</f>
        <v/>
      </c>
      <c r="AF35" s="3">
        <f>ROUND(41.0,2)</f>
        <v/>
      </c>
      <c r="AG35" s="3">
        <f>ROUND(16.0,2)</f>
        <v/>
      </c>
      <c r="AH35" s="3">
        <f>ROUND(11.0,2)</f>
        <v/>
      </c>
      <c r="AI35" s="3">
        <f>ROUND(8.0,2)</f>
        <v/>
      </c>
      <c r="AJ35" s="4">
        <f>IFERROR((AD35/AC35),0)</f>
        <v/>
      </c>
      <c r="AK35" s="4">
        <f>IFERROR(((0+AB11+AB12+AB13+AB14+AB15+AB16+AB17+AB19+AB20+AB21+AB22+AB23+AB24+AB25+AB27+AB28+AB29+AB30+AB31+AB32+AB33+AB35)/T2),0)</f>
        <v/>
      </c>
      <c r="AL35" s="5">
        <f>IFERROR(ROUND(AB35/AD35,2),0)</f>
        <v/>
      </c>
      <c r="AM35" s="5">
        <f>IFERROR(ROUND(AB35/AE35,2),0)</f>
        <v/>
      </c>
      <c r="AN35" s="2" t="inlineStr">
        <is>
          <t>2023-10-11</t>
        </is>
      </c>
      <c r="AO35" s="5">
        <f>ROUND(3.08,2)</f>
        <v/>
      </c>
      <c r="AP35" s="3">
        <f>ROUND(847.0,2)</f>
        <v/>
      </c>
      <c r="AQ35" s="3">
        <f>ROUND(11.0,2)</f>
        <v/>
      </c>
      <c r="AR35" s="3">
        <f>ROUND(20.0,2)</f>
        <v/>
      </c>
      <c r="AS35" s="3">
        <f>ROUND(17.0,2)</f>
        <v/>
      </c>
      <c r="AT35" s="3">
        <f>ROUND(8.0,2)</f>
        <v/>
      </c>
      <c r="AU35" s="3">
        <f>ROUND(5.0,2)</f>
        <v/>
      </c>
      <c r="AV35" s="3">
        <f>ROUND(4.0,2)</f>
        <v/>
      </c>
      <c r="AW35" s="4">
        <f>IFERROR((AQ35/AP35),0)</f>
        <v/>
      </c>
      <c r="AX35" s="4">
        <f>IFERROR(((0+AO11+AO12+AO13+AO14+AO15+AO16+AO17+AO19+AO20+AO21+AO22+AO23+AO24+AO25+AO27+AO28+AO29+AO30+AO31+AO32+AO33+AO35)/T2),0)</f>
        <v/>
      </c>
      <c r="AY35" s="5">
        <f>IFERROR(ROUND(AO35/AQ35,2),0)</f>
        <v/>
      </c>
      <c r="AZ35" s="5">
        <f>IFERROR(ROUND(AO35/AR35,2),0)</f>
        <v/>
      </c>
      <c r="BA35" s="2" t="inlineStr">
        <is>
          <t>2023-10-11</t>
        </is>
      </c>
      <c r="BB35" s="5">
        <f>ROUND(8.120000000000001,2)</f>
        <v/>
      </c>
      <c r="BC35" s="3">
        <f>ROUND(2454.0,2)</f>
        <v/>
      </c>
      <c r="BD35" s="3">
        <f>ROUND(29.0,2)</f>
        <v/>
      </c>
      <c r="BE35" s="3">
        <f>ROUND(48.0,2)</f>
        <v/>
      </c>
      <c r="BF35" s="3">
        <f>ROUND(36.0,2)</f>
        <v/>
      </c>
      <c r="BG35" s="3">
        <f>ROUND(17.0,2)</f>
        <v/>
      </c>
      <c r="BH35" s="3">
        <f>ROUND(9.0,2)</f>
        <v/>
      </c>
      <c r="BI35" s="3">
        <f>ROUND(8.0,2)</f>
        <v/>
      </c>
      <c r="BJ35" s="4">
        <f>IFERROR((BD35/BC35),0)</f>
        <v/>
      </c>
      <c r="BK35" s="4">
        <f>IFERROR(((0+BB11+BB12+BB13+BB14+BB15+BB16+BB17+BB19+BB20+BB21+BB22+BB23+BB24+BB25+BB27+BB28+BB29+BB30+BB31+BB32+BB33+BB35)/T2),0)</f>
        <v/>
      </c>
      <c r="BL35" s="5">
        <f>IFERROR(ROUND(BB35/BD35,2),0)</f>
        <v/>
      </c>
      <c r="BM35" s="5">
        <f>IFERROR(ROUND(BB35/BE35,2),0)</f>
        <v/>
      </c>
      <c r="BN35" s="2" t="inlineStr">
        <is>
          <t>2023-10-11</t>
        </is>
      </c>
      <c r="BO35" s="5">
        <f>ROUND(28.560000000000002,2)</f>
        <v/>
      </c>
      <c r="BP35" s="3">
        <f>ROUND(3622.0,2)</f>
        <v/>
      </c>
      <c r="BQ35" s="3">
        <f>ROUND(102.0,2)</f>
        <v/>
      </c>
      <c r="BR35" s="3">
        <f>ROUND(235.0,2)</f>
        <v/>
      </c>
      <c r="BS35" s="3">
        <f>ROUND(186.0,2)</f>
        <v/>
      </c>
      <c r="BT35" s="3">
        <f>ROUND(66.0,2)</f>
        <v/>
      </c>
      <c r="BU35" s="3">
        <f>ROUND(51.0,2)</f>
        <v/>
      </c>
      <c r="BV35" s="3">
        <f>ROUND(41.0,2)</f>
        <v/>
      </c>
      <c r="BW35" s="4">
        <f>IFERROR((BQ35/BP35),0)</f>
        <v/>
      </c>
      <c r="BX35" s="4">
        <f>IFERROR(((0+BO11+BO12+BO13+BO14+BO15+BO16+BO17+BO19+BO20+BO21+BO22+BO23+BO24+BO25+BO27+BO28+BO29+BO30+BO31+BO32+BO33+BO35)/T2),0)</f>
        <v/>
      </c>
      <c r="BY35" s="5">
        <f>IFERROR(ROUND(BO35/BQ35,2),0)</f>
        <v/>
      </c>
      <c r="BZ35" s="5">
        <f>IFERROR(ROUND(BO35/BR35,2),0)</f>
        <v/>
      </c>
      <c r="CA35" s="2" t="inlineStr">
        <is>
          <t>2023-10-11</t>
        </is>
      </c>
      <c r="CB35" s="5">
        <f>ROUND(21.28,2)</f>
        <v/>
      </c>
      <c r="CC35" s="3">
        <f>ROUND(4223.0,2)</f>
        <v/>
      </c>
      <c r="CD35" s="3">
        <f>ROUND(76.0,2)</f>
        <v/>
      </c>
      <c r="CE35" s="3">
        <f>ROUND(307.0,2)</f>
        <v/>
      </c>
      <c r="CF35" s="3">
        <f>ROUND(263.0,2)</f>
        <v/>
      </c>
      <c r="CG35" s="3">
        <f>ROUND(98.0,2)</f>
        <v/>
      </c>
      <c r="CH35" s="3">
        <f>ROUND(58.0,2)</f>
        <v/>
      </c>
      <c r="CI35" s="3">
        <f>ROUND(38.0,2)</f>
        <v/>
      </c>
      <c r="CJ35" s="4">
        <f>IFERROR((CD35/CC35),0)</f>
        <v/>
      </c>
      <c r="CK35" s="4">
        <f>IFERROR(((0+CB11+CB12+CB13+CB14+CB15+CB16+CB17+CB19+CB20+CB21+CB22+CB23+CB24+CB25+CB27+CB28+CB29+CB30+CB31+CB32+CB33+CB35)/T2),0)</f>
        <v/>
      </c>
      <c r="CL35" s="5">
        <f>IFERROR(ROUND(CB35/CD35,2),0)</f>
        <v/>
      </c>
      <c r="CM35" s="5">
        <f>IFERROR(ROUND(CB35/CE35,2),0)</f>
        <v/>
      </c>
      <c r="CN35" s="2" t="inlineStr">
        <is>
          <t>2023-10-11</t>
        </is>
      </c>
      <c r="CO35" s="5">
        <f>ROUND(8.120000000000001,2)</f>
        <v/>
      </c>
      <c r="CP35" s="3">
        <f>ROUND(2321.0,2)</f>
        <v/>
      </c>
      <c r="CQ35" s="3">
        <f>ROUND(29.0,2)</f>
        <v/>
      </c>
      <c r="CR35" s="3">
        <f>ROUND(71.0,2)</f>
        <v/>
      </c>
      <c r="CS35" s="3">
        <f>ROUND(53.0,2)</f>
        <v/>
      </c>
      <c r="CT35" s="3">
        <f>ROUND(23.0,2)</f>
        <v/>
      </c>
      <c r="CU35" s="3">
        <f>ROUND(18.0,2)</f>
        <v/>
      </c>
      <c r="CV35" s="3">
        <f>ROUND(14.0,2)</f>
        <v/>
      </c>
      <c r="CW35" s="4">
        <f>IFERROR((CQ35/CP35),0)</f>
        <v/>
      </c>
      <c r="CX35" s="4">
        <f>IFERROR(((0+CO11+CO12+CO13+CO14+CO15+CO16+CO17+CO19+CO20+CO21+CO22+CO23+CO24+CO25+CO27+CO28+CO29+CO30+CO31+CO32+CO33+CO35)/T2),0)</f>
        <v/>
      </c>
      <c r="CY35" s="5">
        <f>IFERROR(ROUND(CO35/CQ35,2),0)</f>
        <v/>
      </c>
      <c r="CZ35" s="5">
        <f>IFERROR(ROUND(CO35/CR35,2),0)</f>
        <v/>
      </c>
      <c r="DA35" s="2" t="inlineStr">
        <is>
          <t>2023-10-11</t>
        </is>
      </c>
      <c r="DB35" s="5">
        <f>ROUND(4.200000000000001,2)</f>
        <v/>
      </c>
      <c r="DC35" s="3">
        <f>ROUND(975.0,2)</f>
        <v/>
      </c>
      <c r="DD35" s="3">
        <f>ROUND(15.0,2)</f>
        <v/>
      </c>
      <c r="DE35" s="3">
        <f>ROUND(25.0,2)</f>
        <v/>
      </c>
      <c r="DF35" s="3">
        <f>ROUND(18.0,2)</f>
        <v/>
      </c>
      <c r="DG35" s="3">
        <f>ROUND(10.0,2)</f>
        <v/>
      </c>
      <c r="DH35" s="3">
        <f>ROUND(7.0,2)</f>
        <v/>
      </c>
      <c r="DI35" s="3">
        <f>ROUND(5.0,2)</f>
        <v/>
      </c>
      <c r="DJ35" s="4">
        <f>IFERROR((DD35/DC35),0)</f>
        <v/>
      </c>
      <c r="DK35" s="4">
        <f>IFERROR(((0+DB11+DB12+DB13+DB14+DB15+DB16+DB17+DB19+DB20+DB21+DB22+DB23+DB24+DB25+DB27+DB28+DB29+DB30+DB31+DB32+DB33+DB35)/T2),0)</f>
        <v/>
      </c>
      <c r="DL35" s="5">
        <f>IFERROR(ROUND(DB35/DD35,2),0)</f>
        <v/>
      </c>
      <c r="DM35" s="5">
        <f>IFERROR(ROUND(DB35/DE35,2),0)</f>
        <v/>
      </c>
      <c r="DN35" s="2" t="inlineStr">
        <is>
          <t>2023-10-11</t>
        </is>
      </c>
      <c r="DO35" s="5">
        <f>ROUND(7.000000000000002,2)</f>
        <v/>
      </c>
      <c r="DP35" s="3">
        <f>ROUND(2148.0,2)</f>
        <v/>
      </c>
      <c r="DQ35" s="3">
        <f>ROUND(25.0,2)</f>
        <v/>
      </c>
      <c r="DR35" s="3">
        <f>ROUND(67.0,2)</f>
        <v/>
      </c>
      <c r="DS35" s="3">
        <f>ROUND(48.0,2)</f>
        <v/>
      </c>
      <c r="DT35" s="3">
        <f>ROUND(22.0,2)</f>
        <v/>
      </c>
      <c r="DU35" s="3">
        <f>ROUND(14.0,2)</f>
        <v/>
      </c>
      <c r="DV35" s="3">
        <f>ROUND(12.0,2)</f>
        <v/>
      </c>
      <c r="DW35" s="4">
        <f>IFERROR((DQ35/DP35),0)</f>
        <v/>
      </c>
      <c r="DX35" s="4">
        <f>IFERROR(((0+DO11+DO12+DO13+DO14+DO15+DO16+DO17+DO19+DO20+DO21+DO22+DO23+DO24+DO25+DO27+DO28+DO29+DO30+DO31+DO32+DO33+DO35)/T2),0)</f>
        <v/>
      </c>
      <c r="DY35" s="5">
        <f>IFERROR(ROUND(DO35/DQ35,2),0)</f>
        <v/>
      </c>
      <c r="DZ35" s="5">
        <f>IFERROR(ROUND(DO35/DR35,2),0)</f>
        <v/>
      </c>
      <c r="EA35" s="2" t="inlineStr">
        <is>
          <t>2023-10-11</t>
        </is>
      </c>
      <c r="EB35" s="5">
        <f>ROUND(14.840000000000002,2)</f>
        <v/>
      </c>
      <c r="EC35" s="3">
        <f>ROUND(2765.0,2)</f>
        <v/>
      </c>
      <c r="ED35" s="3">
        <f>ROUND(53.0,2)</f>
        <v/>
      </c>
      <c r="EE35" s="3">
        <f>ROUND(84.0,2)</f>
        <v/>
      </c>
      <c r="EF35" s="3">
        <f>ROUND(56.0,2)</f>
        <v/>
      </c>
      <c r="EG35" s="3">
        <f>ROUND(28.0,2)</f>
        <v/>
      </c>
      <c r="EH35" s="3">
        <f>ROUND(19.0,2)</f>
        <v/>
      </c>
      <c r="EI35" s="3">
        <f>ROUND(15.0,2)</f>
        <v/>
      </c>
      <c r="EJ35" s="4">
        <f>IFERROR((ED35/EC35),0)</f>
        <v/>
      </c>
      <c r="EK35" s="4">
        <f>IFERROR(((0+EB11+EB12+EB13+EB14+EB15+EB16+EB17+EB19+EB20+EB21+EB22+EB23+EB24+EB25+EB27+EB28+EB29+EB30+EB31+EB32+EB33+EB35)/T2),0)</f>
        <v/>
      </c>
      <c r="EL35" s="5">
        <f>IFERROR(ROUND(EB35/ED35,2),0)</f>
        <v/>
      </c>
      <c r="EM35" s="5">
        <f>IFERROR(ROUND(EB35/EE35,2),0)</f>
        <v/>
      </c>
      <c r="EN35" s="2" t="inlineStr">
        <is>
          <t>2023-10-11</t>
        </is>
      </c>
      <c r="EO35" s="5">
        <f>ROUND(26.880000000000003,2)</f>
        <v/>
      </c>
      <c r="EP35" s="3">
        <f>ROUND(2043.0,2)</f>
        <v/>
      </c>
      <c r="EQ35" s="3">
        <f>ROUND(96.0,2)</f>
        <v/>
      </c>
      <c r="ER35" s="3">
        <f>ROUND(203.0,2)</f>
        <v/>
      </c>
      <c r="ES35" s="3">
        <f>ROUND(142.0,2)</f>
        <v/>
      </c>
      <c r="ET35" s="3">
        <f>ROUND(47.0,2)</f>
        <v/>
      </c>
      <c r="EU35" s="3">
        <f>ROUND(32.0,2)</f>
        <v/>
      </c>
      <c r="EV35" s="3">
        <f>ROUND(23.0,2)</f>
        <v/>
      </c>
      <c r="EW35" s="4">
        <f>IFERROR((EQ35/EP35),0)</f>
        <v/>
      </c>
      <c r="EX35" s="4">
        <f>IFERROR(((0+EO11+EO12+EO13+EO14+EO15+EO16+EO17+EO19+EO20+EO21+EO22+EO23+EO24+EO25+EO27+EO28+EO29+EO30+EO31+EO32+EO33+EO35)/T2),0)</f>
        <v/>
      </c>
      <c r="EY35" s="5">
        <f>IFERROR(ROUND(EO35/EQ35,2),0)</f>
        <v/>
      </c>
      <c r="EZ35" s="5">
        <f>IFERROR(ROUND(EO35/ER35,2),0)</f>
        <v/>
      </c>
      <c r="FA35" s="2" t="inlineStr">
        <is>
          <t>2023-10-11</t>
        </is>
      </c>
      <c r="FB35" s="5">
        <f>ROUND(2.24,2)</f>
        <v/>
      </c>
      <c r="FC35" s="3">
        <f>ROUND(278.0,2)</f>
        <v/>
      </c>
      <c r="FD35" s="3">
        <f>ROUND(8.0,2)</f>
        <v/>
      </c>
      <c r="FE35" s="3">
        <f>ROUND(40.0,2)</f>
        <v/>
      </c>
      <c r="FF35" s="3">
        <f>ROUND(36.0,2)</f>
        <v/>
      </c>
      <c r="FG35" s="3">
        <f>ROUND(14.0,2)</f>
        <v/>
      </c>
      <c r="FH35" s="3">
        <f>ROUND(10.0,2)</f>
        <v/>
      </c>
      <c r="FI35" s="3">
        <f>ROUND(7.0,2)</f>
        <v/>
      </c>
      <c r="FJ35" s="4">
        <f>IFERROR((FD35/FC35),0)</f>
        <v/>
      </c>
      <c r="FK35" s="4">
        <f>IFERROR(((0+FB11+FB12+FB13+FB14+FB15+FB16+FB17+FB19+FB20+FB21+FB22+FB23+FB24+FB25+FB27+FB28+FB29+FB30+FB31+FB32+FB33+FB35)/T2),0)</f>
        <v/>
      </c>
      <c r="FL35" s="5">
        <f>IFERROR(ROUND(FB35/FD35,2),0)</f>
        <v/>
      </c>
      <c r="FM35" s="5">
        <f>IFERROR(ROUND(FB35/FE35,2),0)</f>
        <v/>
      </c>
      <c r="FN35" s="2" t="inlineStr">
        <is>
          <t>2023-10-11</t>
        </is>
      </c>
      <c r="FO35" s="5">
        <f>ROUND(0.28,2)</f>
        <v/>
      </c>
      <c r="FP35" s="3">
        <f>ROUND(50.0,2)</f>
        <v/>
      </c>
      <c r="FQ35" s="3">
        <f>ROUND(1.0,2)</f>
        <v/>
      </c>
      <c r="FR35" s="3">
        <f>ROUND(4.0,2)</f>
        <v/>
      </c>
      <c r="FS35" s="3">
        <f>ROUND(3.0,2)</f>
        <v/>
      </c>
      <c r="FT35" s="3">
        <f>ROUND(1.0,2)</f>
        <v/>
      </c>
      <c r="FU35" s="3">
        <f>ROUND(1.0,2)</f>
        <v/>
      </c>
      <c r="FV35" s="3">
        <f>ROUND(1.0,2)</f>
        <v/>
      </c>
      <c r="FW35" s="4">
        <f>IFERROR((FQ35/FP35),0)</f>
        <v/>
      </c>
      <c r="FX35" s="4">
        <f>IFERROR(((0+FO11+FO12+FO13+FO14+FO15+FO16+FO17+FO19+FO20+FO21+FO22+FO23+FO24+FO25+FO27+FO28+FO29+FO30+FO31+FO32+FO33+FO35)/T2),0)</f>
        <v/>
      </c>
      <c r="FY35" s="5">
        <f>IFERROR(ROUND(FO35/FQ35,2),0)</f>
        <v/>
      </c>
      <c r="FZ35" s="5">
        <f>IFERROR(ROUND(FO35/FR35,2),0)</f>
        <v/>
      </c>
      <c r="GA35" s="2" t="inlineStr">
        <is>
          <t>2023-10-11</t>
        </is>
      </c>
      <c r="GB35" s="5">
        <f>ROUND(9.8,2)</f>
        <v/>
      </c>
      <c r="GC35" s="3">
        <f>ROUND(1133.0,2)</f>
        <v/>
      </c>
      <c r="GD35" s="3">
        <f>ROUND(35.0,2)</f>
        <v/>
      </c>
      <c r="GE35" s="3">
        <f>ROUND(136.0,2)</f>
        <v/>
      </c>
      <c r="GF35" s="3">
        <f>ROUND(120.0,2)</f>
        <v/>
      </c>
      <c r="GG35" s="3">
        <f>ROUND(47.0,2)</f>
        <v/>
      </c>
      <c r="GH35" s="3">
        <f>ROUND(27.0,2)</f>
        <v/>
      </c>
      <c r="GI35" s="3">
        <f>ROUND(17.0,2)</f>
        <v/>
      </c>
      <c r="GJ35" s="4">
        <f>IFERROR((GD35/GC35),0)</f>
        <v/>
      </c>
      <c r="GK35" s="4">
        <f>IFERROR(((0+GB11+GB12+GB13+GB14+GB15+GB16+GB17+GB19+GB20+GB21+GB22+GB23+GB24+GB25+GB27+GB28+GB29+GB30+GB31+GB32+GB33+GB35)/T2),0)</f>
        <v/>
      </c>
      <c r="GL35" s="5">
        <f>IFERROR(ROUND(GB35/GD35,2),0)</f>
        <v/>
      </c>
      <c r="GM35" s="5">
        <f>IFERROR(ROUND(GB35/GE35,2),0)</f>
        <v/>
      </c>
      <c r="GN35" s="2" t="inlineStr">
        <is>
          <t>2023-10-11</t>
        </is>
      </c>
      <c r="GO35" s="5">
        <f>ROUND(0.0,2)</f>
        <v/>
      </c>
      <c r="GP35" s="3">
        <f>ROUND(43.0,2)</f>
        <v/>
      </c>
      <c r="GQ35" s="3">
        <f>ROUND(0.0,2)</f>
        <v/>
      </c>
      <c r="GR35" s="3">
        <f>ROUND(5.0,2)</f>
        <v/>
      </c>
      <c r="GS35" s="3">
        <f>ROUND(4.0,2)</f>
        <v/>
      </c>
      <c r="GT35" s="3">
        <f>ROUND(3.0,2)</f>
        <v/>
      </c>
      <c r="GU35" s="3">
        <f>ROUND(2.0,2)</f>
        <v/>
      </c>
      <c r="GV35" s="3">
        <f>ROUND(2.0,2)</f>
        <v/>
      </c>
      <c r="GW35" s="4">
        <f>IFERROR((GQ35/GP35),0)</f>
        <v/>
      </c>
      <c r="GX35" s="4">
        <f>IFERROR(((0+GO11+GO12+GO13+GO14+GO15+GO16+GO17+GO19+GO20+GO21+GO22+GO23+GO24+GO25+GO27+GO28+GO29+GO30+GO31+GO32+GO33+GO35)/T2),0)</f>
        <v/>
      </c>
      <c r="GY35" s="5">
        <f>IFERROR(ROUND(GO35/GQ35,2),0)</f>
        <v/>
      </c>
      <c r="GZ35" s="5">
        <f>IFERROR(ROUND(GO35/GR35,2),0)</f>
        <v/>
      </c>
      <c r="HA35" s="2" t="inlineStr">
        <is>
          <t>2023-10-11</t>
        </is>
      </c>
      <c r="HB35" s="5">
        <f>ROUND(1.9600000000000002,2)</f>
        <v/>
      </c>
      <c r="HC35" s="3">
        <f>ROUND(287.0,2)</f>
        <v/>
      </c>
      <c r="HD35" s="3">
        <f>ROUND(7.0,2)</f>
        <v/>
      </c>
      <c r="HE35" s="3">
        <f>ROUND(11.0,2)</f>
        <v/>
      </c>
      <c r="HF35" s="3">
        <f>ROUND(6.0,2)</f>
        <v/>
      </c>
      <c r="HG35" s="3">
        <f>ROUND(4.0,2)</f>
        <v/>
      </c>
      <c r="HH35" s="3">
        <f>ROUND(3.0,2)</f>
        <v/>
      </c>
      <c r="HI35" s="3">
        <f>ROUND(2.0,2)</f>
        <v/>
      </c>
      <c r="HJ35" s="4">
        <f>IFERROR((HD35/HC35),0)</f>
        <v/>
      </c>
      <c r="HK35" s="4">
        <f>IFERROR(((0+HB11+HB12+HB13+HB14+HB15+HB16+HB17+HB19+HB20+HB21+HB22+HB23+HB24+HB25+HB27+HB28+HB29+HB30+HB31+HB32+HB33+HB35)/T2),0)</f>
        <v/>
      </c>
      <c r="HL35" s="5">
        <f>IFERROR(ROUND(HB35/HD35,2),0)</f>
        <v/>
      </c>
      <c r="HM35" s="5">
        <f>IFERROR(ROUND(HB35/HE35,2),0)</f>
        <v/>
      </c>
      <c r="HN35" s="2" t="inlineStr">
        <is>
          <t>2023-10-11</t>
        </is>
      </c>
      <c r="HO35" s="5">
        <f>ROUND(0.28,2)</f>
        <v/>
      </c>
      <c r="HP35" s="3">
        <f>ROUND(62.0,2)</f>
        <v/>
      </c>
      <c r="HQ35" s="3">
        <f>ROUND(1.0,2)</f>
        <v/>
      </c>
      <c r="HR35" s="3">
        <f>ROUND(8.0,2)</f>
        <v/>
      </c>
      <c r="HS35" s="3">
        <f>ROUND(6.0,2)</f>
        <v/>
      </c>
      <c r="HT35" s="3">
        <f>ROUND(4.0,2)</f>
        <v/>
      </c>
      <c r="HU35" s="3">
        <f>ROUND(3.0,2)</f>
        <v/>
      </c>
      <c r="HV35" s="3">
        <f>ROUND(2.0,2)</f>
        <v/>
      </c>
      <c r="HW35" s="4">
        <f>IFERROR((HQ35/HP35),0)</f>
        <v/>
      </c>
      <c r="HX35" s="4">
        <f>IFERROR(((0+HO11+HO12+HO13+HO14+HO15+HO16+HO17+HO19+HO20+HO21+HO22+HO23+HO24+HO25+HO27+HO28+HO29+HO30+HO31+HO32+HO33+HO35)/T2),0)</f>
        <v/>
      </c>
      <c r="HY35" s="5">
        <f>IFERROR(ROUND(HO35/HQ35,2),0)</f>
        <v/>
      </c>
      <c r="HZ35" s="5">
        <f>IFERROR(ROUND(HO35/HR35,2),0)</f>
        <v/>
      </c>
      <c r="IA35" s="2" t="inlineStr">
        <is>
          <t>2023-10-11</t>
        </is>
      </c>
      <c r="IB35" s="5">
        <f>ROUND(0.56,2)</f>
        <v/>
      </c>
      <c r="IC35" s="3">
        <f>ROUND(160.0,2)</f>
        <v/>
      </c>
      <c r="ID35" s="3">
        <f>ROUND(2.0,2)</f>
        <v/>
      </c>
      <c r="IE35" s="3">
        <f>ROUND(13.0,2)</f>
        <v/>
      </c>
      <c r="IF35" s="3">
        <f>ROUND(10.0,2)</f>
        <v/>
      </c>
      <c r="IG35" s="3">
        <f>ROUND(4.0,2)</f>
        <v/>
      </c>
      <c r="IH35" s="3">
        <f>ROUND(3.0,2)</f>
        <v/>
      </c>
      <c r="II35" s="3">
        <f>ROUND(3.0,2)</f>
        <v/>
      </c>
      <c r="IJ35" s="4">
        <f>IFERROR((ID35/IC35),0)</f>
        <v/>
      </c>
      <c r="IK35" s="4">
        <f>IFERROR(((0+IB11+IB12+IB13+IB14+IB15+IB16+IB17+IB19+IB20+IB21+IB22+IB23+IB24+IB25+IB27+IB28+IB29+IB30+IB31+IB32+IB33+IB35)/T2),0)</f>
        <v/>
      </c>
      <c r="IL35" s="5">
        <f>IFERROR(ROUND(IB35/ID35,2),0)</f>
        <v/>
      </c>
      <c r="IM35" s="5">
        <f>IFERROR(ROUND(IB35/IE35,2),0)</f>
        <v/>
      </c>
      <c r="IN35" s="2" t="inlineStr">
        <is>
          <t>2023-10-11</t>
        </is>
      </c>
      <c r="IO35" s="5">
        <f>ROUND(0.8400000000000001,2)</f>
        <v/>
      </c>
      <c r="IP35" s="3">
        <f>ROUND(84.0,2)</f>
        <v/>
      </c>
      <c r="IQ35" s="3">
        <f>ROUND(3.0,2)</f>
        <v/>
      </c>
      <c r="IR35" s="3">
        <f>ROUND(11.0,2)</f>
        <v/>
      </c>
      <c r="IS35" s="3">
        <f>ROUND(9.0,2)</f>
        <v/>
      </c>
      <c r="IT35" s="3">
        <f>ROUND(6.0,2)</f>
        <v/>
      </c>
      <c r="IU35" s="3">
        <f>ROUND(5.0,2)</f>
        <v/>
      </c>
      <c r="IV35" s="3">
        <f>ROUND(5.0,2)</f>
        <v/>
      </c>
      <c r="IW35" s="4">
        <f>IFERROR((IQ35/IP35),0)</f>
        <v/>
      </c>
      <c r="IX35" s="4">
        <f>IFERROR(((0+IO11+IO12+IO13+IO14+IO15+IO16+IO17+IO19+IO20+IO21+IO22+IO23+IO24+IO25+IO27+IO28+IO29+IO30+IO31+IO32+IO33+IO35)/T2),0)</f>
        <v/>
      </c>
      <c r="IY35" s="5">
        <f>IFERROR(ROUND(IO35/IQ35,2),0)</f>
        <v/>
      </c>
      <c r="IZ35" s="5">
        <f>IFERROR(ROUND(IO35/IR35,2),0)</f>
        <v/>
      </c>
      <c r="JA35" s="2" t="inlineStr">
        <is>
          <t>2023-10-11</t>
        </is>
      </c>
      <c r="JB35" s="5">
        <f>ROUND(0.0,2)</f>
        <v/>
      </c>
      <c r="JC35" s="3">
        <f>ROUND(40.0,2)</f>
        <v/>
      </c>
      <c r="JD35" s="3">
        <f>ROUND(0.0,2)</f>
        <v/>
      </c>
      <c r="JE35" s="3">
        <f>ROUND(4.0,2)</f>
        <v/>
      </c>
      <c r="JF35" s="3">
        <f>ROUND(3.0,2)</f>
        <v/>
      </c>
      <c r="JG35" s="3">
        <f>ROUND(1.0,2)</f>
        <v/>
      </c>
      <c r="JH35" s="3">
        <f>ROUND(1.0,2)</f>
        <v/>
      </c>
      <c r="JI35" s="3">
        <f>ROUND(1.0,2)</f>
        <v/>
      </c>
      <c r="JJ35" s="4">
        <f>IFERROR((JD35/JC35),0)</f>
        <v/>
      </c>
      <c r="JK35" s="4">
        <f>IFERROR(((0+JB11+JB12+JB13+JB14+JB15+JB16+JB17+JB19+JB20+JB21+JB22+JB23+JB24+JB25+JB27+JB28+JB29+JB30+JB31+JB32+JB33+JB35)/T2),0)</f>
        <v/>
      </c>
      <c r="JL35" s="5">
        <f>IFERROR(ROUND(JB35/JD35,2),0)</f>
        <v/>
      </c>
      <c r="JM35" s="5">
        <f>IFERROR(ROUND(JB35/JE35,2),0)</f>
        <v/>
      </c>
    </row>
    <row r="36">
      <c r="A36" s="2" t="inlineStr">
        <is>
          <t>2023-10-12</t>
        </is>
      </c>
      <c r="B36" s="5">
        <f>ROUND(113.81,2)</f>
        <v/>
      </c>
      <c r="C36" s="3">
        <f>ROUND(21896.0,2)</f>
        <v/>
      </c>
      <c r="D36" s="3">
        <f>ROUND(599.0,2)</f>
        <v/>
      </c>
      <c r="E36" s="3">
        <f>ROUND(2102.0,2)</f>
        <v/>
      </c>
      <c r="F36" s="3">
        <f>ROUND(1739.0,2)</f>
        <v/>
      </c>
      <c r="G36" s="3">
        <f>ROUND(747.0,2)</f>
        <v/>
      </c>
      <c r="H36" s="3">
        <f>ROUND(514.0,2)</f>
        <v/>
      </c>
      <c r="I36" s="3">
        <f>ROUND(356.0,2)</f>
        <v/>
      </c>
      <c r="J36" s="4">
        <f>IFERROR((D36/C36),0)</f>
        <v/>
      </c>
      <c r="K36" s="4">
        <f>IFERROR(((0+B11+B12+B13+B14+B15+B16+B17+B19+B20+B21+B22+B23+B24+B25+B27+B28+B29+B30+B31+B32+B33+B35+B36)/T2),0)</f>
        <v/>
      </c>
      <c r="L36" s="5">
        <f>IFERROR(ROUND(B36/D36,2),0)</f>
        <v/>
      </c>
      <c r="M36" s="5">
        <f>IFERROR(ROUND(B36/E36,2),0)</f>
        <v/>
      </c>
      <c r="N36" s="2" t="inlineStr">
        <is>
          <t>2023-10-12</t>
        </is>
      </c>
      <c r="O36" s="5">
        <f>ROUND(8.36,2)</f>
        <v/>
      </c>
      <c r="P36" s="3">
        <f>ROUND(1817.0,2)</f>
        <v/>
      </c>
      <c r="Q36" s="3">
        <f>ROUND(44.0,2)</f>
        <v/>
      </c>
      <c r="R36" s="3">
        <f>ROUND(159.0,2)</f>
        <v/>
      </c>
      <c r="S36" s="3">
        <f>ROUND(125.0,2)</f>
        <v/>
      </c>
      <c r="T36" s="3">
        <f>ROUND(47.0,2)</f>
        <v/>
      </c>
      <c r="U36" s="3">
        <f>ROUND(33.0,2)</f>
        <v/>
      </c>
      <c r="V36" s="3">
        <f>ROUND(23.0,2)</f>
        <v/>
      </c>
      <c r="W36" s="4">
        <f>IFERROR((Q36/P36),0)</f>
        <v/>
      </c>
      <c r="X36" s="4">
        <f>IFERROR(((0+O11+O12+O13+O14+O15+O16+O17+O19+O20+O21+O22+O23+O24+O25+O27+O28+O29+O30+O31+O32+O33+O35+O36)/T2),0)</f>
        <v/>
      </c>
      <c r="Y36" s="5">
        <f>IFERROR(ROUND(O36/Q36,2),0)</f>
        <v/>
      </c>
      <c r="Z36" s="5">
        <f>IFERROR(ROUND(O36/R36,2),0)</f>
        <v/>
      </c>
      <c r="AA36" s="2" t="inlineStr">
        <is>
          <t>2023-10-12</t>
        </is>
      </c>
      <c r="AB36" s="5">
        <f>ROUND(4.180000000000001,2)</f>
        <v/>
      </c>
      <c r="AC36" s="3">
        <f>ROUND(1082.0,2)</f>
        <v/>
      </c>
      <c r="AD36" s="3">
        <f>ROUND(22.0,2)</f>
        <v/>
      </c>
      <c r="AE36" s="3">
        <f>ROUND(42.0,2)</f>
        <v/>
      </c>
      <c r="AF36" s="3">
        <f>ROUND(25.0,2)</f>
        <v/>
      </c>
      <c r="AG36" s="3">
        <f>ROUND(12.0,2)</f>
        <v/>
      </c>
      <c r="AH36" s="3">
        <f>ROUND(9.0,2)</f>
        <v/>
      </c>
      <c r="AI36" s="3">
        <f>ROUND(8.0,2)</f>
        <v/>
      </c>
      <c r="AJ36" s="4">
        <f>IFERROR((AD36/AC36),0)</f>
        <v/>
      </c>
      <c r="AK36" s="4">
        <f>IFERROR(((0+AB11+AB12+AB13+AB14+AB15+AB16+AB17+AB19+AB20+AB21+AB22+AB23+AB24+AB25+AB27+AB28+AB29+AB30+AB31+AB32+AB33+AB35+AB36)/T2),0)</f>
        <v/>
      </c>
      <c r="AL36" s="5">
        <f>IFERROR(ROUND(AB36/AD36,2),0)</f>
        <v/>
      </c>
      <c r="AM36" s="5">
        <f>IFERROR(ROUND(AB36/AE36,2),0)</f>
        <v/>
      </c>
      <c r="AN36" s="2" t="inlineStr">
        <is>
          <t>2023-10-12</t>
        </is>
      </c>
      <c r="AO36" s="5">
        <f>ROUND(2.09,2)</f>
        <v/>
      </c>
      <c r="AP36" s="3">
        <f>ROUND(508.0,2)</f>
        <v/>
      </c>
      <c r="AQ36" s="3">
        <f>ROUND(11.0,2)</f>
        <v/>
      </c>
      <c r="AR36" s="3">
        <f>ROUND(53.0,2)</f>
        <v/>
      </c>
      <c r="AS36" s="3">
        <f>ROUND(41.0,2)</f>
        <v/>
      </c>
      <c r="AT36" s="3">
        <f>ROUND(24.0,2)</f>
        <v/>
      </c>
      <c r="AU36" s="3">
        <f>ROUND(16.0,2)</f>
        <v/>
      </c>
      <c r="AV36" s="3">
        <f>ROUND(12.0,2)</f>
        <v/>
      </c>
      <c r="AW36" s="4">
        <f>IFERROR((AQ36/AP36),0)</f>
        <v/>
      </c>
      <c r="AX36" s="4">
        <f>IFERROR(((0+AO11+AO12+AO13+AO14+AO15+AO16+AO17+AO19+AO20+AO21+AO22+AO23+AO24+AO25+AO27+AO28+AO29+AO30+AO31+AO32+AO33+AO35+AO36)/T2),0)</f>
        <v/>
      </c>
      <c r="AY36" s="5">
        <f>IFERROR(ROUND(AO36/AQ36,2),0)</f>
        <v/>
      </c>
      <c r="AZ36" s="5">
        <f>IFERROR(ROUND(AO36/AR36,2),0)</f>
        <v/>
      </c>
      <c r="BA36" s="2" t="inlineStr">
        <is>
          <t>2023-10-12</t>
        </is>
      </c>
      <c r="BB36" s="5">
        <f>ROUND(5.7,2)</f>
        <v/>
      </c>
      <c r="BC36" s="3">
        <f>ROUND(1233.0,2)</f>
        <v/>
      </c>
      <c r="BD36" s="3">
        <f>ROUND(30.0,2)</f>
        <v/>
      </c>
      <c r="BE36" s="3">
        <f>ROUND(63.0,2)</f>
        <v/>
      </c>
      <c r="BF36" s="3">
        <f>ROUND(49.0,2)</f>
        <v/>
      </c>
      <c r="BG36" s="3">
        <f>ROUND(27.0,2)</f>
        <v/>
      </c>
      <c r="BH36" s="3">
        <f>ROUND(21.0,2)</f>
        <v/>
      </c>
      <c r="BI36" s="3">
        <f>ROUND(16.0,2)</f>
        <v/>
      </c>
      <c r="BJ36" s="4">
        <f>IFERROR((BD36/BC36),0)</f>
        <v/>
      </c>
      <c r="BK36" s="4">
        <f>IFERROR(((0+BB11+BB12+BB13+BB14+BB15+BB16+BB17+BB19+BB20+BB21+BB22+BB23+BB24+BB25+BB27+BB28+BB29+BB30+BB31+BB32+BB33+BB35+BB36)/T2),0)</f>
        <v/>
      </c>
      <c r="BL36" s="5">
        <f>IFERROR(ROUND(BB36/BD36,2),0)</f>
        <v/>
      </c>
      <c r="BM36" s="5">
        <f>IFERROR(ROUND(BB36/BE36,2),0)</f>
        <v/>
      </c>
      <c r="BN36" s="2" t="inlineStr">
        <is>
          <t>2023-10-12</t>
        </is>
      </c>
      <c r="BO36" s="5">
        <f>ROUND(35.53,2)</f>
        <v/>
      </c>
      <c r="BP36" s="3">
        <f>ROUND(5540.0,2)</f>
        <v/>
      </c>
      <c r="BQ36" s="3">
        <f>ROUND(187.0,2)</f>
        <v/>
      </c>
      <c r="BR36" s="3">
        <f>ROUND(634.0,2)</f>
        <v/>
      </c>
      <c r="BS36" s="3">
        <f>ROUND(513.0,2)</f>
        <v/>
      </c>
      <c r="BT36" s="3">
        <f>ROUND(196.0,2)</f>
        <v/>
      </c>
      <c r="BU36" s="3">
        <f>ROUND(147.0,2)</f>
        <v/>
      </c>
      <c r="BV36" s="3">
        <f>ROUND(103.0,2)</f>
        <v/>
      </c>
      <c r="BW36" s="4">
        <f>IFERROR((BQ36/BP36),0)</f>
        <v/>
      </c>
      <c r="BX36" s="4">
        <f>IFERROR(((0+BO11+BO12+BO13+BO14+BO15+BO16+BO17+BO19+BO20+BO21+BO22+BO23+BO24+BO25+BO27+BO28+BO29+BO30+BO31+BO32+BO33+BO35+BO36)/T2),0)</f>
        <v/>
      </c>
      <c r="BY36" s="5">
        <f>IFERROR(ROUND(BO36/BQ36,2),0)</f>
        <v/>
      </c>
      <c r="BZ36" s="5">
        <f>IFERROR(ROUND(BO36/BR36,2),0)</f>
        <v/>
      </c>
      <c r="CA36" s="2" t="inlineStr">
        <is>
          <t>2023-10-12</t>
        </is>
      </c>
      <c r="CB36" s="5">
        <f>ROUND(13.870000000000001,2)</f>
        <v/>
      </c>
      <c r="CC36" s="3">
        <f>ROUND(2941.0,2)</f>
        <v/>
      </c>
      <c r="CD36" s="3">
        <f>ROUND(73.0,2)</f>
        <v/>
      </c>
      <c r="CE36" s="3">
        <f>ROUND(295.0,2)</f>
        <v/>
      </c>
      <c r="CF36" s="3">
        <f>ROUND(259.0,2)</f>
        <v/>
      </c>
      <c r="CG36" s="3">
        <f>ROUND(96.0,2)</f>
        <v/>
      </c>
      <c r="CH36" s="3">
        <f>ROUND(58.0,2)</f>
        <v/>
      </c>
      <c r="CI36" s="3">
        <f>ROUND(36.0,2)</f>
        <v/>
      </c>
      <c r="CJ36" s="4">
        <f>IFERROR((CD36/CC36),0)</f>
        <v/>
      </c>
      <c r="CK36" s="4">
        <f>IFERROR(((0+CB11+CB12+CB13+CB14+CB15+CB16+CB17+CB19+CB20+CB21+CB22+CB23+CB24+CB25+CB27+CB28+CB29+CB30+CB31+CB32+CB33+CB35+CB36)/T2),0)</f>
        <v/>
      </c>
      <c r="CL36" s="5">
        <f>IFERROR(ROUND(CB36/CD36,2),0)</f>
        <v/>
      </c>
      <c r="CM36" s="5">
        <f>IFERROR(ROUND(CB36/CE36,2),0)</f>
        <v/>
      </c>
      <c r="CN36" s="2" t="inlineStr">
        <is>
          <t>2023-10-12</t>
        </is>
      </c>
      <c r="CO36" s="5">
        <f>ROUND(8.74,2)</f>
        <v/>
      </c>
      <c r="CP36" s="3">
        <f>ROUND(1836.0,2)</f>
        <v/>
      </c>
      <c r="CQ36" s="3">
        <f>ROUND(46.0,2)</f>
        <v/>
      </c>
      <c r="CR36" s="3">
        <f>ROUND(150.0,2)</f>
        <v/>
      </c>
      <c r="CS36" s="3">
        <f>ROUND(133.0,2)</f>
        <v/>
      </c>
      <c r="CT36" s="3">
        <f>ROUND(65.0,2)</f>
        <v/>
      </c>
      <c r="CU36" s="3">
        <f>ROUND(46.0,2)</f>
        <v/>
      </c>
      <c r="CV36" s="3">
        <f>ROUND(28.0,2)</f>
        <v/>
      </c>
      <c r="CW36" s="4">
        <f>IFERROR((CQ36/CP36),0)</f>
        <v/>
      </c>
      <c r="CX36" s="4">
        <f>IFERROR(((0+CO11+CO12+CO13+CO14+CO15+CO16+CO17+CO19+CO20+CO21+CO22+CO23+CO24+CO25+CO27+CO28+CO29+CO30+CO31+CO32+CO33+CO35+CO36)/T2),0)</f>
        <v/>
      </c>
      <c r="CY36" s="5">
        <f>IFERROR(ROUND(CO36/CQ36,2),0)</f>
        <v/>
      </c>
      <c r="CZ36" s="5">
        <f>IFERROR(ROUND(CO36/CR36,2),0)</f>
        <v/>
      </c>
      <c r="DA36" s="2" t="inlineStr">
        <is>
          <t>2023-10-12</t>
        </is>
      </c>
      <c r="DB36" s="5">
        <f>ROUND(2.85,2)</f>
        <v/>
      </c>
      <c r="DC36" s="3">
        <f>ROUND(916.0,2)</f>
        <v/>
      </c>
      <c r="DD36" s="3">
        <f>ROUND(15.0,2)</f>
        <v/>
      </c>
      <c r="DE36" s="3">
        <f>ROUND(73.0,2)</f>
        <v/>
      </c>
      <c r="DF36" s="3">
        <f>ROUND(61.0,2)</f>
        <v/>
      </c>
      <c r="DG36" s="3">
        <f>ROUND(29.0,2)</f>
        <v/>
      </c>
      <c r="DH36" s="3">
        <f>ROUND(17.0,2)</f>
        <v/>
      </c>
      <c r="DI36" s="3">
        <f>ROUND(11.0,2)</f>
        <v/>
      </c>
      <c r="DJ36" s="4">
        <f>IFERROR((DD36/DC36),0)</f>
        <v/>
      </c>
      <c r="DK36" s="4">
        <f>IFERROR(((0+DB11+DB12+DB13+DB14+DB15+DB16+DB17+DB19+DB20+DB21+DB22+DB23+DB24+DB25+DB27+DB28+DB29+DB30+DB31+DB32+DB33+DB35+DB36)/T2),0)</f>
        <v/>
      </c>
      <c r="DL36" s="5">
        <f>IFERROR(ROUND(DB36/DD36,2),0)</f>
        <v/>
      </c>
      <c r="DM36" s="5">
        <f>IFERROR(ROUND(DB36/DE36,2),0)</f>
        <v/>
      </c>
      <c r="DN36" s="2" t="inlineStr">
        <is>
          <t>2023-10-12</t>
        </is>
      </c>
      <c r="DO36" s="5">
        <f>ROUND(2.47,2)</f>
        <v/>
      </c>
      <c r="DP36" s="3">
        <f>ROUND(845.0,2)</f>
        <v/>
      </c>
      <c r="DQ36" s="3">
        <f>ROUND(13.0,2)</f>
        <v/>
      </c>
      <c r="DR36" s="3">
        <f>ROUND(68.0,2)</f>
        <v/>
      </c>
      <c r="DS36" s="3">
        <f>ROUND(51.0,2)</f>
        <v/>
      </c>
      <c r="DT36" s="3">
        <f>ROUND(24.0,2)</f>
        <v/>
      </c>
      <c r="DU36" s="3">
        <f>ROUND(15.0,2)</f>
        <v/>
      </c>
      <c r="DV36" s="3">
        <f>ROUND(12.0,2)</f>
        <v/>
      </c>
      <c r="DW36" s="4">
        <f>IFERROR((DQ36/DP36),0)</f>
        <v/>
      </c>
      <c r="DX36" s="4">
        <f>IFERROR(((0+DO11+DO12+DO13+DO14+DO15+DO16+DO17+DO19+DO20+DO21+DO22+DO23+DO24+DO25+DO27+DO28+DO29+DO30+DO31+DO32+DO33+DO35+DO36)/T2),0)</f>
        <v/>
      </c>
      <c r="DY36" s="5">
        <f>IFERROR(ROUND(DO36/DQ36,2),0)</f>
        <v/>
      </c>
      <c r="DZ36" s="5">
        <f>IFERROR(ROUND(DO36/DR36,2),0)</f>
        <v/>
      </c>
      <c r="EA36" s="2" t="inlineStr">
        <is>
          <t>2023-10-12</t>
        </is>
      </c>
      <c r="EB36" s="5">
        <f>ROUND(4.75,2)</f>
        <v/>
      </c>
      <c r="EC36" s="3">
        <f>ROUND(1131.0,2)</f>
        <v/>
      </c>
      <c r="ED36" s="3">
        <f>ROUND(25.0,2)</f>
        <v/>
      </c>
      <c r="EE36" s="3">
        <f>ROUND(50.0,2)</f>
        <v/>
      </c>
      <c r="EF36" s="3">
        <f>ROUND(31.0,2)</f>
        <v/>
      </c>
      <c r="EG36" s="3">
        <f>ROUND(17.0,2)</f>
        <v/>
      </c>
      <c r="EH36" s="3">
        <f>ROUND(12.0,2)</f>
        <v/>
      </c>
      <c r="EI36" s="3">
        <f>ROUND(8.0,2)</f>
        <v/>
      </c>
      <c r="EJ36" s="4">
        <f>IFERROR((ED36/EC36),0)</f>
        <v/>
      </c>
      <c r="EK36" s="4">
        <f>IFERROR(((0+EB11+EB12+EB13+EB14+EB15+EB16+EB17+EB19+EB20+EB21+EB22+EB23+EB24+EB25+EB27+EB28+EB29+EB30+EB31+EB32+EB33+EB35+EB36)/T2),0)</f>
        <v/>
      </c>
      <c r="EL36" s="5">
        <f>IFERROR(ROUND(EB36/ED36,2),0)</f>
        <v/>
      </c>
      <c r="EM36" s="5">
        <f>IFERROR(ROUND(EB36/EE36,2),0)</f>
        <v/>
      </c>
      <c r="EN36" s="2" t="inlineStr">
        <is>
          <t>2023-10-12</t>
        </is>
      </c>
      <c r="EO36" s="5">
        <f>ROUND(8.93,2)</f>
        <v/>
      </c>
      <c r="EP36" s="3">
        <f>ROUND(1141.0,2)</f>
        <v/>
      </c>
      <c r="EQ36" s="3">
        <f>ROUND(47.0,2)</f>
        <v/>
      </c>
      <c r="ER36" s="3">
        <f>ROUND(122.0,2)</f>
        <v/>
      </c>
      <c r="ES36" s="3">
        <f>ROUND(96.0,2)</f>
        <v/>
      </c>
      <c r="ET36" s="3">
        <f>ROUND(44.0,2)</f>
        <v/>
      </c>
      <c r="EU36" s="3">
        <f>ROUND(36.0,2)</f>
        <v/>
      </c>
      <c r="EV36" s="3">
        <f>ROUND(27.0,2)</f>
        <v/>
      </c>
      <c r="EW36" s="4">
        <f>IFERROR((EQ36/EP36),0)</f>
        <v/>
      </c>
      <c r="EX36" s="4">
        <f>IFERROR(((0+EO11+EO12+EO13+EO14+EO15+EO16+EO17+EO19+EO20+EO21+EO22+EO23+EO24+EO25+EO27+EO28+EO29+EO30+EO31+EO32+EO33+EO35+EO36)/T2),0)</f>
        <v/>
      </c>
      <c r="EY36" s="5">
        <f>IFERROR(ROUND(EO36/EQ36,2),0)</f>
        <v/>
      </c>
      <c r="EZ36" s="5">
        <f>IFERROR(ROUND(EO36/ER36,2),0)</f>
        <v/>
      </c>
      <c r="FA36" s="2" t="inlineStr">
        <is>
          <t>2023-10-12</t>
        </is>
      </c>
      <c r="FB36" s="5">
        <f>ROUND(1.9,2)</f>
        <v/>
      </c>
      <c r="FC36" s="3">
        <f>ROUND(276.0,2)</f>
        <v/>
      </c>
      <c r="FD36" s="3">
        <f>ROUND(10.0,2)</f>
        <v/>
      </c>
      <c r="FE36" s="3">
        <f>ROUND(41.0,2)</f>
        <v/>
      </c>
      <c r="FF36" s="3">
        <f>ROUND(37.0,2)</f>
        <v/>
      </c>
      <c r="FG36" s="3">
        <f>ROUND(20.0,2)</f>
        <v/>
      </c>
      <c r="FH36" s="3">
        <f>ROUND(14.0,2)</f>
        <v/>
      </c>
      <c r="FI36" s="3">
        <f>ROUND(8.0,2)</f>
        <v/>
      </c>
      <c r="FJ36" s="4">
        <f>IFERROR((FD36/FC36),0)</f>
        <v/>
      </c>
      <c r="FK36" s="4">
        <f>IFERROR(((0+FB11+FB12+FB13+FB14+FB15+FB16+FB17+FB19+FB20+FB21+FB22+FB23+FB24+FB25+FB27+FB28+FB29+FB30+FB31+FB32+FB33+FB35+FB36)/T2),0)</f>
        <v/>
      </c>
      <c r="FL36" s="5">
        <f>IFERROR(ROUND(FB36/FD36,2),0)</f>
        <v/>
      </c>
      <c r="FM36" s="5">
        <f>IFERROR(ROUND(FB36/FE36,2),0)</f>
        <v/>
      </c>
      <c r="FN36" s="2" t="inlineStr">
        <is>
          <t>2023-10-12</t>
        </is>
      </c>
      <c r="FO36" s="5">
        <f>ROUND(0.19,2)</f>
        <v/>
      </c>
      <c r="FP36" s="3">
        <f>ROUND(47.0,2)</f>
        <v/>
      </c>
      <c r="FQ36" s="3">
        <f>ROUND(1.0,2)</f>
        <v/>
      </c>
      <c r="FR36" s="3">
        <f>ROUND(2.0,2)</f>
        <v/>
      </c>
      <c r="FS36" s="3">
        <f>ROUND(2.0,2)</f>
        <v/>
      </c>
      <c r="FT36" s="3">
        <f>ROUND(0.0,2)</f>
        <v/>
      </c>
      <c r="FU36" s="3">
        <f>ROUND(0.0,2)</f>
        <v/>
      </c>
      <c r="FV36" s="3">
        <f>ROUND(0.0,2)</f>
        <v/>
      </c>
      <c r="FW36" s="4">
        <f>IFERROR((FQ36/FP36),0)</f>
        <v/>
      </c>
      <c r="FX36" s="4">
        <f>IFERROR(((0+FO11+FO12+FO13+FO14+FO15+FO16+FO17+FO19+FO20+FO21+FO22+FO23+FO24+FO25+FO27+FO28+FO29+FO30+FO31+FO32+FO33+FO35+FO36)/T2),0)</f>
        <v/>
      </c>
      <c r="FY36" s="5">
        <f>IFERROR(ROUND(FO36/FQ36,2),0)</f>
        <v/>
      </c>
      <c r="FZ36" s="5">
        <f>IFERROR(ROUND(FO36/FR36,2),0)</f>
        <v/>
      </c>
      <c r="GA36" s="2" t="inlineStr">
        <is>
          <t>2023-10-12</t>
        </is>
      </c>
      <c r="GB36" s="5">
        <f>ROUND(10.26,2)</f>
        <v/>
      </c>
      <c r="GC36" s="3">
        <f>ROUND(1892.0,2)</f>
        <v/>
      </c>
      <c r="GD36" s="3">
        <f>ROUND(54.0,2)</f>
        <v/>
      </c>
      <c r="GE36" s="3">
        <f>ROUND(302.0,2)</f>
        <v/>
      </c>
      <c r="GF36" s="3">
        <f>ROUND(278.0,2)</f>
        <v/>
      </c>
      <c r="GG36" s="3">
        <f>ROUND(121.0,2)</f>
        <v/>
      </c>
      <c r="GH36" s="3">
        <f>ROUND(70.0,2)</f>
        <v/>
      </c>
      <c r="GI36" s="3">
        <f>ROUND(47.0,2)</f>
        <v/>
      </c>
      <c r="GJ36" s="4">
        <f>IFERROR((GD36/GC36),0)</f>
        <v/>
      </c>
      <c r="GK36" s="4">
        <f>IFERROR(((0+GB11+GB12+GB13+GB14+GB15+GB16+GB17+GB19+GB20+GB21+GB22+GB23+GB24+GB25+GB27+GB28+GB29+GB30+GB31+GB32+GB33+GB35+GB36)/T2),0)</f>
        <v/>
      </c>
      <c r="GL36" s="5">
        <f>IFERROR(ROUND(GB36/GD36,2),0)</f>
        <v/>
      </c>
      <c r="GM36" s="5">
        <f>IFERROR(ROUND(GB36/GE36,2),0)</f>
        <v/>
      </c>
      <c r="GN36" s="2" t="inlineStr">
        <is>
          <t>2023-10-12</t>
        </is>
      </c>
      <c r="GO36" s="5">
        <f>ROUND(0.19,2)</f>
        <v/>
      </c>
      <c r="GP36" s="3">
        <f>ROUND(41.0,2)</f>
        <v/>
      </c>
      <c r="GQ36" s="3">
        <f>ROUND(1.0,2)</f>
        <v/>
      </c>
      <c r="GR36" s="3">
        <f>ROUND(3.0,2)</f>
        <v/>
      </c>
      <c r="GS36" s="3">
        <f>ROUND(3.0,2)</f>
        <v/>
      </c>
      <c r="GT36" s="3">
        <f>ROUND(2.0,2)</f>
        <v/>
      </c>
      <c r="GU36" s="3">
        <f>ROUND(2.0,2)</f>
        <v/>
      </c>
      <c r="GV36" s="3">
        <f>ROUND(2.0,2)</f>
        <v/>
      </c>
      <c r="GW36" s="4">
        <f>IFERROR((GQ36/GP36),0)</f>
        <v/>
      </c>
      <c r="GX36" s="4">
        <f>IFERROR(((0+GO11+GO12+GO13+GO14+GO15+GO16+GO17+GO19+GO20+GO21+GO22+GO23+GO24+GO25+GO27+GO28+GO29+GO30+GO31+GO32+GO33+GO35+GO36)/T2),0)</f>
        <v/>
      </c>
      <c r="GY36" s="5">
        <f>IFERROR(ROUND(GO36/GQ36,2),0)</f>
        <v/>
      </c>
      <c r="GZ36" s="5">
        <f>IFERROR(ROUND(GO36/GR36,2),0)</f>
        <v/>
      </c>
      <c r="HA36" s="2" t="inlineStr">
        <is>
          <t>2023-10-12</t>
        </is>
      </c>
      <c r="HB36" s="5">
        <f>ROUND(1.33,2)</f>
        <v/>
      </c>
      <c r="HC36" s="3">
        <f>ROUND(259.0,2)</f>
        <v/>
      </c>
      <c r="HD36" s="3">
        <f>ROUND(7.0,2)</f>
        <v/>
      </c>
      <c r="HE36" s="3">
        <f>ROUND(16.0,2)</f>
        <v/>
      </c>
      <c r="HF36" s="3">
        <f>ROUND(13.0,2)</f>
        <v/>
      </c>
      <c r="HG36" s="3">
        <f>ROUND(8.0,2)</f>
        <v/>
      </c>
      <c r="HH36" s="3">
        <f>ROUND(8.0,2)</f>
        <v/>
      </c>
      <c r="HI36" s="3">
        <f>ROUND(8.0,2)</f>
        <v/>
      </c>
      <c r="HJ36" s="4">
        <f>IFERROR((HD36/HC36),0)</f>
        <v/>
      </c>
      <c r="HK36" s="4">
        <f>IFERROR(((0+HB11+HB12+HB13+HB14+HB15+HB16+HB17+HB19+HB20+HB21+HB22+HB23+HB24+HB25+HB27+HB28+HB29+HB30+HB31+HB32+HB33+HB35+HB36)/T2),0)</f>
        <v/>
      </c>
      <c r="HL36" s="5">
        <f>IFERROR(ROUND(HB36/HD36,2),0)</f>
        <v/>
      </c>
      <c r="HM36" s="5">
        <f>IFERROR(ROUND(HB36/HE36,2),0)</f>
        <v/>
      </c>
      <c r="HN36" s="2" t="inlineStr">
        <is>
          <t>2023-10-12</t>
        </is>
      </c>
      <c r="HO36" s="5">
        <f>ROUND(0.76,2)</f>
        <v/>
      </c>
      <c r="HP36" s="3">
        <f>ROUND(84.0,2)</f>
        <v/>
      </c>
      <c r="HQ36" s="3">
        <f>ROUND(4.0,2)</f>
        <v/>
      </c>
      <c r="HR36" s="3">
        <f>ROUND(7.0,2)</f>
        <v/>
      </c>
      <c r="HS36" s="3">
        <f>ROUND(5.0,2)</f>
        <v/>
      </c>
      <c r="HT36" s="3">
        <f>ROUND(4.0,2)</f>
        <v/>
      </c>
      <c r="HU36" s="3">
        <f>ROUND(3.0,2)</f>
        <v/>
      </c>
      <c r="HV36" s="3">
        <f>ROUND(2.0,2)</f>
        <v/>
      </c>
      <c r="HW36" s="4">
        <f>IFERROR((HQ36/HP36),0)</f>
        <v/>
      </c>
      <c r="HX36" s="4">
        <f>IFERROR(((0+HO11+HO12+HO13+HO14+HO15+HO16+HO17+HO19+HO20+HO21+HO22+HO23+HO24+HO25+HO27+HO28+HO29+HO30+HO31+HO32+HO33+HO35+HO36)/T2),0)</f>
        <v/>
      </c>
      <c r="HY36" s="5">
        <f>IFERROR(ROUND(HO36/HQ36,2),0)</f>
        <v/>
      </c>
      <c r="HZ36" s="5">
        <f>IFERROR(ROUND(HO36/HR36,2),0)</f>
        <v/>
      </c>
      <c r="IA36" s="2" t="inlineStr">
        <is>
          <t>2023-10-12</t>
        </is>
      </c>
      <c r="IB36" s="5">
        <f>ROUND(0.76,2)</f>
        <v/>
      </c>
      <c r="IC36" s="3">
        <f>ROUND(171.0,2)</f>
        <v/>
      </c>
      <c r="ID36" s="3">
        <f>ROUND(4.0,2)</f>
        <v/>
      </c>
      <c r="IE36" s="3">
        <f>ROUND(13.0,2)</f>
        <v/>
      </c>
      <c r="IF36" s="3">
        <f>ROUND(8.0,2)</f>
        <v/>
      </c>
      <c r="IG36" s="3">
        <f>ROUND(5.0,2)</f>
        <v/>
      </c>
      <c r="IH36" s="3">
        <f>ROUND(4.0,2)</f>
        <v/>
      </c>
      <c r="II36" s="3">
        <f>ROUND(3.0,2)</f>
        <v/>
      </c>
      <c r="IJ36" s="4">
        <f>IFERROR((ID36/IC36),0)</f>
        <v/>
      </c>
      <c r="IK36" s="4">
        <f>IFERROR(((0+IB11+IB12+IB13+IB14+IB15+IB16+IB17+IB19+IB20+IB21+IB22+IB23+IB24+IB25+IB27+IB28+IB29+IB30+IB31+IB32+IB33+IB35+IB36)/T2),0)</f>
        <v/>
      </c>
      <c r="IL36" s="5">
        <f>IFERROR(ROUND(IB36/ID36,2),0)</f>
        <v/>
      </c>
      <c r="IM36" s="5">
        <f>IFERROR(ROUND(IB36/IE36,2),0)</f>
        <v/>
      </c>
      <c r="IN36" s="2" t="inlineStr">
        <is>
          <t>2023-10-12</t>
        </is>
      </c>
      <c r="IO36" s="5">
        <f>ROUND(0.9500000000000001,2)</f>
        <v/>
      </c>
      <c r="IP36" s="3">
        <f>ROUND(108.0,2)</f>
        <v/>
      </c>
      <c r="IQ36" s="3">
        <f>ROUND(5.0,2)</f>
        <v/>
      </c>
      <c r="IR36" s="3">
        <f>ROUND(4.0,2)</f>
        <v/>
      </c>
      <c r="IS36" s="3">
        <f>ROUND(4.0,2)</f>
        <v/>
      </c>
      <c r="IT36" s="3">
        <f>ROUND(2.0,2)</f>
        <v/>
      </c>
      <c r="IU36" s="3">
        <f>ROUND(1.0,2)</f>
        <v/>
      </c>
      <c r="IV36" s="3">
        <f>ROUND(0.0,2)</f>
        <v/>
      </c>
      <c r="IW36" s="4">
        <f>IFERROR((IQ36/IP36),0)</f>
        <v/>
      </c>
      <c r="IX36" s="4">
        <f>IFERROR(((0+IO11+IO12+IO13+IO14+IO15+IO16+IO17+IO19+IO20+IO21+IO22+IO23+IO24+IO25+IO27+IO28+IO29+IO30+IO31+IO32+IO33+IO35+IO36)/T2),0)</f>
        <v/>
      </c>
      <c r="IY36" s="5">
        <f>IFERROR(ROUND(IO36/IQ36,2),0)</f>
        <v/>
      </c>
      <c r="IZ36" s="5">
        <f>IFERROR(ROUND(IO36/IR36,2),0)</f>
        <v/>
      </c>
      <c r="JA36" s="2" t="inlineStr">
        <is>
          <t>2023-10-12</t>
        </is>
      </c>
      <c r="JB36" s="5">
        <f>ROUND(0.0,2)</f>
        <v/>
      </c>
      <c r="JC36" s="3">
        <f>ROUND(28.0,2)</f>
        <v/>
      </c>
      <c r="JD36" s="3">
        <f>ROUND(0.0,2)</f>
        <v/>
      </c>
      <c r="JE36" s="3">
        <f>ROUND(5.0,2)</f>
        <v/>
      </c>
      <c r="JF36" s="3">
        <f>ROUND(5.0,2)</f>
        <v/>
      </c>
      <c r="JG36" s="3">
        <f>ROUND(4.0,2)</f>
        <v/>
      </c>
      <c r="JH36" s="3">
        <f>ROUND(2.0,2)</f>
        <v/>
      </c>
      <c r="JI36" s="3">
        <f>ROUND(2.0,2)</f>
        <v/>
      </c>
      <c r="JJ36" s="4">
        <f>IFERROR((JD36/JC36),0)</f>
        <v/>
      </c>
      <c r="JK36" s="4">
        <f>IFERROR(((0+JB11+JB12+JB13+JB14+JB15+JB16+JB17+JB19+JB20+JB21+JB22+JB23+JB24+JB25+JB27+JB28+JB29+JB30+JB31+JB32+JB33+JB35+JB36)/T2),0)</f>
        <v/>
      </c>
      <c r="JL36" s="5">
        <f>IFERROR(ROUND(JB36/JD36,2),0)</f>
        <v/>
      </c>
      <c r="JM36" s="5">
        <f>IFERROR(ROUND(JB36/JE36,2),0)</f>
        <v/>
      </c>
    </row>
    <row r="37">
      <c r="A37" s="2" t="inlineStr">
        <is>
          <t>2023-10-13</t>
        </is>
      </c>
      <c r="B37" s="5">
        <f>ROUND(116.85,2)</f>
        <v/>
      </c>
      <c r="C37" s="3">
        <f>ROUND(25437.0,2)</f>
        <v/>
      </c>
      <c r="D37" s="3">
        <f>ROUND(779.0,2)</f>
        <v/>
      </c>
      <c r="E37" s="3">
        <f>ROUND(1358.0,2)</f>
        <v/>
      </c>
      <c r="F37" s="3">
        <f>ROUND(1087.0,2)</f>
        <v/>
      </c>
      <c r="G37" s="3">
        <f>ROUND(487.0,2)</f>
        <v/>
      </c>
      <c r="H37" s="3">
        <f>ROUND(341.0,2)</f>
        <v/>
      </c>
      <c r="I37" s="3">
        <f>ROUND(249.0,2)</f>
        <v/>
      </c>
      <c r="J37" s="4">
        <f>IFERROR((D37/C37),0)</f>
        <v/>
      </c>
      <c r="K37" s="4">
        <f>IFERROR(((0+B11+B12+B13+B14+B15+B16+B17+B19+B20+B21+B22+B23+B24+B25+B27+B28+B29+B30+B31+B32+B33+B35+B36+B37)/T2),0)</f>
        <v/>
      </c>
      <c r="L37" s="5">
        <f>IFERROR(ROUND(B37/D37,2),0)</f>
        <v/>
      </c>
      <c r="M37" s="5">
        <f>IFERROR(ROUND(B37/E37,2),0)</f>
        <v/>
      </c>
      <c r="N37" s="2" t="inlineStr">
        <is>
          <t>2023-10-13</t>
        </is>
      </c>
      <c r="O37" s="5">
        <f>ROUND(8.25,2)</f>
        <v/>
      </c>
      <c r="P37" s="3">
        <f>ROUND(1709.0,2)</f>
        <v/>
      </c>
      <c r="Q37" s="3">
        <f>ROUND(55.0,2)</f>
        <v/>
      </c>
      <c r="R37" s="3">
        <f>ROUND(102.0,2)</f>
        <v/>
      </c>
      <c r="S37" s="3">
        <f>ROUND(72.0,2)</f>
        <v/>
      </c>
      <c r="T37" s="3">
        <f>ROUND(37.0,2)</f>
        <v/>
      </c>
      <c r="U37" s="3">
        <f>ROUND(25.0,2)</f>
        <v/>
      </c>
      <c r="V37" s="3">
        <f>ROUND(21.0,2)</f>
        <v/>
      </c>
      <c r="W37" s="4">
        <f>IFERROR((Q37/P37),0)</f>
        <v/>
      </c>
      <c r="X37" s="4">
        <f>IFERROR(((0+O11+O12+O13+O14+O15+O16+O17+O19+O20+O21+O22+O23+O24+O25+O27+O28+O29+O30+O31+O32+O33+O35+O36+O37)/T2),0)</f>
        <v/>
      </c>
      <c r="Y37" s="5">
        <f>IFERROR(ROUND(O37/Q37,2),0)</f>
        <v/>
      </c>
      <c r="Z37" s="5">
        <f>IFERROR(ROUND(O37/R37,2),0)</f>
        <v/>
      </c>
      <c r="AA37" s="2" t="inlineStr">
        <is>
          <t>2023-10-13</t>
        </is>
      </c>
      <c r="AB37" s="5">
        <f>ROUND(10.049999999999999,2)</f>
        <v/>
      </c>
      <c r="AC37" s="3">
        <f>ROUND(2314.0,2)</f>
        <v/>
      </c>
      <c r="AD37" s="3">
        <f>ROUND(67.0,2)</f>
        <v/>
      </c>
      <c r="AE37" s="3">
        <f>ROUND(48.0,2)</f>
        <v/>
      </c>
      <c r="AF37" s="3">
        <f>ROUND(36.0,2)</f>
        <v/>
      </c>
      <c r="AG37" s="3">
        <f>ROUND(20.0,2)</f>
        <v/>
      </c>
      <c r="AH37" s="3">
        <f>ROUND(15.0,2)</f>
        <v/>
      </c>
      <c r="AI37" s="3">
        <f>ROUND(13.0,2)</f>
        <v/>
      </c>
      <c r="AJ37" s="4">
        <f>IFERROR((AD37/AC37),0)</f>
        <v/>
      </c>
      <c r="AK37" s="4">
        <f>IFERROR(((0+AB11+AB12+AB13+AB14+AB15+AB16+AB17+AB19+AB20+AB21+AB22+AB23+AB24+AB25+AB27+AB28+AB29+AB30+AB31+AB32+AB33+AB35+AB36+AB37)/T2),0)</f>
        <v/>
      </c>
      <c r="AL37" s="5">
        <f>IFERROR(ROUND(AB37/AD37,2),0)</f>
        <v/>
      </c>
      <c r="AM37" s="5">
        <f>IFERROR(ROUND(AB37/AE37,2),0)</f>
        <v/>
      </c>
      <c r="AN37" s="2" t="inlineStr">
        <is>
          <t>2023-10-13</t>
        </is>
      </c>
      <c r="AO37" s="5">
        <f>ROUND(2.25,2)</f>
        <v/>
      </c>
      <c r="AP37" s="3">
        <f>ROUND(577.0,2)</f>
        <v/>
      </c>
      <c r="AQ37" s="3">
        <f>ROUND(15.0,2)</f>
        <v/>
      </c>
      <c r="AR37" s="3">
        <f>ROUND(25.0,2)</f>
        <v/>
      </c>
      <c r="AS37" s="3">
        <f>ROUND(19.0,2)</f>
        <v/>
      </c>
      <c r="AT37" s="3">
        <f>ROUND(10.0,2)</f>
        <v/>
      </c>
      <c r="AU37" s="3">
        <f>ROUND(5.0,2)</f>
        <v/>
      </c>
      <c r="AV37" s="3">
        <f>ROUND(5.0,2)</f>
        <v/>
      </c>
      <c r="AW37" s="4">
        <f>IFERROR((AQ37/AP37),0)</f>
        <v/>
      </c>
      <c r="AX37" s="4">
        <f>IFERROR(((0+AO11+AO12+AO13+AO14+AO15+AO16+AO17+AO19+AO20+AO21+AO22+AO23+AO24+AO25+AO27+AO28+AO29+AO30+AO31+AO32+AO33+AO35+AO36+AO37)/T2),0)</f>
        <v/>
      </c>
      <c r="AY37" s="5">
        <f>IFERROR(ROUND(AO37/AQ37,2),0)</f>
        <v/>
      </c>
      <c r="AZ37" s="5">
        <f>IFERROR(ROUND(AO37/AR37,2),0)</f>
        <v/>
      </c>
      <c r="BA37" s="2" t="inlineStr">
        <is>
          <t>2023-10-13</t>
        </is>
      </c>
      <c r="BB37" s="5">
        <f>ROUND(9.6,2)</f>
        <v/>
      </c>
      <c r="BC37" s="3">
        <f>ROUND(1724.0,2)</f>
        <v/>
      </c>
      <c r="BD37" s="3">
        <f>ROUND(64.0,2)</f>
        <v/>
      </c>
      <c r="BE37" s="3">
        <f>ROUND(47.0,2)</f>
        <v/>
      </c>
      <c r="BF37" s="3">
        <f>ROUND(32.0,2)</f>
        <v/>
      </c>
      <c r="BG37" s="3">
        <f>ROUND(20.0,2)</f>
        <v/>
      </c>
      <c r="BH37" s="3">
        <f>ROUND(15.0,2)</f>
        <v/>
      </c>
      <c r="BI37" s="3">
        <f>ROUND(10.0,2)</f>
        <v/>
      </c>
      <c r="BJ37" s="4">
        <f>IFERROR((BD37/BC37),0)</f>
        <v/>
      </c>
      <c r="BK37" s="4">
        <f>IFERROR(((0+BB11+BB12+BB13+BB14+BB15+BB16+BB17+BB19+BB20+BB21+BB22+BB23+BB24+BB25+BB27+BB28+BB29+BB30+BB31+BB32+BB33+BB35+BB36+BB37)/T2),0)</f>
        <v/>
      </c>
      <c r="BL37" s="5">
        <f>IFERROR(ROUND(BB37/BD37,2),0)</f>
        <v/>
      </c>
      <c r="BM37" s="5">
        <f>IFERROR(ROUND(BB37/BE37,2),0)</f>
        <v/>
      </c>
      <c r="BN37" s="2" t="inlineStr">
        <is>
          <t>2023-10-13</t>
        </is>
      </c>
      <c r="BO37" s="5">
        <f>ROUND(34.349999999999994,2)</f>
        <v/>
      </c>
      <c r="BP37" s="3">
        <f>ROUND(6383.0,2)</f>
        <v/>
      </c>
      <c r="BQ37" s="3">
        <f>ROUND(229.0,2)</f>
        <v/>
      </c>
      <c r="BR37" s="3">
        <f>ROUND(330.0,2)</f>
        <v/>
      </c>
      <c r="BS37" s="3">
        <f>ROUND(258.0,2)</f>
        <v/>
      </c>
      <c r="BT37" s="3">
        <f>ROUND(104.0,2)</f>
        <v/>
      </c>
      <c r="BU37" s="3">
        <f>ROUND(79.0,2)</f>
        <v/>
      </c>
      <c r="BV37" s="3">
        <f>ROUND(58.0,2)</f>
        <v/>
      </c>
      <c r="BW37" s="4">
        <f>IFERROR((BQ37/BP37),0)</f>
        <v/>
      </c>
      <c r="BX37" s="4">
        <f>IFERROR(((0+BO11+BO12+BO13+BO14+BO15+BO16+BO17+BO19+BO20+BO21+BO22+BO23+BO24+BO25+BO27+BO28+BO29+BO30+BO31+BO32+BO33+BO35+BO36+BO37)/T2),0)</f>
        <v/>
      </c>
      <c r="BY37" s="5">
        <f>IFERROR(ROUND(BO37/BQ37,2),0)</f>
        <v/>
      </c>
      <c r="BZ37" s="5">
        <f>IFERROR(ROUND(BO37/BR37,2),0)</f>
        <v/>
      </c>
      <c r="CA37" s="2" t="inlineStr">
        <is>
          <t>2023-10-13</t>
        </is>
      </c>
      <c r="CB37" s="5">
        <f>ROUND(5.7,2)</f>
        <v/>
      </c>
      <c r="CC37" s="3">
        <f>ROUND(1996.0,2)</f>
        <v/>
      </c>
      <c r="CD37" s="3">
        <f>ROUND(38.0,2)</f>
        <v/>
      </c>
      <c r="CE37" s="3">
        <f>ROUND(165.0,2)</f>
        <v/>
      </c>
      <c r="CF37" s="3">
        <f>ROUND(139.0,2)</f>
        <v/>
      </c>
      <c r="CG37" s="3">
        <f>ROUND(49.0,2)</f>
        <v/>
      </c>
      <c r="CH37" s="3">
        <f>ROUND(31.0,2)</f>
        <v/>
      </c>
      <c r="CI37" s="3">
        <f>ROUND(23.0,2)</f>
        <v/>
      </c>
      <c r="CJ37" s="4">
        <f>IFERROR((CD37/CC37),0)</f>
        <v/>
      </c>
      <c r="CK37" s="4">
        <f>IFERROR(((0+CB11+CB12+CB13+CB14+CB15+CB16+CB17+CB19+CB20+CB21+CB22+CB23+CB24+CB25+CB27+CB28+CB29+CB30+CB31+CB32+CB33+CB35+CB36+CB37)/T2),0)</f>
        <v/>
      </c>
      <c r="CL37" s="5">
        <f>IFERROR(ROUND(CB37/CD37,2),0)</f>
        <v/>
      </c>
      <c r="CM37" s="5">
        <f>IFERROR(ROUND(CB37/CE37,2),0)</f>
        <v/>
      </c>
      <c r="CN37" s="2" t="inlineStr">
        <is>
          <t>2023-10-13</t>
        </is>
      </c>
      <c r="CO37" s="5">
        <f>ROUND(9.15,2)</f>
        <v/>
      </c>
      <c r="CP37" s="3">
        <f>ROUND(2391.0,2)</f>
        <v/>
      </c>
      <c r="CQ37" s="3">
        <f>ROUND(61.0,2)</f>
        <v/>
      </c>
      <c r="CR37" s="3">
        <f>ROUND(90.0,2)</f>
        <v/>
      </c>
      <c r="CS37" s="3">
        <f>ROUND(74.0,2)</f>
        <v/>
      </c>
      <c r="CT37" s="3">
        <f>ROUND(33.0,2)</f>
        <v/>
      </c>
      <c r="CU37" s="3">
        <f>ROUND(25.0,2)</f>
        <v/>
      </c>
      <c r="CV37" s="3">
        <f>ROUND(17.0,2)</f>
        <v/>
      </c>
      <c r="CW37" s="4">
        <f>IFERROR((CQ37/CP37),0)</f>
        <v/>
      </c>
      <c r="CX37" s="4">
        <f>IFERROR(((0+CO11+CO12+CO13+CO14+CO15+CO16+CO17+CO19+CO20+CO21+CO22+CO23+CO24+CO25+CO27+CO28+CO29+CO30+CO31+CO32+CO33+CO35+CO36+CO37)/T2),0)</f>
        <v/>
      </c>
      <c r="CY37" s="5">
        <f>IFERROR(ROUND(CO37/CQ37,2),0)</f>
        <v/>
      </c>
      <c r="CZ37" s="5">
        <f>IFERROR(ROUND(CO37/CR37,2),0)</f>
        <v/>
      </c>
      <c r="DA37" s="2" t="inlineStr">
        <is>
          <t>2023-10-13</t>
        </is>
      </c>
      <c r="DB37" s="5">
        <f>ROUND(3.3,2)</f>
        <v/>
      </c>
      <c r="DC37" s="3">
        <f>ROUND(899.0,2)</f>
        <v/>
      </c>
      <c r="DD37" s="3">
        <f>ROUND(22.0,2)</f>
        <v/>
      </c>
      <c r="DE37" s="3">
        <f>ROUND(34.0,2)</f>
        <v/>
      </c>
      <c r="DF37" s="3">
        <f>ROUND(27.0,2)</f>
        <v/>
      </c>
      <c r="DG37" s="3">
        <f>ROUND(16.0,2)</f>
        <v/>
      </c>
      <c r="DH37" s="3">
        <f>ROUND(11.0,2)</f>
        <v/>
      </c>
      <c r="DI37" s="3">
        <f>ROUND(7.0,2)</f>
        <v/>
      </c>
      <c r="DJ37" s="4">
        <f>IFERROR((DD37/DC37),0)</f>
        <v/>
      </c>
      <c r="DK37" s="4">
        <f>IFERROR(((0+DB11+DB12+DB13+DB14+DB15+DB16+DB17+DB19+DB20+DB21+DB22+DB23+DB24+DB25+DB27+DB28+DB29+DB30+DB31+DB32+DB33+DB35+DB36+DB37)/T2),0)</f>
        <v/>
      </c>
      <c r="DL37" s="5">
        <f>IFERROR(ROUND(DB37/DD37,2),0)</f>
        <v/>
      </c>
      <c r="DM37" s="5">
        <f>IFERROR(ROUND(DB37/DE37,2),0)</f>
        <v/>
      </c>
      <c r="DN37" s="2" t="inlineStr">
        <is>
          <t>2023-10-13</t>
        </is>
      </c>
      <c r="DO37" s="5">
        <f>ROUND(1.3499999999999999,2)</f>
        <v/>
      </c>
      <c r="DP37" s="3">
        <f>ROUND(494.0,2)</f>
        <v/>
      </c>
      <c r="DQ37" s="3">
        <f>ROUND(9.0,2)</f>
        <v/>
      </c>
      <c r="DR37" s="3">
        <f>ROUND(34.0,2)</f>
        <v/>
      </c>
      <c r="DS37" s="3">
        <f>ROUND(25.0,2)</f>
        <v/>
      </c>
      <c r="DT37" s="3">
        <f>ROUND(12.0,2)</f>
        <v/>
      </c>
      <c r="DU37" s="3">
        <f>ROUND(8.0,2)</f>
        <v/>
      </c>
      <c r="DV37" s="3">
        <f>ROUND(7.0,2)</f>
        <v/>
      </c>
      <c r="DW37" s="4">
        <f>IFERROR((DQ37/DP37),0)</f>
        <v/>
      </c>
      <c r="DX37" s="4">
        <f>IFERROR(((0+DO11+DO12+DO13+DO14+DO15+DO16+DO17+DO19+DO20+DO21+DO22+DO23+DO24+DO25+DO27+DO28+DO29+DO30+DO31+DO32+DO33+DO35+DO36+DO37)/T2),0)</f>
        <v/>
      </c>
      <c r="DY37" s="5">
        <f>IFERROR(ROUND(DO37/DQ37,2),0)</f>
        <v/>
      </c>
      <c r="DZ37" s="5">
        <f>IFERROR(ROUND(DO37/DR37,2),0)</f>
        <v/>
      </c>
      <c r="EA37" s="2" t="inlineStr">
        <is>
          <t>2023-10-13</t>
        </is>
      </c>
      <c r="EB37" s="5">
        <f>ROUND(14.4,2)</f>
        <v/>
      </c>
      <c r="EC37" s="3">
        <f>ROUND(2233.0,2)</f>
        <v/>
      </c>
      <c r="ED37" s="3">
        <f>ROUND(96.0,2)</f>
        <v/>
      </c>
      <c r="EE37" s="3">
        <f>ROUND(79.0,2)</f>
        <v/>
      </c>
      <c r="EF37" s="3">
        <f>ROUND(51.0,2)</f>
        <v/>
      </c>
      <c r="EG37" s="3">
        <f>ROUND(33.0,2)</f>
        <v/>
      </c>
      <c r="EH37" s="3">
        <f>ROUND(26.0,2)</f>
        <v/>
      </c>
      <c r="EI37" s="3">
        <f>ROUND(21.0,2)</f>
        <v/>
      </c>
      <c r="EJ37" s="4">
        <f>IFERROR((ED37/EC37),0)</f>
        <v/>
      </c>
      <c r="EK37" s="4">
        <f>IFERROR(((0+EB11+EB12+EB13+EB14+EB15+EB16+EB17+EB19+EB20+EB21+EB22+EB23+EB24+EB25+EB27+EB28+EB29+EB30+EB31+EB32+EB33+EB35+EB36+EB37)/T2),0)</f>
        <v/>
      </c>
      <c r="EL37" s="5">
        <f>IFERROR(ROUND(EB37/ED37,2),0)</f>
        <v/>
      </c>
      <c r="EM37" s="5">
        <f>IFERROR(ROUND(EB37/EE37,2),0)</f>
        <v/>
      </c>
      <c r="EN37" s="2" t="inlineStr">
        <is>
          <t>2023-10-13</t>
        </is>
      </c>
      <c r="EO37" s="5">
        <f>ROUND(3.5999999999999996,2)</f>
        <v/>
      </c>
      <c r="EP37" s="3">
        <f>ROUND(783.0,2)</f>
        <v/>
      </c>
      <c r="EQ37" s="3">
        <f>ROUND(24.0,2)</f>
        <v/>
      </c>
      <c r="ER37" s="3">
        <f>ROUND(84.0,2)</f>
        <v/>
      </c>
      <c r="ES37" s="3">
        <f>ROUND(69.0,2)</f>
        <v/>
      </c>
      <c r="ET37" s="3">
        <f>ROUND(25.0,2)</f>
        <v/>
      </c>
      <c r="EU37" s="3">
        <f>ROUND(18.0,2)</f>
        <v/>
      </c>
      <c r="EV37" s="3">
        <f>ROUND(12.0,2)</f>
        <v/>
      </c>
      <c r="EW37" s="4">
        <f>IFERROR((EQ37/EP37),0)</f>
        <v/>
      </c>
      <c r="EX37" s="4">
        <f>IFERROR(((0+EO11+EO12+EO13+EO14+EO15+EO16+EO17+EO19+EO20+EO21+EO22+EO23+EO24+EO25+EO27+EO28+EO29+EO30+EO31+EO32+EO33+EO35+EO36+EO37)/T2),0)</f>
        <v/>
      </c>
      <c r="EY37" s="5">
        <f>IFERROR(ROUND(EO37/EQ37,2),0)</f>
        <v/>
      </c>
      <c r="EZ37" s="5">
        <f>IFERROR(ROUND(EO37/ER37,2),0)</f>
        <v/>
      </c>
      <c r="FA37" s="2" t="inlineStr">
        <is>
          <t>2023-10-13</t>
        </is>
      </c>
      <c r="FB37" s="5">
        <f>ROUND(3.0,2)</f>
        <v/>
      </c>
      <c r="FC37" s="3">
        <f>ROUND(580.0,2)</f>
        <v/>
      </c>
      <c r="FD37" s="3">
        <f>ROUND(20.0,2)</f>
        <v/>
      </c>
      <c r="FE37" s="3">
        <f>ROUND(32.0,2)</f>
        <v/>
      </c>
      <c r="FF37" s="3">
        <f>ROUND(26.0,2)</f>
        <v/>
      </c>
      <c r="FG37" s="3">
        <f>ROUND(12.0,2)</f>
        <v/>
      </c>
      <c r="FH37" s="3">
        <f>ROUND(7.0,2)</f>
        <v/>
      </c>
      <c r="FI37" s="3">
        <f>ROUND(4.0,2)</f>
        <v/>
      </c>
      <c r="FJ37" s="4">
        <f>IFERROR((FD37/FC37),0)</f>
        <v/>
      </c>
      <c r="FK37" s="4">
        <f>IFERROR(((0+FB11+FB12+FB13+FB14+FB15+FB16+FB17+FB19+FB20+FB21+FB22+FB23+FB24+FB25+FB27+FB28+FB29+FB30+FB31+FB32+FB33+FB35+FB36+FB37)/T2),0)</f>
        <v/>
      </c>
      <c r="FL37" s="5">
        <f>IFERROR(ROUND(FB37/FD37,2),0)</f>
        <v/>
      </c>
      <c r="FM37" s="5">
        <f>IFERROR(ROUND(FB37/FE37,2),0)</f>
        <v/>
      </c>
      <c r="FN37" s="2" t="inlineStr">
        <is>
          <t>2023-10-13</t>
        </is>
      </c>
      <c r="FO37" s="5">
        <f>ROUND(0.6,2)</f>
        <v/>
      </c>
      <c r="FP37" s="3">
        <f>ROUND(186.0,2)</f>
        <v/>
      </c>
      <c r="FQ37" s="3">
        <f>ROUND(4.0,2)</f>
        <v/>
      </c>
      <c r="FR37" s="3">
        <f>ROUND(9.0,2)</f>
        <v/>
      </c>
      <c r="FS37" s="3">
        <f>ROUND(8.0,2)</f>
        <v/>
      </c>
      <c r="FT37" s="3">
        <f>ROUND(5.0,2)</f>
        <v/>
      </c>
      <c r="FU37" s="3">
        <f>ROUND(4.0,2)</f>
        <v/>
      </c>
      <c r="FV37" s="3">
        <f>ROUND(3.0,2)</f>
        <v/>
      </c>
      <c r="FW37" s="4">
        <f>IFERROR((FQ37/FP37),0)</f>
        <v/>
      </c>
      <c r="FX37" s="4">
        <f>IFERROR(((0+FO11+FO12+FO13+FO14+FO15+FO16+FO17+FO19+FO20+FO21+FO22+FO23+FO24+FO25+FO27+FO28+FO29+FO30+FO31+FO32+FO33+FO35+FO36+FO37)/T2),0)</f>
        <v/>
      </c>
      <c r="FY37" s="5">
        <f>IFERROR(ROUND(FO37/FQ37,2),0)</f>
        <v/>
      </c>
      <c r="FZ37" s="5">
        <f>IFERROR(ROUND(FO37/FR37,2),0)</f>
        <v/>
      </c>
      <c r="GA37" s="2" t="inlineStr">
        <is>
          <t>2023-10-13</t>
        </is>
      </c>
      <c r="GB37" s="5">
        <f>ROUND(6.9,2)</f>
        <v/>
      </c>
      <c r="GC37" s="3">
        <f>ROUND(1517.0,2)</f>
        <v/>
      </c>
      <c r="GD37" s="3">
        <f>ROUND(46.0,2)</f>
        <v/>
      </c>
      <c r="GE37" s="3">
        <f>ROUND(206.0,2)</f>
        <v/>
      </c>
      <c r="GF37" s="3">
        <f>ROUND(191.0,2)</f>
        <v/>
      </c>
      <c r="GG37" s="3">
        <f>ROUND(80.0,2)</f>
        <v/>
      </c>
      <c r="GH37" s="3">
        <f>ROUND(46.0,2)</f>
        <v/>
      </c>
      <c r="GI37" s="3">
        <f>ROUND(27.0,2)</f>
        <v/>
      </c>
      <c r="GJ37" s="4">
        <f>IFERROR((GD37/GC37),0)</f>
        <v/>
      </c>
      <c r="GK37" s="4">
        <f>IFERROR(((0+GB11+GB12+GB13+GB14+GB15+GB16+GB17+GB19+GB20+GB21+GB22+GB23+GB24+GB25+GB27+GB28+GB29+GB30+GB31+GB32+GB33+GB35+GB36+GB37)/T2),0)</f>
        <v/>
      </c>
      <c r="GL37" s="5">
        <f>IFERROR(ROUND(GB37/GD37,2),0)</f>
        <v/>
      </c>
      <c r="GM37" s="5">
        <f>IFERROR(ROUND(GB37/GE37,2),0)</f>
        <v/>
      </c>
      <c r="GN37" s="2" t="inlineStr">
        <is>
          <t>2023-10-13</t>
        </is>
      </c>
      <c r="GO37" s="5">
        <f>ROUND(0.3,2)</f>
        <v/>
      </c>
      <c r="GP37" s="3">
        <f>ROUND(144.0,2)</f>
        <v/>
      </c>
      <c r="GQ37" s="3">
        <f>ROUND(2.0,2)</f>
        <v/>
      </c>
      <c r="GR37" s="3">
        <f>ROUND(5.0,2)</f>
        <v/>
      </c>
      <c r="GS37" s="3">
        <f>ROUND(4.0,2)</f>
        <v/>
      </c>
      <c r="GT37" s="3">
        <f>ROUND(3.0,2)</f>
        <v/>
      </c>
      <c r="GU37" s="3">
        <f>ROUND(2.0,2)</f>
        <v/>
      </c>
      <c r="GV37" s="3">
        <f>ROUND(2.0,2)</f>
        <v/>
      </c>
      <c r="GW37" s="4">
        <f>IFERROR((GQ37/GP37),0)</f>
        <v/>
      </c>
      <c r="GX37" s="4">
        <f>IFERROR(((0+GO11+GO12+GO13+GO14+GO15+GO16+GO17+GO19+GO20+GO21+GO22+GO23+GO24+GO25+GO27+GO28+GO29+GO30+GO31+GO32+GO33+GO35+GO36+GO37)/T2),0)</f>
        <v/>
      </c>
      <c r="GY37" s="5">
        <f>IFERROR(ROUND(GO37/GQ37,2),0)</f>
        <v/>
      </c>
      <c r="GZ37" s="5">
        <f>IFERROR(ROUND(GO37/GR37,2),0)</f>
        <v/>
      </c>
      <c r="HA37" s="2" t="inlineStr">
        <is>
          <t>2023-10-13</t>
        </is>
      </c>
      <c r="HB37" s="5">
        <f>ROUND(0.44999999999999996,2)</f>
        <v/>
      </c>
      <c r="HC37" s="3">
        <f>ROUND(413.0,2)</f>
        <v/>
      </c>
      <c r="HD37" s="3">
        <f>ROUND(3.0,2)</f>
        <v/>
      </c>
      <c r="HE37" s="3">
        <f>ROUND(22.0,2)</f>
        <v/>
      </c>
      <c r="HF37" s="3">
        <f>ROUND(19.0,2)</f>
        <v/>
      </c>
      <c r="HG37" s="3">
        <f>ROUND(8.0,2)</f>
        <v/>
      </c>
      <c r="HH37" s="3">
        <f>ROUND(6.0,2)</f>
        <v/>
      </c>
      <c r="HI37" s="3">
        <f>ROUND(4.0,2)</f>
        <v/>
      </c>
      <c r="HJ37" s="4">
        <f>IFERROR((HD37/HC37),0)</f>
        <v/>
      </c>
      <c r="HK37" s="4">
        <f>IFERROR(((0+HB11+HB12+HB13+HB14+HB15+HB16+HB17+HB19+HB20+HB21+HB22+HB23+HB24+HB25+HB27+HB28+HB29+HB30+HB31+HB32+HB33+HB35+HB36+HB37)/T2),0)</f>
        <v/>
      </c>
      <c r="HL37" s="5">
        <f>IFERROR(ROUND(HB37/HD37,2),0)</f>
        <v/>
      </c>
      <c r="HM37" s="5">
        <f>IFERROR(ROUND(HB37/HE37,2),0)</f>
        <v/>
      </c>
      <c r="HN37" s="2" t="inlineStr">
        <is>
          <t>2023-10-13</t>
        </is>
      </c>
      <c r="HO37" s="5">
        <f>ROUND(0.75,2)</f>
        <v/>
      </c>
      <c r="HP37" s="3">
        <f>ROUND(225.0,2)</f>
        <v/>
      </c>
      <c r="HQ37" s="3">
        <f>ROUND(5.0,2)</f>
        <v/>
      </c>
      <c r="HR37" s="3">
        <f>ROUND(7.0,2)</f>
        <v/>
      </c>
      <c r="HS37" s="3">
        <f>ROUND(6.0,2)</f>
        <v/>
      </c>
      <c r="HT37" s="3">
        <f>ROUND(3.0,2)</f>
        <v/>
      </c>
      <c r="HU37" s="3">
        <f>ROUND(3.0,2)</f>
        <v/>
      </c>
      <c r="HV37" s="3">
        <f>ROUND(2.0,2)</f>
        <v/>
      </c>
      <c r="HW37" s="4">
        <f>IFERROR((HQ37/HP37),0)</f>
        <v/>
      </c>
      <c r="HX37" s="4">
        <f>IFERROR(((0+HO11+HO12+HO13+HO14+HO15+HO16+HO17+HO19+HO20+HO21+HO22+HO23+HO24+HO25+HO27+HO28+HO29+HO30+HO31+HO32+HO33+HO35+HO36+HO37)/T2),0)</f>
        <v/>
      </c>
      <c r="HY37" s="5">
        <f>IFERROR(ROUND(HO37/HQ37,2),0)</f>
        <v/>
      </c>
      <c r="HZ37" s="5">
        <f>IFERROR(ROUND(HO37/HR37,2),0)</f>
        <v/>
      </c>
      <c r="IA37" s="2" t="inlineStr">
        <is>
          <t>2023-10-13</t>
        </is>
      </c>
      <c r="IB37" s="5">
        <f>ROUND(1.0499999999999998,2)</f>
        <v/>
      </c>
      <c r="IC37" s="3">
        <f>ROUND(394.0,2)</f>
        <v/>
      </c>
      <c r="ID37" s="3">
        <f>ROUND(7.0,2)</f>
        <v/>
      </c>
      <c r="IE37" s="3">
        <f>ROUND(26.0,2)</f>
        <v/>
      </c>
      <c r="IF37" s="3">
        <f>ROUND(21.0,2)</f>
        <v/>
      </c>
      <c r="IG37" s="3">
        <f>ROUND(13.0,2)</f>
        <v/>
      </c>
      <c r="IH37" s="3">
        <f>ROUND(11.0,2)</f>
        <v/>
      </c>
      <c r="II37" s="3">
        <f>ROUND(10.0,2)</f>
        <v/>
      </c>
      <c r="IJ37" s="4">
        <f>IFERROR((ID37/IC37),0)</f>
        <v/>
      </c>
      <c r="IK37" s="4">
        <f>IFERROR(((0+IB11+IB12+IB13+IB14+IB15+IB16+IB17+IB19+IB20+IB21+IB22+IB23+IB24+IB25+IB27+IB28+IB29+IB30+IB31+IB32+IB33+IB35+IB36+IB37)/T2),0)</f>
        <v/>
      </c>
      <c r="IL37" s="5">
        <f>IFERROR(ROUND(IB37/ID37,2),0)</f>
        <v/>
      </c>
      <c r="IM37" s="5">
        <f>IFERROR(ROUND(IB37/IE37,2),0)</f>
        <v/>
      </c>
      <c r="IN37" s="2" t="inlineStr">
        <is>
          <t>2023-10-13</t>
        </is>
      </c>
      <c r="IO37" s="5">
        <f>ROUND(1.7999999999999998,2)</f>
        <v/>
      </c>
      <c r="IP37" s="3">
        <f>ROUND(376.0,2)</f>
        <v/>
      </c>
      <c r="IQ37" s="3">
        <f>ROUND(12.0,2)</f>
        <v/>
      </c>
      <c r="IR37" s="3">
        <f>ROUND(9.0,2)</f>
        <v/>
      </c>
      <c r="IS37" s="3">
        <f>ROUND(7.0,2)</f>
        <v/>
      </c>
      <c r="IT37" s="3">
        <f>ROUND(3.0,2)</f>
        <v/>
      </c>
      <c r="IU37" s="3">
        <f>ROUND(3.0,2)</f>
        <v/>
      </c>
      <c r="IV37" s="3">
        <f>ROUND(2.0,2)</f>
        <v/>
      </c>
      <c r="IW37" s="4">
        <f>IFERROR((IQ37/IP37),0)</f>
        <v/>
      </c>
      <c r="IX37" s="4">
        <f>IFERROR(((0+IO11+IO12+IO13+IO14+IO15+IO16+IO17+IO19+IO20+IO21+IO22+IO23+IO24+IO25+IO27+IO28+IO29+IO30+IO31+IO32+IO33+IO35+IO36+IO37)/T2),0)</f>
        <v/>
      </c>
      <c r="IY37" s="5">
        <f>IFERROR(ROUND(IO37/IQ37,2),0)</f>
        <v/>
      </c>
      <c r="IZ37" s="5">
        <f>IFERROR(ROUND(IO37/IR37,2),0)</f>
        <v/>
      </c>
      <c r="JA37" s="2" t="inlineStr">
        <is>
          <t>2023-10-13</t>
        </is>
      </c>
      <c r="JB37" s="5">
        <f>ROUND(0.0,2)</f>
        <v/>
      </c>
      <c r="JC37" s="3">
        <f>ROUND(99.0,2)</f>
        <v/>
      </c>
      <c r="JD37" s="3">
        <f>ROUND(0.0,2)</f>
        <v/>
      </c>
      <c r="JE37" s="3">
        <f>ROUND(4.0,2)</f>
        <v/>
      </c>
      <c r="JF37" s="3">
        <f>ROUND(3.0,2)</f>
        <v/>
      </c>
      <c r="JG37" s="3">
        <f>ROUND(1.0,2)</f>
        <v/>
      </c>
      <c r="JH37" s="3">
        <f>ROUND(1.0,2)</f>
        <v/>
      </c>
      <c r="JI37" s="3">
        <f>ROUND(1.0,2)</f>
        <v/>
      </c>
      <c r="JJ37" s="4">
        <f>IFERROR((JD37/JC37),0)</f>
        <v/>
      </c>
      <c r="JK37" s="4">
        <f>IFERROR(((0+JB11+JB12+JB13+JB14+JB15+JB16+JB17+JB19+JB20+JB21+JB22+JB23+JB24+JB25+JB27+JB28+JB29+JB30+JB31+JB32+JB33+JB35+JB36+JB37)/T2),0)</f>
        <v/>
      </c>
      <c r="JL37" s="5">
        <f>IFERROR(ROUND(JB37/JD37,2),0)</f>
        <v/>
      </c>
      <c r="JM37" s="5">
        <f>IFERROR(ROUND(JB37/JE37,2),0)</f>
        <v/>
      </c>
    </row>
    <row r="38">
      <c r="A38" s="2" t="inlineStr">
        <is>
          <t>2023-10-14</t>
        </is>
      </c>
      <c r="B38" s="5">
        <f>ROUND(112.97,2)</f>
        <v/>
      </c>
      <c r="C38" s="3">
        <f>ROUND(31926.0,2)</f>
        <v/>
      </c>
      <c r="D38" s="3">
        <f>ROUND(869.0,2)</f>
        <v/>
      </c>
      <c r="E38" s="3">
        <f>ROUND(2953.0,2)</f>
        <v/>
      </c>
      <c r="F38" s="3">
        <f>ROUND(2445.0,2)</f>
        <v/>
      </c>
      <c r="G38" s="3">
        <f>ROUND(977.0,2)</f>
        <v/>
      </c>
      <c r="H38" s="3">
        <f>ROUND(673.0,2)</f>
        <v/>
      </c>
      <c r="I38" s="3">
        <f>ROUND(490.0,2)</f>
        <v/>
      </c>
      <c r="J38" s="4">
        <f>IFERROR((D38/C38),0)</f>
        <v/>
      </c>
      <c r="K38" s="4">
        <f>IFERROR(((0+B11+B12+B13+B14+B15+B16+B17+B19+B20+B21+B22+B23+B24+B25+B27+B28+B29+B30+B31+B32+B33+B35+B36+B37+B38)/T2),0)</f>
        <v/>
      </c>
      <c r="L38" s="5">
        <f>IFERROR(ROUND(B38/D38,2),0)</f>
        <v/>
      </c>
      <c r="M38" s="5">
        <f>IFERROR(ROUND(B38/E38,2),0)</f>
        <v/>
      </c>
      <c r="N38" s="2" t="inlineStr">
        <is>
          <t>2023-10-14</t>
        </is>
      </c>
      <c r="O38" s="5">
        <f>ROUND(5.2,2)</f>
        <v/>
      </c>
      <c r="P38" s="3">
        <f>ROUND(1422.0,2)</f>
        <v/>
      </c>
      <c r="Q38" s="3">
        <f>ROUND(40.0,2)</f>
        <v/>
      </c>
      <c r="R38" s="3">
        <f>ROUND(149.0,2)</f>
        <v/>
      </c>
      <c r="S38" s="3">
        <f>ROUND(125.0,2)</f>
        <v/>
      </c>
      <c r="T38" s="3">
        <f>ROUND(46.0,2)</f>
        <v/>
      </c>
      <c r="U38" s="3">
        <f>ROUND(35.0,2)</f>
        <v/>
      </c>
      <c r="V38" s="3">
        <f>ROUND(30.0,2)</f>
        <v/>
      </c>
      <c r="W38" s="4">
        <f>IFERROR((Q38/P38),0)</f>
        <v/>
      </c>
      <c r="X38" s="4">
        <f>IFERROR(((0+O11+O12+O13+O14+O15+O16+O17+O19+O20+O21+O22+O23+O24+O25+O27+O28+O29+O30+O31+O32+O33+O35+O36+O37+O38)/T2),0)</f>
        <v/>
      </c>
      <c r="Y38" s="5">
        <f>IFERROR(ROUND(O38/Q38,2),0)</f>
        <v/>
      </c>
      <c r="Z38" s="5">
        <f>IFERROR(ROUND(O38/R38,2),0)</f>
        <v/>
      </c>
      <c r="AA38" s="2" t="inlineStr">
        <is>
          <t>2023-10-14</t>
        </is>
      </c>
      <c r="AB38" s="5">
        <f>ROUND(3.38,2)</f>
        <v/>
      </c>
      <c r="AC38" s="3">
        <f>ROUND(1248.0,2)</f>
        <v/>
      </c>
      <c r="AD38" s="3">
        <f>ROUND(26.0,2)</f>
        <v/>
      </c>
      <c r="AE38" s="3">
        <f>ROUND(36.0,2)</f>
        <v/>
      </c>
      <c r="AF38" s="3">
        <f>ROUND(29.0,2)</f>
        <v/>
      </c>
      <c r="AG38" s="3">
        <f>ROUND(14.0,2)</f>
        <v/>
      </c>
      <c r="AH38" s="3">
        <f>ROUND(11.0,2)</f>
        <v/>
      </c>
      <c r="AI38" s="3">
        <f>ROUND(10.0,2)</f>
        <v/>
      </c>
      <c r="AJ38" s="4">
        <f>IFERROR((AD38/AC38),0)</f>
        <v/>
      </c>
      <c r="AK38" s="4">
        <f>IFERROR(((0+AB11+AB12+AB13+AB14+AB15+AB16+AB17+AB19+AB20+AB21+AB22+AB23+AB24+AB25+AB27+AB28+AB29+AB30+AB31+AB32+AB33+AB35+AB36+AB37+AB38)/T2),0)</f>
        <v/>
      </c>
      <c r="AL38" s="5">
        <f>IFERROR(ROUND(AB38/AD38,2),0)</f>
        <v/>
      </c>
      <c r="AM38" s="5">
        <f>IFERROR(ROUND(AB38/AE38,2),0)</f>
        <v/>
      </c>
      <c r="AN38" s="2" t="inlineStr">
        <is>
          <t>2023-10-14</t>
        </is>
      </c>
      <c r="AO38" s="5">
        <f>ROUND(0.78,2)</f>
        <v/>
      </c>
      <c r="AP38" s="3">
        <f>ROUND(514.0,2)</f>
        <v/>
      </c>
      <c r="AQ38" s="3">
        <f>ROUND(6.0,2)</f>
        <v/>
      </c>
      <c r="AR38" s="3">
        <f>ROUND(50.0,2)</f>
        <v/>
      </c>
      <c r="AS38" s="3">
        <f>ROUND(44.0,2)</f>
        <v/>
      </c>
      <c r="AT38" s="3">
        <f>ROUND(27.0,2)</f>
        <v/>
      </c>
      <c r="AU38" s="3">
        <f>ROUND(18.0,2)</f>
        <v/>
      </c>
      <c r="AV38" s="3">
        <f>ROUND(13.0,2)</f>
        <v/>
      </c>
      <c r="AW38" s="4">
        <f>IFERROR((AQ38/AP38),0)</f>
        <v/>
      </c>
      <c r="AX38" s="4">
        <f>IFERROR(((0+AO11+AO12+AO13+AO14+AO15+AO16+AO17+AO19+AO20+AO21+AO22+AO23+AO24+AO25+AO27+AO28+AO29+AO30+AO31+AO32+AO33+AO35+AO36+AO37+AO38)/T2),0)</f>
        <v/>
      </c>
      <c r="AY38" s="5">
        <f>IFERROR(ROUND(AO38/AQ38,2),0)</f>
        <v/>
      </c>
      <c r="AZ38" s="5">
        <f>IFERROR(ROUND(AO38/AR38,2),0)</f>
        <v/>
      </c>
      <c r="BA38" s="2" t="inlineStr">
        <is>
          <t>2023-10-14</t>
        </is>
      </c>
      <c r="BB38" s="5">
        <f>ROUND(7.54,2)</f>
        <v/>
      </c>
      <c r="BC38" s="3">
        <f>ROUND(1974.0,2)</f>
        <v/>
      </c>
      <c r="BD38" s="3">
        <f>ROUND(58.0,2)</f>
        <v/>
      </c>
      <c r="BE38" s="3">
        <f>ROUND(77.0,2)</f>
        <v/>
      </c>
      <c r="BF38" s="3">
        <f>ROUND(63.0,2)</f>
        <v/>
      </c>
      <c r="BG38" s="3">
        <f>ROUND(36.0,2)</f>
        <v/>
      </c>
      <c r="BH38" s="3">
        <f>ROUND(24.0,2)</f>
        <v/>
      </c>
      <c r="BI38" s="3">
        <f>ROUND(20.0,2)</f>
        <v/>
      </c>
      <c r="BJ38" s="4">
        <f>IFERROR((BD38/BC38),0)</f>
        <v/>
      </c>
      <c r="BK38" s="4">
        <f>IFERROR(((0+BB11+BB12+BB13+BB14+BB15+BB16+BB17+BB19+BB20+BB21+BB22+BB23+BB24+BB25+BB27+BB28+BB29+BB30+BB31+BB32+BB33+BB35+BB36+BB37+BB38)/T2),0)</f>
        <v/>
      </c>
      <c r="BL38" s="5">
        <f>IFERROR(ROUND(BB38/BD38,2),0)</f>
        <v/>
      </c>
      <c r="BM38" s="5">
        <f>IFERROR(ROUND(BB38/BE38,2),0)</f>
        <v/>
      </c>
      <c r="BN38" s="2" t="inlineStr">
        <is>
          <t>2023-10-14</t>
        </is>
      </c>
      <c r="BO38" s="5">
        <f>ROUND(28.730000000000004,2)</f>
        <v/>
      </c>
      <c r="BP38" s="3">
        <f>ROUND(7755.0,2)</f>
        <v/>
      </c>
      <c r="BQ38" s="3">
        <f>ROUND(221.0,2)</f>
        <v/>
      </c>
      <c r="BR38" s="3">
        <f>ROUND(818.0,2)</f>
        <v/>
      </c>
      <c r="BS38" s="3">
        <f>ROUND(672.0,2)</f>
        <v/>
      </c>
      <c r="BT38" s="3">
        <f>ROUND(210.0,2)</f>
        <v/>
      </c>
      <c r="BU38" s="3">
        <f>ROUND(144.0,2)</f>
        <v/>
      </c>
      <c r="BV38" s="3">
        <f>ROUND(98.0,2)</f>
        <v/>
      </c>
      <c r="BW38" s="4">
        <f>IFERROR((BQ38/BP38),0)</f>
        <v/>
      </c>
      <c r="BX38" s="4">
        <f>IFERROR(((0+BO11+BO12+BO13+BO14+BO15+BO16+BO17+BO19+BO20+BO21+BO22+BO23+BO24+BO25+BO27+BO28+BO29+BO30+BO31+BO32+BO33+BO35+BO36+BO37+BO38)/T2),0)</f>
        <v/>
      </c>
      <c r="BY38" s="5">
        <f>IFERROR(ROUND(BO38/BQ38,2),0)</f>
        <v/>
      </c>
      <c r="BZ38" s="5">
        <f>IFERROR(ROUND(BO38/BR38,2),0)</f>
        <v/>
      </c>
      <c r="CA38" s="2" t="inlineStr">
        <is>
          <t>2023-10-14</t>
        </is>
      </c>
      <c r="CB38" s="5">
        <f>ROUND(19.630000000000003,2)</f>
        <v/>
      </c>
      <c r="CC38" s="3">
        <f>ROUND(5456.0,2)</f>
        <v/>
      </c>
      <c r="CD38" s="3">
        <f>ROUND(151.0,2)</f>
        <v/>
      </c>
      <c r="CE38" s="3">
        <f>ROUND(604.0,2)</f>
        <v/>
      </c>
      <c r="CF38" s="3">
        <f>ROUND(529.0,2)</f>
        <v/>
      </c>
      <c r="CG38" s="3">
        <f>ROUND(174.0,2)</f>
        <v/>
      </c>
      <c r="CH38" s="3">
        <f>ROUND(103.0,2)</f>
        <v/>
      </c>
      <c r="CI38" s="3">
        <f>ROUND(64.0,2)</f>
        <v/>
      </c>
      <c r="CJ38" s="4">
        <f>IFERROR((CD38/CC38),0)</f>
        <v/>
      </c>
      <c r="CK38" s="4">
        <f>IFERROR(((0+CB11+CB12+CB13+CB14+CB15+CB16+CB17+CB19+CB20+CB21+CB22+CB23+CB24+CB25+CB27+CB28+CB29+CB30+CB31+CB32+CB33+CB35+CB36+CB37+CB38)/T2),0)</f>
        <v/>
      </c>
      <c r="CL38" s="5">
        <f>IFERROR(ROUND(CB38/CD38,2),0)</f>
        <v/>
      </c>
      <c r="CM38" s="5">
        <f>IFERROR(ROUND(CB38/CE38,2),0)</f>
        <v/>
      </c>
      <c r="CN38" s="2" t="inlineStr">
        <is>
          <t>2023-10-14</t>
        </is>
      </c>
      <c r="CO38" s="5">
        <f>ROUND(1.9500000000000002,2)</f>
        <v/>
      </c>
      <c r="CP38" s="3">
        <f>ROUND(861.0,2)</f>
        <v/>
      </c>
      <c r="CQ38" s="3">
        <f>ROUND(15.0,2)</f>
        <v/>
      </c>
      <c r="CR38" s="3">
        <f>ROUND(38.0,2)</f>
        <v/>
      </c>
      <c r="CS38" s="3">
        <f>ROUND(31.0,2)</f>
        <v/>
      </c>
      <c r="CT38" s="3">
        <f>ROUND(17.0,2)</f>
        <v/>
      </c>
      <c r="CU38" s="3">
        <f>ROUND(12.0,2)</f>
        <v/>
      </c>
      <c r="CV38" s="3">
        <f>ROUND(10.0,2)</f>
        <v/>
      </c>
      <c r="CW38" s="4">
        <f>IFERROR((CQ38/CP38),0)</f>
        <v/>
      </c>
      <c r="CX38" s="4">
        <f>IFERROR(((0+CO11+CO12+CO13+CO14+CO15+CO16+CO17+CO19+CO20+CO21+CO22+CO23+CO24+CO25+CO27+CO28+CO29+CO30+CO31+CO32+CO33+CO35+CO36+CO37+CO38)/T2),0)</f>
        <v/>
      </c>
      <c r="CY38" s="5">
        <f>IFERROR(ROUND(CO38/CQ38,2),0)</f>
        <v/>
      </c>
      <c r="CZ38" s="5">
        <f>IFERROR(ROUND(CO38/CR38,2),0)</f>
        <v/>
      </c>
      <c r="DA38" s="2" t="inlineStr">
        <is>
          <t>2023-10-14</t>
        </is>
      </c>
      <c r="DB38" s="5">
        <f>ROUND(2.34,2)</f>
        <v/>
      </c>
      <c r="DC38" s="3">
        <f>ROUND(809.0,2)</f>
        <v/>
      </c>
      <c r="DD38" s="3">
        <f>ROUND(18.0,2)</f>
        <v/>
      </c>
      <c r="DE38" s="3">
        <f>ROUND(70.0,2)</f>
        <v/>
      </c>
      <c r="DF38" s="3">
        <f>ROUND(60.0,2)</f>
        <v/>
      </c>
      <c r="DG38" s="3">
        <f>ROUND(33.0,2)</f>
        <v/>
      </c>
      <c r="DH38" s="3">
        <f>ROUND(27.0,2)</f>
        <v/>
      </c>
      <c r="DI38" s="3">
        <f>ROUND(22.0,2)</f>
        <v/>
      </c>
      <c r="DJ38" s="4">
        <f>IFERROR((DD38/DC38),0)</f>
        <v/>
      </c>
      <c r="DK38" s="4">
        <f>IFERROR(((0+DB11+DB12+DB13+DB14+DB15+DB16+DB17+DB19+DB20+DB21+DB22+DB23+DB24+DB25+DB27+DB28+DB29+DB30+DB31+DB32+DB33+DB35+DB36+DB37+DB38)/T2),0)</f>
        <v/>
      </c>
      <c r="DL38" s="5">
        <f>IFERROR(ROUND(DB38/DD38,2),0)</f>
        <v/>
      </c>
      <c r="DM38" s="5">
        <f>IFERROR(ROUND(DB38/DE38,2),0)</f>
        <v/>
      </c>
      <c r="DN38" s="2" t="inlineStr">
        <is>
          <t>2023-10-14</t>
        </is>
      </c>
      <c r="DO38" s="5">
        <f>ROUND(1.04,2)</f>
        <v/>
      </c>
      <c r="DP38" s="3">
        <f>ROUND(715.0,2)</f>
        <v/>
      </c>
      <c r="DQ38" s="3">
        <f>ROUND(8.0,2)</f>
        <v/>
      </c>
      <c r="DR38" s="3">
        <f>ROUND(100.0,2)</f>
        <v/>
      </c>
      <c r="DS38" s="3">
        <f>ROUND(90.0,2)</f>
        <v/>
      </c>
      <c r="DT38" s="3">
        <f>ROUND(54.0,2)</f>
        <v/>
      </c>
      <c r="DU38" s="3">
        <f>ROUND(43.0,2)</f>
        <v/>
      </c>
      <c r="DV38" s="3">
        <f>ROUND(34.0,2)</f>
        <v/>
      </c>
      <c r="DW38" s="4">
        <f>IFERROR((DQ38/DP38),0)</f>
        <v/>
      </c>
      <c r="DX38" s="4">
        <f>IFERROR(((0+DO11+DO12+DO13+DO14+DO15+DO16+DO17+DO19+DO20+DO21+DO22+DO23+DO24+DO25+DO27+DO28+DO29+DO30+DO31+DO32+DO33+DO35+DO36+DO37+DO38)/T2),0)</f>
        <v/>
      </c>
      <c r="DY38" s="5">
        <f>IFERROR(ROUND(DO38/DQ38,2),0)</f>
        <v/>
      </c>
      <c r="DZ38" s="5">
        <f>IFERROR(ROUND(DO38/DR38,2),0)</f>
        <v/>
      </c>
      <c r="EA38" s="2" t="inlineStr">
        <is>
          <t>2023-10-14</t>
        </is>
      </c>
      <c r="EB38" s="5">
        <f>ROUND(3.77,2)</f>
        <v/>
      </c>
      <c r="EC38" s="3">
        <f>ROUND(965.0,2)</f>
        <v/>
      </c>
      <c r="ED38" s="3">
        <f>ROUND(29.0,2)</f>
        <v/>
      </c>
      <c r="EE38" s="3">
        <f>ROUND(49.0,2)</f>
        <v/>
      </c>
      <c r="EF38" s="3">
        <f>ROUND(35.0,2)</f>
        <v/>
      </c>
      <c r="EG38" s="3">
        <f>ROUND(18.0,2)</f>
        <v/>
      </c>
      <c r="EH38" s="3">
        <f>ROUND(12.0,2)</f>
        <v/>
      </c>
      <c r="EI38" s="3">
        <f>ROUND(9.0,2)</f>
        <v/>
      </c>
      <c r="EJ38" s="4">
        <f>IFERROR((ED38/EC38),0)</f>
        <v/>
      </c>
      <c r="EK38" s="4">
        <f>IFERROR(((0+EB11+EB12+EB13+EB14+EB15+EB16+EB17+EB19+EB20+EB21+EB22+EB23+EB24+EB25+EB27+EB28+EB29+EB30+EB31+EB32+EB33+EB35+EB36+EB37+EB38)/T2),0)</f>
        <v/>
      </c>
      <c r="EL38" s="5">
        <f>IFERROR(ROUND(EB38/ED38,2),0)</f>
        <v/>
      </c>
      <c r="EM38" s="5">
        <f>IFERROR(ROUND(EB38/EE38,2),0)</f>
        <v/>
      </c>
      <c r="EN38" s="2" t="inlineStr">
        <is>
          <t>2023-10-14</t>
        </is>
      </c>
      <c r="EO38" s="5">
        <f>ROUND(5.98,2)</f>
        <v/>
      </c>
      <c r="EP38" s="3">
        <f>ROUND(1336.0,2)</f>
        <v/>
      </c>
      <c r="EQ38" s="3">
        <f>ROUND(46.0,2)</f>
        <v/>
      </c>
      <c r="ER38" s="3">
        <f>ROUND(146.0,2)</f>
        <v/>
      </c>
      <c r="ES38" s="3">
        <f>ROUND(97.0,2)</f>
        <v/>
      </c>
      <c r="ET38" s="3">
        <f>ROUND(37.0,2)</f>
        <v/>
      </c>
      <c r="EU38" s="3">
        <f>ROUND(26.0,2)</f>
        <v/>
      </c>
      <c r="EV38" s="3">
        <f>ROUND(20.0,2)</f>
        <v/>
      </c>
      <c r="EW38" s="4">
        <f>IFERROR((EQ38/EP38),0)</f>
        <v/>
      </c>
      <c r="EX38" s="4">
        <f>IFERROR(((0+EO11+EO12+EO13+EO14+EO15+EO16+EO17+EO19+EO20+EO21+EO22+EO23+EO24+EO25+EO27+EO28+EO29+EO30+EO31+EO32+EO33+EO35+EO36+EO37+EO38)/T2),0)</f>
        <v/>
      </c>
      <c r="EY38" s="5">
        <f>IFERROR(ROUND(EO38/EQ38,2),0)</f>
        <v/>
      </c>
      <c r="EZ38" s="5">
        <f>IFERROR(ROUND(EO38/ER38,2),0)</f>
        <v/>
      </c>
      <c r="FA38" s="2" t="inlineStr">
        <is>
          <t>2023-10-14</t>
        </is>
      </c>
      <c r="FB38" s="5">
        <f>ROUND(6.109999999999999,2)</f>
        <v/>
      </c>
      <c r="FC38" s="3">
        <f>ROUND(1386.0,2)</f>
        <v/>
      </c>
      <c r="FD38" s="3">
        <f>ROUND(47.0,2)</f>
        <v/>
      </c>
      <c r="FE38" s="3">
        <f>ROUND(89.0,2)</f>
        <v/>
      </c>
      <c r="FF38" s="3">
        <f>ROUND(77.0,2)</f>
        <v/>
      </c>
      <c r="FG38" s="3">
        <f>ROUND(35.0,2)</f>
        <v/>
      </c>
      <c r="FH38" s="3">
        <f>ROUND(23.0,2)</f>
        <v/>
      </c>
      <c r="FI38" s="3">
        <f>ROUND(16.0,2)</f>
        <v/>
      </c>
      <c r="FJ38" s="4">
        <f>IFERROR((FD38/FC38),0)</f>
        <v/>
      </c>
      <c r="FK38" s="4">
        <f>IFERROR(((0+FB11+FB12+FB13+FB14+FB15+FB16+FB17+FB19+FB20+FB21+FB22+FB23+FB24+FB25+FB27+FB28+FB29+FB30+FB31+FB32+FB33+FB35+FB36+FB37+FB38)/T2),0)</f>
        <v/>
      </c>
      <c r="FL38" s="5">
        <f>IFERROR(ROUND(FB38/FD38,2),0)</f>
        <v/>
      </c>
      <c r="FM38" s="5">
        <f>IFERROR(ROUND(FB38/FE38,2),0)</f>
        <v/>
      </c>
      <c r="FN38" s="2" t="inlineStr">
        <is>
          <t>2023-10-14</t>
        </is>
      </c>
      <c r="FO38" s="5">
        <f>ROUND(1.9500000000000002,2)</f>
        <v/>
      </c>
      <c r="FP38" s="3">
        <f>ROUND(638.0,2)</f>
        <v/>
      </c>
      <c r="FQ38" s="3">
        <f>ROUND(15.0,2)</f>
        <v/>
      </c>
      <c r="FR38" s="3">
        <f>ROUND(56.0,2)</f>
        <v/>
      </c>
      <c r="FS38" s="3">
        <f>ROUND(51.0,2)</f>
        <v/>
      </c>
      <c r="FT38" s="3">
        <f>ROUND(32.0,2)</f>
        <v/>
      </c>
      <c r="FU38" s="3">
        <f>ROUND(26.0,2)</f>
        <v/>
      </c>
      <c r="FV38" s="3">
        <f>ROUND(21.0,2)</f>
        <v/>
      </c>
      <c r="FW38" s="4">
        <f>IFERROR((FQ38/FP38),0)</f>
        <v/>
      </c>
      <c r="FX38" s="4">
        <f>IFERROR(((0+FO11+FO12+FO13+FO14+FO15+FO16+FO17+FO19+FO20+FO21+FO22+FO23+FO24+FO25+FO27+FO28+FO29+FO30+FO31+FO32+FO33+FO35+FO36+FO37+FO38)/T2),0)</f>
        <v/>
      </c>
      <c r="FY38" s="5">
        <f>IFERROR(ROUND(FO38/FQ38,2),0)</f>
        <v/>
      </c>
      <c r="FZ38" s="5">
        <f>IFERROR(ROUND(FO38/FR38,2),0)</f>
        <v/>
      </c>
      <c r="GA38" s="2" t="inlineStr">
        <is>
          <t>2023-10-14</t>
        </is>
      </c>
      <c r="GB38" s="5">
        <f>ROUND(15.21,2)</f>
        <v/>
      </c>
      <c r="GC38" s="3">
        <f>ROUND(3136.0,2)</f>
        <v/>
      </c>
      <c r="GD38" s="3">
        <f>ROUND(117.0,2)</f>
        <v/>
      </c>
      <c r="GE38" s="3">
        <f>ROUND(419.0,2)</f>
        <v/>
      </c>
      <c r="GF38" s="3">
        <f>ROUND(359.0,2)</f>
        <v/>
      </c>
      <c r="GG38" s="3">
        <f>ROUND(134.0,2)</f>
        <v/>
      </c>
      <c r="GH38" s="3">
        <f>ROUND(79.0,2)</f>
        <v/>
      </c>
      <c r="GI38" s="3">
        <f>ROUND(53.0,2)</f>
        <v/>
      </c>
      <c r="GJ38" s="4">
        <f>IFERROR((GD38/GC38),0)</f>
        <v/>
      </c>
      <c r="GK38" s="4">
        <f>IFERROR(((0+GB11+GB12+GB13+GB14+GB15+GB16+GB17+GB19+GB20+GB21+GB22+GB23+GB24+GB25+GB27+GB28+GB29+GB30+GB31+GB32+GB33+GB35+GB36+GB37+GB38)/T2),0)</f>
        <v/>
      </c>
      <c r="GL38" s="5">
        <f>IFERROR(ROUND(GB38/GD38,2),0)</f>
        <v/>
      </c>
      <c r="GM38" s="5">
        <f>IFERROR(ROUND(GB38/GE38,2),0)</f>
        <v/>
      </c>
      <c r="GN38" s="2" t="inlineStr">
        <is>
          <t>2023-10-14</t>
        </is>
      </c>
      <c r="GO38" s="5">
        <f>ROUND(1.17,2)</f>
        <v/>
      </c>
      <c r="GP38" s="3">
        <f>ROUND(409.0,2)</f>
        <v/>
      </c>
      <c r="GQ38" s="3">
        <f>ROUND(9.0,2)</f>
        <v/>
      </c>
      <c r="GR38" s="3">
        <f>ROUND(32.0,2)</f>
        <v/>
      </c>
      <c r="GS38" s="3">
        <f>ROUND(29.0,2)</f>
        <v/>
      </c>
      <c r="GT38" s="3">
        <f>ROUND(19.0,2)</f>
        <v/>
      </c>
      <c r="GU38" s="3">
        <f>ROUND(15.0,2)</f>
        <v/>
      </c>
      <c r="GV38" s="3">
        <f>ROUND(10.0,2)</f>
        <v/>
      </c>
      <c r="GW38" s="4">
        <f>IFERROR((GQ38/GP38),0)</f>
        <v/>
      </c>
      <c r="GX38" s="4">
        <f>IFERROR(((0+GO11+GO12+GO13+GO14+GO15+GO16+GO17+GO19+GO20+GO21+GO22+GO23+GO24+GO25+GO27+GO28+GO29+GO30+GO31+GO32+GO33+GO35+GO36+GO37+GO38)/T2),0)</f>
        <v/>
      </c>
      <c r="GY38" s="5">
        <f>IFERROR(ROUND(GO38/GQ38,2),0)</f>
        <v/>
      </c>
      <c r="GZ38" s="5">
        <f>IFERROR(ROUND(GO38/GR38,2),0)</f>
        <v/>
      </c>
      <c r="HA38" s="2" t="inlineStr">
        <is>
          <t>2023-10-14</t>
        </is>
      </c>
      <c r="HB38" s="5">
        <f>ROUND(2.08,2)</f>
        <v/>
      </c>
      <c r="HC38" s="3">
        <f>ROUND(1199.0,2)</f>
        <v/>
      </c>
      <c r="HD38" s="3">
        <f>ROUND(16.0,2)</f>
        <v/>
      </c>
      <c r="HE38" s="3">
        <f>ROUND(92.0,2)</f>
        <v/>
      </c>
      <c r="HF38" s="3">
        <f>ROUND(61.0,2)</f>
        <v/>
      </c>
      <c r="HG38" s="3">
        <f>ROUND(32.0,2)</f>
        <v/>
      </c>
      <c r="HH38" s="3">
        <f>ROUND(27.0,2)</f>
        <v/>
      </c>
      <c r="HI38" s="3">
        <f>ROUND(22.0,2)</f>
        <v/>
      </c>
      <c r="HJ38" s="4">
        <f>IFERROR((HD38/HC38),0)</f>
        <v/>
      </c>
      <c r="HK38" s="4">
        <f>IFERROR(((0+HB11+HB12+HB13+HB14+HB15+HB16+HB17+HB19+HB20+HB21+HB22+HB23+HB24+HB25+HB27+HB28+HB29+HB30+HB31+HB32+HB33+HB35+HB36+HB37+HB38)/T2),0)</f>
        <v/>
      </c>
      <c r="HL38" s="5">
        <f>IFERROR(ROUND(HB38/HD38,2),0)</f>
        <v/>
      </c>
      <c r="HM38" s="5">
        <f>IFERROR(ROUND(HB38/HE38,2),0)</f>
        <v/>
      </c>
      <c r="HN38" s="2" t="inlineStr">
        <is>
          <t>2023-10-14</t>
        </is>
      </c>
      <c r="HO38" s="5">
        <f>ROUND(0.52,2)</f>
        <v/>
      </c>
      <c r="HP38" s="3">
        <f>ROUND(226.0,2)</f>
        <v/>
      </c>
      <c r="HQ38" s="3">
        <f>ROUND(4.0,2)</f>
        <v/>
      </c>
      <c r="HR38" s="3">
        <f>ROUND(24.0,2)</f>
        <v/>
      </c>
      <c r="HS38" s="3">
        <f>ROUND(21.0,2)</f>
        <v/>
      </c>
      <c r="HT38" s="3">
        <f>ROUND(15.0,2)</f>
        <v/>
      </c>
      <c r="HU38" s="3">
        <f>ROUND(11.0,2)</f>
        <v/>
      </c>
      <c r="HV38" s="3">
        <f>ROUND(9.0,2)</f>
        <v/>
      </c>
      <c r="HW38" s="4">
        <f>IFERROR((HQ38/HP38),0)</f>
        <v/>
      </c>
      <c r="HX38" s="4">
        <f>IFERROR(((0+HO11+HO12+HO13+HO14+HO15+HO16+HO17+HO19+HO20+HO21+HO22+HO23+HO24+HO25+HO27+HO28+HO29+HO30+HO31+HO32+HO33+HO35+HO36+HO37+HO38)/T2),0)</f>
        <v/>
      </c>
      <c r="HY38" s="5">
        <f>IFERROR(ROUND(HO38/HQ38,2),0)</f>
        <v/>
      </c>
      <c r="HZ38" s="5">
        <f>IFERROR(ROUND(HO38/HR38,2),0)</f>
        <v/>
      </c>
      <c r="IA38" s="2" t="inlineStr">
        <is>
          <t>2023-10-14</t>
        </is>
      </c>
      <c r="IB38" s="5">
        <f>ROUND(2.34,2)</f>
        <v/>
      </c>
      <c r="IC38" s="3">
        <f>ROUND(666.0,2)</f>
        <v/>
      </c>
      <c r="ID38" s="3">
        <f>ROUND(18.0,2)</f>
        <v/>
      </c>
      <c r="IE38" s="3">
        <f>ROUND(34.0,2)</f>
        <v/>
      </c>
      <c r="IF38" s="3">
        <f>ROUND(24.0,2)</f>
        <v/>
      </c>
      <c r="IG38" s="3">
        <f>ROUND(13.0,2)</f>
        <v/>
      </c>
      <c r="IH38" s="3">
        <f>ROUND(11.0,2)</f>
        <v/>
      </c>
      <c r="II38" s="3">
        <f>ROUND(8.0,2)</f>
        <v/>
      </c>
      <c r="IJ38" s="4">
        <f>IFERROR((ID38/IC38),0)</f>
        <v/>
      </c>
      <c r="IK38" s="4">
        <f>IFERROR(((0+IB11+IB12+IB13+IB14+IB15+IB16+IB17+IB19+IB20+IB21+IB22+IB23+IB24+IB25+IB27+IB28+IB29+IB30+IB31+IB32+IB33+IB35+IB36+IB37+IB38)/T2),0)</f>
        <v/>
      </c>
      <c r="IL38" s="5">
        <f>IFERROR(ROUND(IB38/ID38,2),0)</f>
        <v/>
      </c>
      <c r="IM38" s="5">
        <f>IFERROR(ROUND(IB38/IE38,2),0)</f>
        <v/>
      </c>
      <c r="IN38" s="2" t="inlineStr">
        <is>
          <t>2023-10-14</t>
        </is>
      </c>
      <c r="IO38" s="5">
        <f>ROUND(3.25,2)</f>
        <v/>
      </c>
      <c r="IP38" s="3">
        <f>ROUND(1036.0,2)</f>
        <v/>
      </c>
      <c r="IQ38" s="3">
        <f>ROUND(25.0,2)</f>
        <v/>
      </c>
      <c r="IR38" s="3">
        <f>ROUND(49.0,2)</f>
        <v/>
      </c>
      <c r="IS38" s="3">
        <f>ROUND(31.0,2)</f>
        <v/>
      </c>
      <c r="IT38" s="3">
        <f>ROUND(20.0,2)</f>
        <v/>
      </c>
      <c r="IU38" s="3">
        <f>ROUND(17.0,2)</f>
        <v/>
      </c>
      <c r="IV38" s="3">
        <f>ROUND(14.0,2)</f>
        <v/>
      </c>
      <c r="IW38" s="4">
        <f>IFERROR((IQ38/IP38),0)</f>
        <v/>
      </c>
      <c r="IX38" s="4">
        <f>IFERROR(((0+IO11+IO12+IO13+IO14+IO15+IO16+IO17+IO19+IO20+IO21+IO22+IO23+IO24+IO25+IO27+IO28+IO29+IO30+IO31+IO32+IO33+IO35+IO36+IO37+IO38)/T2),0)</f>
        <v/>
      </c>
      <c r="IY38" s="5">
        <f>IFERROR(ROUND(IO38/IQ38,2),0)</f>
        <v/>
      </c>
      <c r="IZ38" s="5">
        <f>IFERROR(ROUND(IO38/IR38,2),0)</f>
        <v/>
      </c>
      <c r="JA38" s="2" t="inlineStr">
        <is>
          <t>2023-10-14</t>
        </is>
      </c>
      <c r="JB38" s="5">
        <f>ROUND(0.0,2)</f>
        <v/>
      </c>
      <c r="JC38" s="3">
        <f>ROUND(175.0,2)</f>
        <v/>
      </c>
      <c r="JD38" s="3">
        <f>ROUND(0.0,2)</f>
        <v/>
      </c>
      <c r="JE38" s="3">
        <f>ROUND(21.0,2)</f>
        <v/>
      </c>
      <c r="JF38" s="3">
        <f>ROUND(17.0,2)</f>
        <v/>
      </c>
      <c r="JG38" s="3">
        <f>ROUND(11.0,2)</f>
        <v/>
      </c>
      <c r="JH38" s="3">
        <f>ROUND(9.0,2)</f>
        <v/>
      </c>
      <c r="JI38" s="3">
        <f>ROUND(7.0,2)</f>
        <v/>
      </c>
      <c r="JJ38" s="4">
        <f>IFERROR((JD38/JC38),0)</f>
        <v/>
      </c>
      <c r="JK38" s="4">
        <f>IFERROR(((0+JB11+JB12+JB13+JB14+JB15+JB16+JB17+JB19+JB20+JB21+JB22+JB23+JB24+JB25+JB27+JB28+JB29+JB30+JB31+JB32+JB33+JB35+JB36+JB37+JB38)/T2),0)</f>
        <v/>
      </c>
      <c r="JL38" s="5">
        <f>IFERROR(ROUND(JB38/JD38,2),0)</f>
        <v/>
      </c>
      <c r="JM38" s="5">
        <f>IFERROR(ROUND(JB38/JE38,2),0)</f>
        <v/>
      </c>
    </row>
    <row r="39">
      <c r="A39" s="2" t="inlineStr">
        <is>
          <t>2023-10-15</t>
        </is>
      </c>
      <c r="B39" s="5">
        <f>ROUND(117.42,2)</f>
        <v/>
      </c>
      <c r="C39" s="3">
        <f>ROUND(18972.0,2)</f>
        <v/>
      </c>
      <c r="D39" s="3">
        <f>ROUND(618.0,2)</f>
        <v/>
      </c>
      <c r="E39" s="3">
        <f>ROUND(1189.0,2)</f>
        <v/>
      </c>
      <c r="F39" s="3">
        <f>ROUND(994.0,2)</f>
        <v/>
      </c>
      <c r="G39" s="3">
        <f>ROUND(376.0,2)</f>
        <v/>
      </c>
      <c r="H39" s="3">
        <f>ROUND(256.0,2)</f>
        <v/>
      </c>
      <c r="I39" s="3">
        <f>ROUND(179.0,2)</f>
        <v/>
      </c>
      <c r="J39" s="4">
        <f>IFERROR((D39/C39),0)</f>
        <v/>
      </c>
      <c r="K39" s="4">
        <f>IFERROR(((0+B11+B12+B13+B14+B15+B16+B17+B19+B20+B21+B22+B23+B24+B25+B27+B28+B29+B30+B31+B32+B33+B35+B36+B37+B38+B39)/T2),0)</f>
        <v/>
      </c>
      <c r="L39" s="5">
        <f>IFERROR(ROUND(B39/D39,2),0)</f>
        <v/>
      </c>
      <c r="M39" s="5">
        <f>IFERROR(ROUND(B39/E39,2),0)</f>
        <v/>
      </c>
      <c r="N39" s="2" t="inlineStr">
        <is>
          <t>2023-10-15</t>
        </is>
      </c>
      <c r="O39" s="5">
        <f>ROUND(3.23,2)</f>
        <v/>
      </c>
      <c r="P39" s="3">
        <f>ROUND(788.0,2)</f>
        <v/>
      </c>
      <c r="Q39" s="3">
        <f>ROUND(17.0,2)</f>
        <v/>
      </c>
      <c r="R39" s="3">
        <f>ROUND(30.0,2)</f>
        <v/>
      </c>
      <c r="S39" s="3">
        <f>ROUND(24.0,2)</f>
        <v/>
      </c>
      <c r="T39" s="3">
        <f>ROUND(11.0,2)</f>
        <v/>
      </c>
      <c r="U39" s="3">
        <f>ROUND(8.0,2)</f>
        <v/>
      </c>
      <c r="V39" s="3">
        <f>ROUND(7.0,2)</f>
        <v/>
      </c>
      <c r="W39" s="4">
        <f>IFERROR((Q39/P39),0)</f>
        <v/>
      </c>
      <c r="X39" s="4">
        <f>IFERROR(((0+O11+O12+O13+O14+O15+O16+O17+O19+O20+O21+O22+O23+O24+O25+O27+O28+O29+O30+O31+O32+O33+O35+O36+O37+O38+O39)/T2),0)</f>
        <v/>
      </c>
      <c r="Y39" s="5">
        <f>IFERROR(ROUND(O39/Q39,2),0)</f>
        <v/>
      </c>
      <c r="Z39" s="5">
        <f>IFERROR(ROUND(O39/R39,2),0)</f>
        <v/>
      </c>
      <c r="AA39" s="2" t="inlineStr">
        <is>
          <t>2023-10-15</t>
        </is>
      </c>
      <c r="AB39" s="5">
        <f>ROUND(2.66,2)</f>
        <v/>
      </c>
      <c r="AC39" s="3">
        <f>ROUND(773.0,2)</f>
        <v/>
      </c>
      <c r="AD39" s="3">
        <f>ROUND(14.0,2)</f>
        <v/>
      </c>
      <c r="AE39" s="3">
        <f>ROUND(27.0,2)</f>
        <v/>
      </c>
      <c r="AF39" s="3">
        <f>ROUND(23.0,2)</f>
        <v/>
      </c>
      <c r="AG39" s="3">
        <f>ROUND(11.0,2)</f>
        <v/>
      </c>
      <c r="AH39" s="3">
        <f>ROUND(7.0,2)</f>
        <v/>
      </c>
      <c r="AI39" s="3">
        <f>ROUND(5.0,2)</f>
        <v/>
      </c>
      <c r="AJ39" s="4">
        <f>IFERROR((AD39/AC39),0)</f>
        <v/>
      </c>
      <c r="AK39" s="4">
        <f>IFERROR(((0+AB11+AB12+AB13+AB14+AB15+AB16+AB17+AB19+AB20+AB21+AB22+AB23+AB24+AB25+AB27+AB28+AB29+AB30+AB31+AB32+AB33+AB35+AB36+AB37+AB38+AB39)/T2),0)</f>
        <v/>
      </c>
      <c r="AL39" s="5">
        <f>IFERROR(ROUND(AB39/AD39,2),0)</f>
        <v/>
      </c>
      <c r="AM39" s="5">
        <f>IFERROR(ROUND(AB39/AE39,2),0)</f>
        <v/>
      </c>
      <c r="AN39" s="2" t="inlineStr">
        <is>
          <t>2023-10-15</t>
        </is>
      </c>
      <c r="AO39" s="5">
        <f>ROUND(1.9,2)</f>
        <v/>
      </c>
      <c r="AP39" s="3">
        <f>ROUND(250.0,2)</f>
        <v/>
      </c>
      <c r="AQ39" s="3">
        <f>ROUND(10.0,2)</f>
        <v/>
      </c>
      <c r="AR39" s="3">
        <f>ROUND(12.0,2)</f>
        <v/>
      </c>
      <c r="AS39" s="3">
        <f>ROUND(8.0,2)</f>
        <v/>
      </c>
      <c r="AT39" s="3">
        <f>ROUND(8.0,2)</f>
        <v/>
      </c>
      <c r="AU39" s="3">
        <f>ROUND(6.0,2)</f>
        <v/>
      </c>
      <c r="AV39" s="3">
        <f>ROUND(6.0,2)</f>
        <v/>
      </c>
      <c r="AW39" s="4">
        <f>IFERROR((AQ39/AP39),0)</f>
        <v/>
      </c>
      <c r="AX39" s="4">
        <f>IFERROR(((0+AO11+AO12+AO13+AO14+AO15+AO16+AO17+AO19+AO20+AO21+AO22+AO23+AO24+AO25+AO27+AO28+AO29+AO30+AO31+AO32+AO33+AO35+AO36+AO37+AO38+AO39)/T2),0)</f>
        <v/>
      </c>
      <c r="AY39" s="5">
        <f>IFERROR(ROUND(AO39/AQ39,2),0)</f>
        <v/>
      </c>
      <c r="AZ39" s="5">
        <f>IFERROR(ROUND(AO39/AR39,2),0)</f>
        <v/>
      </c>
      <c r="BA39" s="2" t="inlineStr">
        <is>
          <t>2023-10-15</t>
        </is>
      </c>
      <c r="BB39" s="5">
        <f>ROUND(12.729999999999999,2)</f>
        <v/>
      </c>
      <c r="BC39" s="3">
        <f>ROUND(1932.0,2)</f>
        <v/>
      </c>
      <c r="BD39" s="3">
        <f>ROUND(67.0,2)</f>
        <v/>
      </c>
      <c r="BE39" s="3">
        <f>ROUND(20.0,2)</f>
        <v/>
      </c>
      <c r="BF39" s="3">
        <f>ROUND(16.0,2)</f>
        <v/>
      </c>
      <c r="BG39" s="3">
        <f>ROUND(9.0,2)</f>
        <v/>
      </c>
      <c r="BH39" s="3">
        <f>ROUND(7.0,2)</f>
        <v/>
      </c>
      <c r="BI39" s="3">
        <f>ROUND(5.0,2)</f>
        <v/>
      </c>
      <c r="BJ39" s="4">
        <f>IFERROR((BD39/BC39),0)</f>
        <v/>
      </c>
      <c r="BK39" s="4">
        <f>IFERROR(((0+BB11+BB12+BB13+BB14+BB15+BB16+BB17+BB19+BB20+BB21+BB22+BB23+BB24+BB25+BB27+BB28+BB29+BB30+BB31+BB32+BB33+BB35+BB36+BB37+BB38+BB39)/T2),0)</f>
        <v/>
      </c>
      <c r="BL39" s="5">
        <f>IFERROR(ROUND(BB39/BD39,2),0)</f>
        <v/>
      </c>
      <c r="BM39" s="5">
        <f>IFERROR(ROUND(BB39/BE39,2),0)</f>
        <v/>
      </c>
      <c r="BN39" s="2" t="inlineStr">
        <is>
          <t>2023-10-15</t>
        </is>
      </c>
      <c r="BO39" s="5">
        <f>ROUND(37.24,2)</f>
        <v/>
      </c>
      <c r="BP39" s="3">
        <f>ROUND(5245.0,2)</f>
        <v/>
      </c>
      <c r="BQ39" s="3">
        <f>ROUND(196.0,2)</f>
        <v/>
      </c>
      <c r="BR39" s="3">
        <f>ROUND(444.0,2)</f>
        <v/>
      </c>
      <c r="BS39" s="3">
        <f>ROUND(363.0,2)</f>
        <v/>
      </c>
      <c r="BT39" s="3">
        <f>ROUND(115.0,2)</f>
        <v/>
      </c>
      <c r="BU39" s="3">
        <f>ROUND(77.0,2)</f>
        <v/>
      </c>
      <c r="BV39" s="3">
        <f>ROUND(48.0,2)</f>
        <v/>
      </c>
      <c r="BW39" s="4">
        <f>IFERROR((BQ39/BP39),0)</f>
        <v/>
      </c>
      <c r="BX39" s="4">
        <f>IFERROR(((0+BO11+BO12+BO13+BO14+BO15+BO16+BO17+BO19+BO20+BO21+BO22+BO23+BO24+BO25+BO27+BO28+BO29+BO30+BO31+BO32+BO33+BO35+BO36+BO37+BO38+BO39)/T2),0)</f>
        <v/>
      </c>
      <c r="BY39" s="5">
        <f>IFERROR(ROUND(BO39/BQ39,2),0)</f>
        <v/>
      </c>
      <c r="BZ39" s="5">
        <f>IFERROR(ROUND(BO39/BR39,2),0)</f>
        <v/>
      </c>
      <c r="CA39" s="2" t="inlineStr">
        <is>
          <t>2023-10-15</t>
        </is>
      </c>
      <c r="CB39" s="5">
        <f>ROUND(9.69,2)</f>
        <v/>
      </c>
      <c r="CC39" s="3">
        <f>ROUND(1657.0,2)</f>
        <v/>
      </c>
      <c r="CD39" s="3">
        <f>ROUND(51.0,2)</f>
        <v/>
      </c>
      <c r="CE39" s="3">
        <f>ROUND(74.0,2)</f>
        <v/>
      </c>
      <c r="CF39" s="3">
        <f>ROUND(67.0,2)</f>
        <v/>
      </c>
      <c r="CG39" s="3">
        <f>ROUND(24.0,2)</f>
        <v/>
      </c>
      <c r="CH39" s="3">
        <f>ROUND(15.0,2)</f>
        <v/>
      </c>
      <c r="CI39" s="3">
        <f>ROUND(10.0,2)</f>
        <v/>
      </c>
      <c r="CJ39" s="4">
        <f>IFERROR((CD39/CC39),0)</f>
        <v/>
      </c>
      <c r="CK39" s="4">
        <f>IFERROR(((0+CB11+CB12+CB13+CB14+CB15+CB16+CB17+CB19+CB20+CB21+CB22+CB23+CB24+CB25+CB27+CB28+CB29+CB30+CB31+CB32+CB33+CB35+CB36+CB37+CB38+CB39)/T2),0)</f>
        <v/>
      </c>
      <c r="CL39" s="5">
        <f>IFERROR(ROUND(CB39/CD39,2),0)</f>
        <v/>
      </c>
      <c r="CM39" s="5">
        <f>IFERROR(ROUND(CB39/CE39,2),0)</f>
        <v/>
      </c>
      <c r="CN39" s="2" t="inlineStr">
        <is>
          <t>2023-10-15</t>
        </is>
      </c>
      <c r="CO39" s="5">
        <f>ROUND(10.83,2)</f>
        <v/>
      </c>
      <c r="CP39" s="3">
        <f>ROUND(1593.0,2)</f>
        <v/>
      </c>
      <c r="CQ39" s="3">
        <f>ROUND(57.0,2)</f>
        <v/>
      </c>
      <c r="CR39" s="3">
        <f>ROUND(15.0,2)</f>
        <v/>
      </c>
      <c r="CS39" s="3">
        <f>ROUND(12.0,2)</f>
        <v/>
      </c>
      <c r="CT39" s="3">
        <f>ROUND(6.0,2)</f>
        <v/>
      </c>
      <c r="CU39" s="3">
        <f>ROUND(6.0,2)</f>
        <v/>
      </c>
      <c r="CV39" s="3">
        <f>ROUND(6.0,2)</f>
        <v/>
      </c>
      <c r="CW39" s="4">
        <f>IFERROR((CQ39/CP39),0)</f>
        <v/>
      </c>
      <c r="CX39" s="4">
        <f>IFERROR(((0+CO11+CO12+CO13+CO14+CO15+CO16+CO17+CO19+CO20+CO21+CO22+CO23+CO24+CO25+CO27+CO28+CO29+CO30+CO31+CO32+CO33+CO35+CO36+CO37+CO38+CO39)/T2),0)</f>
        <v/>
      </c>
      <c r="CY39" s="5">
        <f>IFERROR(ROUND(CO39/CQ39,2),0)</f>
        <v/>
      </c>
      <c r="CZ39" s="5">
        <f>IFERROR(ROUND(CO39/CR39,2),0)</f>
        <v/>
      </c>
      <c r="DA39" s="2" t="inlineStr">
        <is>
          <t>2023-10-15</t>
        </is>
      </c>
      <c r="DB39" s="5">
        <f>ROUND(2.0900000000000003,2)</f>
        <v/>
      </c>
      <c r="DC39" s="3">
        <f>ROUND(543.0,2)</f>
        <v/>
      </c>
      <c r="DD39" s="3">
        <f>ROUND(11.0,2)</f>
        <v/>
      </c>
      <c r="DE39" s="3">
        <f>ROUND(11.0,2)</f>
        <v/>
      </c>
      <c r="DF39" s="3">
        <f>ROUND(10.0,2)</f>
        <v/>
      </c>
      <c r="DG39" s="3">
        <f>ROUND(4.0,2)</f>
        <v/>
      </c>
      <c r="DH39" s="3">
        <f>ROUND(4.0,2)</f>
        <v/>
      </c>
      <c r="DI39" s="3">
        <f>ROUND(3.0,2)</f>
        <v/>
      </c>
      <c r="DJ39" s="4">
        <f>IFERROR((DD39/DC39),0)</f>
        <v/>
      </c>
      <c r="DK39" s="4">
        <f>IFERROR(((0+DB11+DB12+DB13+DB14+DB15+DB16+DB17+DB19+DB20+DB21+DB22+DB23+DB24+DB25+DB27+DB28+DB29+DB30+DB31+DB32+DB33+DB35+DB36+DB37+DB38+DB39)/T2),0)</f>
        <v/>
      </c>
      <c r="DL39" s="5">
        <f>IFERROR(ROUND(DB39/DD39,2),0)</f>
        <v/>
      </c>
      <c r="DM39" s="5">
        <f>IFERROR(ROUND(DB39/DE39,2),0)</f>
        <v/>
      </c>
      <c r="DN39" s="2" t="inlineStr">
        <is>
          <t>2023-10-15</t>
        </is>
      </c>
      <c r="DO39" s="5">
        <f>ROUND(0.5700000000000001,2)</f>
        <v/>
      </c>
      <c r="DP39" s="3">
        <f>ROUND(204.0,2)</f>
        <v/>
      </c>
      <c r="DQ39" s="3">
        <f>ROUND(3.0,2)</f>
        <v/>
      </c>
      <c r="DR39" s="3">
        <f>ROUND(15.0,2)</f>
        <v/>
      </c>
      <c r="DS39" s="3">
        <f>ROUND(14.0,2)</f>
        <v/>
      </c>
      <c r="DT39" s="3">
        <f>ROUND(9.0,2)</f>
        <v/>
      </c>
      <c r="DU39" s="3">
        <f>ROUND(9.0,2)</f>
        <v/>
      </c>
      <c r="DV39" s="3">
        <f>ROUND(7.0,2)</f>
        <v/>
      </c>
      <c r="DW39" s="4">
        <f>IFERROR((DQ39/DP39),0)</f>
        <v/>
      </c>
      <c r="DX39" s="4">
        <f>IFERROR(((0+DO11+DO12+DO13+DO14+DO15+DO16+DO17+DO19+DO20+DO21+DO22+DO23+DO24+DO25+DO27+DO28+DO29+DO30+DO31+DO32+DO33+DO35+DO36+DO37+DO38+DO39)/T2),0)</f>
        <v/>
      </c>
      <c r="DY39" s="5">
        <f>IFERROR(ROUND(DO39/DQ39,2),0)</f>
        <v/>
      </c>
      <c r="DZ39" s="5">
        <f>IFERROR(ROUND(DO39/DR39,2),0)</f>
        <v/>
      </c>
      <c r="EA39" s="2" t="inlineStr">
        <is>
          <t>2023-10-15</t>
        </is>
      </c>
      <c r="EB39" s="5">
        <f>ROUND(4.75,2)</f>
        <v/>
      </c>
      <c r="EC39" s="3">
        <f>ROUND(652.0,2)</f>
        <v/>
      </c>
      <c r="ED39" s="3">
        <f>ROUND(25.0,2)</f>
        <v/>
      </c>
      <c r="EE39" s="3">
        <f>ROUND(19.0,2)</f>
        <v/>
      </c>
      <c r="EF39" s="3">
        <f>ROUND(14.0,2)</f>
        <v/>
      </c>
      <c r="EG39" s="3">
        <f>ROUND(9.0,2)</f>
        <v/>
      </c>
      <c r="EH39" s="3">
        <f>ROUND(6.0,2)</f>
        <v/>
      </c>
      <c r="EI39" s="3">
        <f>ROUND(5.0,2)</f>
        <v/>
      </c>
      <c r="EJ39" s="4">
        <f>IFERROR((ED39/EC39),0)</f>
        <v/>
      </c>
      <c r="EK39" s="4">
        <f>IFERROR(((0+EB11+EB12+EB13+EB14+EB15+EB16+EB17+EB19+EB20+EB21+EB22+EB23+EB24+EB25+EB27+EB28+EB29+EB30+EB31+EB32+EB33+EB35+EB36+EB37+EB38+EB39)/T2),0)</f>
        <v/>
      </c>
      <c r="EL39" s="5">
        <f>IFERROR(ROUND(EB39/ED39,2),0)</f>
        <v/>
      </c>
      <c r="EM39" s="5">
        <f>IFERROR(ROUND(EB39/EE39,2),0)</f>
        <v/>
      </c>
      <c r="EN39" s="2" t="inlineStr">
        <is>
          <t>2023-10-15</t>
        </is>
      </c>
      <c r="EO39" s="5">
        <f>ROUND(3.04,2)</f>
        <v/>
      </c>
      <c r="EP39" s="3">
        <f>ROUND(534.0,2)</f>
        <v/>
      </c>
      <c r="EQ39" s="3">
        <f>ROUND(16.0,2)</f>
        <v/>
      </c>
      <c r="ER39" s="3">
        <f>ROUND(43.0,2)</f>
        <v/>
      </c>
      <c r="ES39" s="3">
        <f>ROUND(32.0,2)</f>
        <v/>
      </c>
      <c r="ET39" s="3">
        <f>ROUND(12.0,2)</f>
        <v/>
      </c>
      <c r="EU39" s="3">
        <f>ROUND(8.0,2)</f>
        <v/>
      </c>
      <c r="EV39" s="3">
        <f>ROUND(6.0,2)</f>
        <v/>
      </c>
      <c r="EW39" s="4">
        <f>IFERROR((EQ39/EP39),0)</f>
        <v/>
      </c>
      <c r="EX39" s="4">
        <f>IFERROR(((0+EO11+EO12+EO13+EO14+EO15+EO16+EO17+EO19+EO20+EO21+EO22+EO23+EO24+EO25+EO27+EO28+EO29+EO30+EO31+EO32+EO33+EO35+EO36+EO37+EO38+EO39)/T2),0)</f>
        <v/>
      </c>
      <c r="EY39" s="5">
        <f>IFERROR(ROUND(EO39/EQ39,2),0)</f>
        <v/>
      </c>
      <c r="EZ39" s="5">
        <f>IFERROR(ROUND(EO39/ER39,2),0)</f>
        <v/>
      </c>
      <c r="FA39" s="2" t="inlineStr">
        <is>
          <t>2023-10-15</t>
        </is>
      </c>
      <c r="FB39" s="5">
        <f>ROUND(11.969999999999999,2)</f>
        <v/>
      </c>
      <c r="FC39" s="3">
        <f>ROUND(1676.0,2)</f>
        <v/>
      </c>
      <c r="FD39" s="3">
        <f>ROUND(63.0,2)</f>
        <v/>
      </c>
      <c r="FE39" s="3">
        <f>ROUND(213.0,2)</f>
        <v/>
      </c>
      <c r="FF39" s="3">
        <f>ROUND(192.0,2)</f>
        <v/>
      </c>
      <c r="FG39" s="3">
        <f>ROUND(69.0,2)</f>
        <v/>
      </c>
      <c r="FH39" s="3">
        <f>ROUND(46.0,2)</f>
        <v/>
      </c>
      <c r="FI39" s="3">
        <f>ROUND(31.0,2)</f>
        <v/>
      </c>
      <c r="FJ39" s="4">
        <f>IFERROR((FD39/FC39),0)</f>
        <v/>
      </c>
      <c r="FK39" s="4">
        <f>IFERROR(((0+FB11+FB12+FB13+FB14+FB15+FB16+FB17+FB19+FB20+FB21+FB22+FB23+FB24+FB25+FB27+FB28+FB29+FB30+FB31+FB32+FB33+FB35+FB36+FB37+FB38+FB39)/T2),0)</f>
        <v/>
      </c>
      <c r="FL39" s="5">
        <f>IFERROR(ROUND(FB39/FD39,2),0)</f>
        <v/>
      </c>
      <c r="FM39" s="5">
        <f>IFERROR(ROUND(FB39/FE39,2),0)</f>
        <v/>
      </c>
      <c r="FN39" s="2" t="inlineStr">
        <is>
          <t>2023-10-15</t>
        </is>
      </c>
      <c r="FO39" s="5">
        <f>ROUND(0.5700000000000001,2)</f>
        <v/>
      </c>
      <c r="FP39" s="3">
        <f>ROUND(167.0,2)</f>
        <v/>
      </c>
      <c r="FQ39" s="3">
        <f>ROUND(3.0,2)</f>
        <v/>
      </c>
      <c r="FR39" s="3">
        <f>ROUND(2.0,2)</f>
        <v/>
      </c>
      <c r="FS39" s="3">
        <f>ROUND(2.0,2)</f>
        <v/>
      </c>
      <c r="FT39" s="3">
        <f>ROUND(0.0,2)</f>
        <v/>
      </c>
      <c r="FU39" s="3">
        <f>ROUND(0.0,2)</f>
        <v/>
      </c>
      <c r="FV39" s="3">
        <f>ROUND(0.0,2)</f>
        <v/>
      </c>
      <c r="FW39" s="4">
        <f>IFERROR((FQ39/FP39),0)</f>
        <v/>
      </c>
      <c r="FX39" s="4">
        <f>IFERROR(((0+FO11+FO12+FO13+FO14+FO15+FO16+FO17+FO19+FO20+FO21+FO22+FO23+FO24+FO25+FO27+FO28+FO29+FO30+FO31+FO32+FO33+FO35+FO36+FO37+FO38+FO39)/T2),0)</f>
        <v/>
      </c>
      <c r="FY39" s="5">
        <f>IFERROR(ROUND(FO39/FQ39,2),0)</f>
        <v/>
      </c>
      <c r="FZ39" s="5">
        <f>IFERROR(ROUND(FO39/FR39,2),0)</f>
        <v/>
      </c>
      <c r="GA39" s="2" t="inlineStr">
        <is>
          <t>2023-10-15</t>
        </is>
      </c>
      <c r="GB39" s="5">
        <f>ROUND(8.93,2)</f>
        <v/>
      </c>
      <c r="GC39" s="3">
        <f>ROUND(1530.0,2)</f>
        <v/>
      </c>
      <c r="GD39" s="3">
        <f>ROUND(47.0,2)</f>
        <v/>
      </c>
      <c r="GE39" s="3">
        <f>ROUND(201.0,2)</f>
        <v/>
      </c>
      <c r="GF39" s="3">
        <f>ROUND(176.0,2)</f>
        <v/>
      </c>
      <c r="GG39" s="3">
        <f>ROUND(67.0,2)</f>
        <v/>
      </c>
      <c r="GH39" s="3">
        <f>ROUND(40.0,2)</f>
        <v/>
      </c>
      <c r="GI39" s="3">
        <f>ROUND(26.0,2)</f>
        <v/>
      </c>
      <c r="GJ39" s="4">
        <f>IFERROR((GD39/GC39),0)</f>
        <v/>
      </c>
      <c r="GK39" s="4">
        <f>IFERROR(((0+GB11+GB12+GB13+GB14+GB15+GB16+GB17+GB19+GB20+GB21+GB22+GB23+GB24+GB25+GB27+GB28+GB29+GB30+GB31+GB32+GB33+GB35+GB36+GB37+GB38+GB39)/T2),0)</f>
        <v/>
      </c>
      <c r="GL39" s="5">
        <f>IFERROR(ROUND(GB39/GD39,2),0)</f>
        <v/>
      </c>
      <c r="GM39" s="5">
        <f>IFERROR(ROUND(GB39/GE39,2),0)</f>
        <v/>
      </c>
      <c r="GN39" s="2" t="inlineStr">
        <is>
          <t>2023-10-15</t>
        </is>
      </c>
      <c r="GO39" s="5">
        <f>ROUND(0.19,2)</f>
        <v/>
      </c>
      <c r="GP39" s="3">
        <f>ROUND(100.0,2)</f>
        <v/>
      </c>
      <c r="GQ39" s="3">
        <f>ROUND(1.0,2)</f>
        <v/>
      </c>
      <c r="GR39" s="3">
        <f>ROUND(8.0,2)</f>
        <v/>
      </c>
      <c r="GS39" s="3">
        <f>ROUND(6.0,2)</f>
        <v/>
      </c>
      <c r="GT39" s="3">
        <f>ROUND(3.0,2)</f>
        <v/>
      </c>
      <c r="GU39" s="3">
        <f>ROUND(3.0,2)</f>
        <v/>
      </c>
      <c r="GV39" s="3">
        <f>ROUND(2.0,2)</f>
        <v/>
      </c>
      <c r="GW39" s="4">
        <f>IFERROR((GQ39/GP39),0)</f>
        <v/>
      </c>
      <c r="GX39" s="4">
        <f>IFERROR(((0+GO11+GO12+GO13+GO14+GO15+GO16+GO17+GO19+GO20+GO21+GO22+GO23+GO24+GO25+GO27+GO28+GO29+GO30+GO31+GO32+GO33+GO35+GO36+GO37+GO38+GO39)/T2),0)</f>
        <v/>
      </c>
      <c r="GY39" s="5">
        <f>IFERROR(ROUND(GO39/GQ39,2),0)</f>
        <v/>
      </c>
      <c r="GZ39" s="5">
        <f>IFERROR(ROUND(GO39/GR39,2),0)</f>
        <v/>
      </c>
      <c r="HA39" s="2" t="inlineStr">
        <is>
          <t>2023-10-15</t>
        </is>
      </c>
      <c r="HB39" s="5">
        <f>ROUND(1.52,2)</f>
        <v/>
      </c>
      <c r="HC39" s="3">
        <f>ROUND(441.0,2)</f>
        <v/>
      </c>
      <c r="HD39" s="3">
        <f>ROUND(8.0,2)</f>
        <v/>
      </c>
      <c r="HE39" s="3">
        <f>ROUND(13.0,2)</f>
        <v/>
      </c>
      <c r="HF39" s="3">
        <f>ROUND(7.0,2)</f>
        <v/>
      </c>
      <c r="HG39" s="3">
        <f>ROUND(3.0,2)</f>
        <v/>
      </c>
      <c r="HH39" s="3">
        <f>ROUND(3.0,2)</f>
        <v/>
      </c>
      <c r="HI39" s="3">
        <f>ROUND(3.0,2)</f>
        <v/>
      </c>
      <c r="HJ39" s="4">
        <f>IFERROR((HD39/HC39),0)</f>
        <v/>
      </c>
      <c r="HK39" s="4">
        <f>IFERROR(((0+HB11+HB12+HB13+HB14+HB15+HB16+HB17+HB19+HB20+HB21+HB22+HB23+HB24+HB25+HB27+HB28+HB29+HB30+HB31+HB32+HB33+HB35+HB36+HB37+HB38+HB39)/T2),0)</f>
        <v/>
      </c>
      <c r="HL39" s="5">
        <f>IFERROR(ROUND(HB39/HD39,2),0)</f>
        <v/>
      </c>
      <c r="HM39" s="5">
        <f>IFERROR(ROUND(HB39/HE39,2),0)</f>
        <v/>
      </c>
      <c r="HN39" s="2" t="inlineStr">
        <is>
          <t>2023-10-15</t>
        </is>
      </c>
      <c r="HO39" s="5">
        <f>ROUND(0.76,2)</f>
        <v/>
      </c>
      <c r="HP39" s="3">
        <f>ROUND(127.0,2)</f>
        <v/>
      </c>
      <c r="HQ39" s="3">
        <f>ROUND(4.0,2)</f>
        <v/>
      </c>
      <c r="HR39" s="3">
        <f>ROUND(4.0,2)</f>
        <v/>
      </c>
      <c r="HS39" s="3">
        <f>ROUND(3.0,2)</f>
        <v/>
      </c>
      <c r="HT39" s="3">
        <f>ROUND(1.0,2)</f>
        <v/>
      </c>
      <c r="HU39" s="3">
        <f>ROUND(1.0,2)</f>
        <v/>
      </c>
      <c r="HV39" s="3">
        <f>ROUND(1.0,2)</f>
        <v/>
      </c>
      <c r="HW39" s="4">
        <f>IFERROR((HQ39/HP39),0)</f>
        <v/>
      </c>
      <c r="HX39" s="4">
        <f>IFERROR(((0+HO11+HO12+HO13+HO14+HO15+HO16+HO17+HO19+HO20+HO21+HO22+HO23+HO24+HO25+HO27+HO28+HO29+HO30+HO31+HO32+HO33+HO35+HO36+HO37+HO38+HO39)/T2),0)</f>
        <v/>
      </c>
      <c r="HY39" s="5">
        <f>IFERROR(ROUND(HO39/HQ39,2),0)</f>
        <v/>
      </c>
      <c r="HZ39" s="5">
        <f>IFERROR(ROUND(HO39/HR39,2),0)</f>
        <v/>
      </c>
      <c r="IA39" s="2" t="inlineStr">
        <is>
          <t>2023-10-15</t>
        </is>
      </c>
      <c r="IB39" s="5">
        <f>ROUND(1.52,2)</f>
        <v/>
      </c>
      <c r="IC39" s="3">
        <f>ROUND(322.0,2)</f>
        <v/>
      </c>
      <c r="ID39" s="3">
        <f>ROUND(8.0,2)</f>
        <v/>
      </c>
      <c r="IE39" s="3">
        <f>ROUND(19.0,2)</f>
        <v/>
      </c>
      <c r="IF39" s="3">
        <f>ROUND(11.0,2)</f>
        <v/>
      </c>
      <c r="IG39" s="3">
        <f>ROUND(6.0,2)</f>
        <v/>
      </c>
      <c r="IH39" s="3">
        <f>ROUND(3.0,2)</f>
        <v/>
      </c>
      <c r="II39" s="3">
        <f>ROUND(3.0,2)</f>
        <v/>
      </c>
      <c r="IJ39" s="4">
        <f>IFERROR((ID39/IC39),0)</f>
        <v/>
      </c>
      <c r="IK39" s="4">
        <f>IFERROR(((0+IB11+IB12+IB13+IB14+IB15+IB16+IB17+IB19+IB20+IB21+IB22+IB23+IB24+IB25+IB27+IB28+IB29+IB30+IB31+IB32+IB33+IB35+IB36+IB37+IB38+IB39)/T2),0)</f>
        <v/>
      </c>
      <c r="IL39" s="5">
        <f>IFERROR(ROUND(IB39/ID39,2),0)</f>
        <v/>
      </c>
      <c r="IM39" s="5">
        <f>IFERROR(ROUND(IB39/IE39,2),0)</f>
        <v/>
      </c>
      <c r="IN39" s="2" t="inlineStr">
        <is>
          <t>2023-10-15</t>
        </is>
      </c>
      <c r="IO39" s="5">
        <f>ROUND(3.04,2)</f>
        <v/>
      </c>
      <c r="IP39" s="3">
        <f>ROUND(382.0,2)</f>
        <v/>
      </c>
      <c r="IQ39" s="3">
        <f>ROUND(16.0,2)</f>
        <v/>
      </c>
      <c r="IR39" s="3">
        <f>ROUND(12.0,2)</f>
        <v/>
      </c>
      <c r="IS39" s="3">
        <f>ROUND(10.0,2)</f>
        <v/>
      </c>
      <c r="IT39" s="3">
        <f>ROUND(6.0,2)</f>
        <v/>
      </c>
      <c r="IU39" s="3">
        <f>ROUND(5.0,2)</f>
        <v/>
      </c>
      <c r="IV39" s="3">
        <f>ROUND(3.0,2)</f>
        <v/>
      </c>
      <c r="IW39" s="4">
        <f>IFERROR((IQ39/IP39),0)</f>
        <v/>
      </c>
      <c r="IX39" s="4">
        <f>IFERROR(((0+IO11+IO12+IO13+IO14+IO15+IO16+IO17+IO19+IO20+IO21+IO22+IO23+IO24+IO25+IO27+IO28+IO29+IO30+IO31+IO32+IO33+IO35+IO36+IO37+IO38+IO39)/T2),0)</f>
        <v/>
      </c>
      <c r="IY39" s="5">
        <f>IFERROR(ROUND(IO39/IQ39,2),0)</f>
        <v/>
      </c>
      <c r="IZ39" s="5">
        <f>IFERROR(ROUND(IO39/IR39,2),0)</f>
        <v/>
      </c>
      <c r="JA39" s="2" t="inlineStr">
        <is>
          <t>2023-10-15</t>
        </is>
      </c>
      <c r="JB39" s="5">
        <f>ROUND(0.19,2)</f>
        <v/>
      </c>
      <c r="JC39" s="3">
        <f>ROUND(56.0,2)</f>
        <v/>
      </c>
      <c r="JD39" s="3">
        <f>ROUND(1.0,2)</f>
        <v/>
      </c>
      <c r="JE39" s="3">
        <f>ROUND(7.0,2)</f>
        <v/>
      </c>
      <c r="JF39" s="3">
        <f>ROUND(4.0,2)</f>
        <v/>
      </c>
      <c r="JG39" s="3">
        <f>ROUND(3.0,2)</f>
        <v/>
      </c>
      <c r="JH39" s="3">
        <f>ROUND(2.0,2)</f>
        <v/>
      </c>
      <c r="JI39" s="3">
        <f>ROUND(2.0,2)</f>
        <v/>
      </c>
      <c r="JJ39" s="4">
        <f>IFERROR((JD39/JC39),0)</f>
        <v/>
      </c>
      <c r="JK39" s="4">
        <f>IFERROR(((0+JB11+JB12+JB13+JB14+JB15+JB16+JB17+JB19+JB20+JB21+JB22+JB23+JB24+JB25+JB27+JB28+JB29+JB30+JB31+JB32+JB33+JB35+JB36+JB37+JB38+JB39)/T2),0)</f>
        <v/>
      </c>
      <c r="JL39" s="5">
        <f>IFERROR(ROUND(JB39/JD39,2),0)</f>
        <v/>
      </c>
      <c r="JM39" s="5">
        <f>IFERROR(ROUND(JB39/JE39,2),0)</f>
        <v/>
      </c>
    </row>
    <row r="40">
      <c r="A40" s="2" t="inlineStr">
        <is>
          <t>2023-10-16</t>
        </is>
      </c>
      <c r="B40" s="5">
        <f>ROUND(113.76,2)</f>
        <v/>
      </c>
      <c r="C40" s="3">
        <f>ROUND(19615.0,2)</f>
        <v/>
      </c>
      <c r="D40" s="3">
        <f>ROUND(711.0,2)</f>
        <v/>
      </c>
      <c r="E40" s="3">
        <f>ROUND(1345.0,2)</f>
        <v/>
      </c>
      <c r="F40" s="3">
        <f>ROUND(1102.0,2)</f>
        <v/>
      </c>
      <c r="G40" s="3">
        <f>ROUND(400.0,2)</f>
        <v/>
      </c>
      <c r="H40" s="3">
        <f>ROUND(265.0,2)</f>
        <v/>
      </c>
      <c r="I40" s="3">
        <f>ROUND(180.0,2)</f>
        <v/>
      </c>
      <c r="J40" s="4">
        <f>IFERROR((D40/C40),0)</f>
        <v/>
      </c>
      <c r="K40" s="4">
        <f>IFERROR(((0+B11+B12+B13+B14+B15+B16+B17+B19+B20+B21+B22+B23+B24+B25+B27+B28+B29+B30+B31+B32+B33+B35+B36+B37+B38+B39+B40)/T2),0)</f>
        <v/>
      </c>
      <c r="L40" s="5">
        <f>IFERROR(ROUND(B40/D40,2),0)</f>
        <v/>
      </c>
      <c r="M40" s="5">
        <f>IFERROR(ROUND(B40/E40,2),0)</f>
        <v/>
      </c>
      <c r="N40" s="2" t="inlineStr">
        <is>
          <t>2023-10-16</t>
        </is>
      </c>
      <c r="O40" s="5">
        <f>ROUND(6.08,2)</f>
        <v/>
      </c>
      <c r="P40" s="3">
        <f>ROUND(1185.0,2)</f>
        <v/>
      </c>
      <c r="Q40" s="3">
        <f>ROUND(38.0,2)</f>
        <v/>
      </c>
      <c r="R40" s="3">
        <f>ROUND(25.0,2)</f>
        <v/>
      </c>
      <c r="S40" s="3">
        <f>ROUND(17.0,2)</f>
        <v/>
      </c>
      <c r="T40" s="3">
        <f>ROUND(8.0,2)</f>
        <v/>
      </c>
      <c r="U40" s="3">
        <f>ROUND(6.0,2)</f>
        <v/>
      </c>
      <c r="V40" s="3">
        <f>ROUND(5.0,2)</f>
        <v/>
      </c>
      <c r="W40" s="4">
        <f>IFERROR((Q40/P40),0)</f>
        <v/>
      </c>
      <c r="X40" s="4">
        <f>IFERROR(((0+O11+O12+O13+O14+O15+O16+O17+O19+O20+O21+O22+O23+O24+O25+O27+O28+O29+O30+O31+O32+O33+O35+O36+O37+O38+O39+O40)/T2),0)</f>
        <v/>
      </c>
      <c r="Y40" s="5">
        <f>IFERROR(ROUND(O40/Q40,2),0)</f>
        <v/>
      </c>
      <c r="Z40" s="5">
        <f>IFERROR(ROUND(O40/R40,2),0)</f>
        <v/>
      </c>
      <c r="AA40" s="2" t="inlineStr">
        <is>
          <t>2023-10-16</t>
        </is>
      </c>
      <c r="AB40" s="5">
        <f>ROUND(6.4,2)</f>
        <v/>
      </c>
      <c r="AC40" s="3">
        <f>ROUND(1128.0,2)</f>
        <v/>
      </c>
      <c r="AD40" s="3">
        <f>ROUND(40.0,2)</f>
        <v/>
      </c>
      <c r="AE40" s="3">
        <f>ROUND(9.0,2)</f>
        <v/>
      </c>
      <c r="AF40" s="3">
        <f>ROUND(7.0,2)</f>
        <v/>
      </c>
      <c r="AG40" s="3">
        <f>ROUND(3.0,2)</f>
        <v/>
      </c>
      <c r="AH40" s="3">
        <f>ROUND(2.0,2)</f>
        <v/>
      </c>
      <c r="AI40" s="3">
        <f>ROUND(2.0,2)</f>
        <v/>
      </c>
      <c r="AJ40" s="4">
        <f>IFERROR((AD40/AC40),0)</f>
        <v/>
      </c>
      <c r="AK40" s="4">
        <f>IFERROR(((0+AB11+AB12+AB13+AB14+AB15+AB16+AB17+AB19+AB20+AB21+AB22+AB23+AB24+AB25+AB27+AB28+AB29+AB30+AB31+AB32+AB33+AB35+AB36+AB37+AB38+AB39+AB40)/T2),0)</f>
        <v/>
      </c>
      <c r="AL40" s="5">
        <f>IFERROR(ROUND(AB40/AD40,2),0)</f>
        <v/>
      </c>
      <c r="AM40" s="5">
        <f>IFERROR(ROUND(AB40/AE40,2),0)</f>
        <v/>
      </c>
      <c r="AN40" s="2" t="inlineStr">
        <is>
          <t>2023-10-16</t>
        </is>
      </c>
      <c r="AO40" s="5">
        <f>ROUND(2.4000000000000004,2)</f>
        <v/>
      </c>
      <c r="AP40" s="3">
        <f>ROUND(315.0,2)</f>
        <v/>
      </c>
      <c r="AQ40" s="3">
        <f>ROUND(15.0,2)</f>
        <v/>
      </c>
      <c r="AR40" s="3">
        <f>ROUND(10.0,2)</f>
        <v/>
      </c>
      <c r="AS40" s="3">
        <f>ROUND(8.0,2)</f>
        <v/>
      </c>
      <c r="AT40" s="3">
        <f>ROUND(7.0,2)</f>
        <v/>
      </c>
      <c r="AU40" s="3">
        <f>ROUND(5.0,2)</f>
        <v/>
      </c>
      <c r="AV40" s="3">
        <f>ROUND(5.0,2)</f>
        <v/>
      </c>
      <c r="AW40" s="4">
        <f>IFERROR((AQ40/AP40),0)</f>
        <v/>
      </c>
      <c r="AX40" s="4">
        <f>IFERROR(((0+AO11+AO12+AO13+AO14+AO15+AO16+AO17+AO19+AO20+AO21+AO22+AO23+AO24+AO25+AO27+AO28+AO29+AO30+AO31+AO32+AO33+AO35+AO36+AO37+AO38+AO39+AO40)/T2),0)</f>
        <v/>
      </c>
      <c r="AY40" s="5">
        <f>IFERROR(ROUND(AO40/AQ40,2),0)</f>
        <v/>
      </c>
      <c r="AZ40" s="5">
        <f>IFERROR(ROUND(AO40/AR40,2),0)</f>
        <v/>
      </c>
      <c r="BA40" s="2" t="inlineStr">
        <is>
          <t>2023-10-16</t>
        </is>
      </c>
      <c r="BB40" s="5">
        <f>ROUND(12.959999999999999,2)</f>
        <v/>
      </c>
      <c r="BC40" s="3">
        <f>ROUND(2209.0,2)</f>
        <v/>
      </c>
      <c r="BD40" s="3">
        <f>ROUND(81.0,2)</f>
        <v/>
      </c>
      <c r="BE40" s="3">
        <f>ROUND(33.0,2)</f>
        <v/>
      </c>
      <c r="BF40" s="3">
        <f>ROUND(22.0,2)</f>
        <v/>
      </c>
      <c r="BG40" s="3">
        <f>ROUND(10.0,2)</f>
        <v/>
      </c>
      <c r="BH40" s="3">
        <f>ROUND(6.0,2)</f>
        <v/>
      </c>
      <c r="BI40" s="3">
        <f>ROUND(6.0,2)</f>
        <v/>
      </c>
      <c r="BJ40" s="4">
        <f>IFERROR((BD40/BC40),0)</f>
        <v/>
      </c>
      <c r="BK40" s="4">
        <f>IFERROR(((0+BB11+BB12+BB13+BB14+BB15+BB16+BB17+BB19+BB20+BB21+BB22+BB23+BB24+BB25+BB27+BB28+BB29+BB30+BB31+BB32+BB33+BB35+BB36+BB37+BB38+BB39+BB40)/T2),0)</f>
        <v/>
      </c>
      <c r="BL40" s="5">
        <f>IFERROR(ROUND(BB40/BD40,2),0)</f>
        <v/>
      </c>
      <c r="BM40" s="5">
        <f>IFERROR(ROUND(BB40/BE40,2),0)</f>
        <v/>
      </c>
      <c r="BN40" s="2" t="inlineStr">
        <is>
          <t>2023-10-16</t>
        </is>
      </c>
      <c r="BO40" s="5">
        <f>ROUND(39.52,2)</f>
        <v/>
      </c>
      <c r="BP40" s="3">
        <f>ROUND(6409.0,2)</f>
        <v/>
      </c>
      <c r="BQ40" s="3">
        <f>ROUND(247.0,2)</f>
        <v/>
      </c>
      <c r="BR40" s="3">
        <f>ROUND(631.0,2)</f>
        <v/>
      </c>
      <c r="BS40" s="3">
        <f>ROUND(520.0,2)</f>
        <v/>
      </c>
      <c r="BT40" s="3">
        <f>ROUND(160.0,2)</f>
        <v/>
      </c>
      <c r="BU40" s="3">
        <f>ROUND(108.0,2)</f>
        <v/>
      </c>
      <c r="BV40" s="3">
        <f>ROUND(69.0,2)</f>
        <v/>
      </c>
      <c r="BW40" s="4">
        <f>IFERROR((BQ40/BP40),0)</f>
        <v/>
      </c>
      <c r="BX40" s="4">
        <f>IFERROR(((0+BO11+BO12+BO13+BO14+BO15+BO16+BO17+BO19+BO20+BO21+BO22+BO23+BO24+BO25+BO27+BO28+BO29+BO30+BO31+BO32+BO33+BO35+BO36+BO37+BO38+BO39+BO40)/T2),0)</f>
        <v/>
      </c>
      <c r="BY40" s="5">
        <f>IFERROR(ROUND(BO40/BQ40,2),0)</f>
        <v/>
      </c>
      <c r="BZ40" s="5">
        <f>IFERROR(ROUND(BO40/BR40,2),0)</f>
        <v/>
      </c>
      <c r="CA40" s="2" t="inlineStr">
        <is>
          <t>2023-10-16</t>
        </is>
      </c>
      <c r="CB40" s="5">
        <f>ROUND(4.96,2)</f>
        <v/>
      </c>
      <c r="CC40" s="3">
        <f>ROUND(1309.0,2)</f>
        <v/>
      </c>
      <c r="CD40" s="3">
        <f>ROUND(31.0,2)</f>
        <v/>
      </c>
      <c r="CE40" s="3">
        <f>ROUND(89.0,2)</f>
        <v/>
      </c>
      <c r="CF40" s="3">
        <f>ROUND(79.0,2)</f>
        <v/>
      </c>
      <c r="CG40" s="3">
        <f>ROUND(27.0,2)</f>
        <v/>
      </c>
      <c r="CH40" s="3">
        <f>ROUND(15.0,2)</f>
        <v/>
      </c>
      <c r="CI40" s="3">
        <f>ROUND(9.0,2)</f>
        <v/>
      </c>
      <c r="CJ40" s="4">
        <f>IFERROR((CD40/CC40),0)</f>
        <v/>
      </c>
      <c r="CK40" s="4">
        <f>IFERROR(((0+CB11+CB12+CB13+CB14+CB15+CB16+CB17+CB19+CB20+CB21+CB22+CB23+CB24+CB25+CB27+CB28+CB29+CB30+CB31+CB32+CB33+CB35+CB36+CB37+CB38+CB39+CB40)/T2),0)</f>
        <v/>
      </c>
      <c r="CL40" s="5">
        <f>IFERROR(ROUND(CB40/CD40,2),0)</f>
        <v/>
      </c>
      <c r="CM40" s="5">
        <f>IFERROR(ROUND(CB40/CE40,2),0)</f>
        <v/>
      </c>
      <c r="CN40" s="2" t="inlineStr">
        <is>
          <t>2023-10-16</t>
        </is>
      </c>
      <c r="CO40" s="5">
        <f>ROUND(5.44,2)</f>
        <v/>
      </c>
      <c r="CP40" s="3">
        <f>ROUND(1078.0,2)</f>
        <v/>
      </c>
      <c r="CQ40" s="3">
        <f>ROUND(34.0,2)</f>
        <v/>
      </c>
      <c r="CR40" s="3">
        <f>ROUND(14.0,2)</f>
        <v/>
      </c>
      <c r="CS40" s="3">
        <f>ROUND(12.0,2)</f>
        <v/>
      </c>
      <c r="CT40" s="3">
        <f>ROUND(8.0,2)</f>
        <v/>
      </c>
      <c r="CU40" s="3">
        <f>ROUND(6.0,2)</f>
        <v/>
      </c>
      <c r="CV40" s="3">
        <f>ROUND(5.0,2)</f>
        <v/>
      </c>
      <c r="CW40" s="4">
        <f>IFERROR((CQ40/CP40),0)</f>
        <v/>
      </c>
      <c r="CX40" s="4">
        <f>IFERROR(((0+CO11+CO12+CO13+CO14+CO15+CO16+CO17+CO19+CO20+CO21+CO22+CO23+CO24+CO25+CO27+CO28+CO29+CO30+CO31+CO32+CO33+CO35+CO36+CO37+CO38+CO39+CO40)/T2),0)</f>
        <v/>
      </c>
      <c r="CY40" s="5">
        <f>IFERROR(ROUND(CO40/CQ40,2),0)</f>
        <v/>
      </c>
      <c r="CZ40" s="5">
        <f>IFERROR(ROUND(CO40/CR40,2),0)</f>
        <v/>
      </c>
      <c r="DA40" s="2" t="inlineStr">
        <is>
          <t>2023-10-16</t>
        </is>
      </c>
      <c r="DB40" s="5">
        <f>ROUND(2.4,2)</f>
        <v/>
      </c>
      <c r="DC40" s="3">
        <f>ROUND(772.0,2)</f>
        <v/>
      </c>
      <c r="DD40" s="3">
        <f>ROUND(15.0,2)</f>
        <v/>
      </c>
      <c r="DE40" s="3">
        <f>ROUND(10.0,2)</f>
        <v/>
      </c>
      <c r="DF40" s="3">
        <f>ROUND(9.0,2)</f>
        <v/>
      </c>
      <c r="DG40" s="3">
        <f>ROUND(5.0,2)</f>
        <v/>
      </c>
      <c r="DH40" s="3">
        <f>ROUND(4.0,2)</f>
        <v/>
      </c>
      <c r="DI40" s="3">
        <f>ROUND(3.0,2)</f>
        <v/>
      </c>
      <c r="DJ40" s="4">
        <f>IFERROR((DD40/DC40),0)</f>
        <v/>
      </c>
      <c r="DK40" s="4">
        <f>IFERROR(((0+DB11+DB12+DB13+DB14+DB15+DB16+DB17+DB19+DB20+DB21+DB22+DB23+DB24+DB25+DB27+DB28+DB29+DB30+DB31+DB32+DB33+DB35+DB36+DB37+DB38+DB39+DB40)/T2),0)</f>
        <v/>
      </c>
      <c r="DL40" s="5">
        <f>IFERROR(ROUND(DB40/DD40,2),0)</f>
        <v/>
      </c>
      <c r="DM40" s="5">
        <f>IFERROR(ROUND(DB40/DE40,2),0)</f>
        <v/>
      </c>
      <c r="DN40" s="2" t="inlineStr">
        <is>
          <t>2023-10-16</t>
        </is>
      </c>
      <c r="DO40" s="5">
        <f>ROUND(1.28,2)</f>
        <v/>
      </c>
      <c r="DP40" s="3">
        <f>ROUND(206.0,2)</f>
        <v/>
      </c>
      <c r="DQ40" s="3">
        <f>ROUND(8.0,2)</f>
        <v/>
      </c>
      <c r="DR40" s="3">
        <f>ROUND(14.0,2)</f>
        <v/>
      </c>
      <c r="DS40" s="3">
        <f>ROUND(12.0,2)</f>
        <v/>
      </c>
      <c r="DT40" s="3">
        <f>ROUND(5.0,2)</f>
        <v/>
      </c>
      <c r="DU40" s="3">
        <f>ROUND(3.0,2)</f>
        <v/>
      </c>
      <c r="DV40" s="3">
        <f>ROUND(2.0,2)</f>
        <v/>
      </c>
      <c r="DW40" s="4">
        <f>IFERROR((DQ40/DP40),0)</f>
        <v/>
      </c>
      <c r="DX40" s="4">
        <f>IFERROR(((0+DO11+DO12+DO13+DO14+DO15+DO16+DO17+DO19+DO20+DO21+DO22+DO23+DO24+DO25+DO27+DO28+DO29+DO30+DO31+DO32+DO33+DO35+DO36+DO37+DO38+DO39+DO40)/T2),0)</f>
        <v/>
      </c>
      <c r="DY40" s="5">
        <f>IFERROR(ROUND(DO40/DQ40,2),0)</f>
        <v/>
      </c>
      <c r="DZ40" s="5">
        <f>IFERROR(ROUND(DO40/DR40,2),0)</f>
        <v/>
      </c>
      <c r="EA40" s="2" t="inlineStr">
        <is>
          <t>2023-10-16</t>
        </is>
      </c>
      <c r="EB40" s="5">
        <f>ROUND(2.56,2)</f>
        <v/>
      </c>
      <c r="EC40" s="3">
        <f>ROUND(455.0,2)</f>
        <v/>
      </c>
      <c r="ED40" s="3">
        <f>ROUND(16.0,2)</f>
        <v/>
      </c>
      <c r="EE40" s="3">
        <f>ROUND(14.0,2)</f>
        <v/>
      </c>
      <c r="EF40" s="3">
        <f>ROUND(9.0,2)</f>
        <v/>
      </c>
      <c r="EG40" s="3">
        <f>ROUND(5.0,2)</f>
        <v/>
      </c>
      <c r="EH40" s="3">
        <f>ROUND(4.0,2)</f>
        <v/>
      </c>
      <c r="EI40" s="3">
        <f>ROUND(3.0,2)</f>
        <v/>
      </c>
      <c r="EJ40" s="4">
        <f>IFERROR((ED40/EC40),0)</f>
        <v/>
      </c>
      <c r="EK40" s="4">
        <f>IFERROR(((0+EB11+EB12+EB13+EB14+EB15+EB16+EB17+EB19+EB20+EB21+EB22+EB23+EB24+EB25+EB27+EB28+EB29+EB30+EB31+EB32+EB33+EB35+EB36+EB37+EB38+EB39+EB40)/T2),0)</f>
        <v/>
      </c>
      <c r="EL40" s="5">
        <f>IFERROR(ROUND(EB40/ED40,2),0)</f>
        <v/>
      </c>
      <c r="EM40" s="5">
        <f>IFERROR(ROUND(EB40/EE40,2),0)</f>
        <v/>
      </c>
      <c r="EN40" s="2" t="inlineStr">
        <is>
          <t>2023-10-16</t>
        </is>
      </c>
      <c r="EO40" s="5">
        <f>ROUND(8.32,2)</f>
        <v/>
      </c>
      <c r="EP40" s="3">
        <f>ROUND(863.0,2)</f>
        <v/>
      </c>
      <c r="EQ40" s="3">
        <f>ROUND(52.0,2)</f>
        <v/>
      </c>
      <c r="ER40" s="3">
        <f>ROUND(100.0,2)</f>
        <v/>
      </c>
      <c r="ES40" s="3">
        <f>ROUND(64.0,2)</f>
        <v/>
      </c>
      <c r="ET40" s="3">
        <f>ROUND(23.0,2)</f>
        <v/>
      </c>
      <c r="EU40" s="3">
        <f>ROUND(16.0,2)</f>
        <v/>
      </c>
      <c r="EV40" s="3">
        <f>ROUND(11.0,2)</f>
        <v/>
      </c>
      <c r="EW40" s="4">
        <f>IFERROR((EQ40/EP40),0)</f>
        <v/>
      </c>
      <c r="EX40" s="4">
        <f>IFERROR(((0+EO11+EO12+EO13+EO14+EO15+EO16+EO17+EO19+EO20+EO21+EO22+EO23+EO24+EO25+EO27+EO28+EO29+EO30+EO31+EO32+EO33+EO35+EO36+EO37+EO38+EO39+EO40)/T2),0)</f>
        <v/>
      </c>
      <c r="EY40" s="5">
        <f>IFERROR(ROUND(EO40/EQ40,2),0)</f>
        <v/>
      </c>
      <c r="EZ40" s="5">
        <f>IFERROR(ROUND(EO40/ER40,2),0)</f>
        <v/>
      </c>
      <c r="FA40" s="2" t="inlineStr">
        <is>
          <t>2023-10-16</t>
        </is>
      </c>
      <c r="FB40" s="5">
        <f>ROUND(5.44,2)</f>
        <v/>
      </c>
      <c r="FC40" s="3">
        <f>ROUND(931.0,2)</f>
        <v/>
      </c>
      <c r="FD40" s="3">
        <f>ROUND(34.0,2)</f>
        <v/>
      </c>
      <c r="FE40" s="3">
        <f>ROUND(113.0,2)</f>
        <v/>
      </c>
      <c r="FF40" s="3">
        <f>ROUND(102.0,2)</f>
        <v/>
      </c>
      <c r="FG40" s="3">
        <f>ROUND(37.0,2)</f>
        <v/>
      </c>
      <c r="FH40" s="3">
        <f>ROUND(24.0,2)</f>
        <v/>
      </c>
      <c r="FI40" s="3">
        <f>ROUND(14.0,2)</f>
        <v/>
      </c>
      <c r="FJ40" s="4">
        <f>IFERROR((FD40/FC40),0)</f>
        <v/>
      </c>
      <c r="FK40" s="4">
        <f>IFERROR(((0+FB11+FB12+FB13+FB14+FB15+FB16+FB17+FB19+FB20+FB21+FB22+FB23+FB24+FB25+FB27+FB28+FB29+FB30+FB31+FB32+FB33+FB35+FB36+FB37+FB38+FB39+FB40)/T2),0)</f>
        <v/>
      </c>
      <c r="FL40" s="5">
        <f>IFERROR(ROUND(FB40/FD40,2),0)</f>
        <v/>
      </c>
      <c r="FM40" s="5">
        <f>IFERROR(ROUND(FB40/FE40,2),0)</f>
        <v/>
      </c>
      <c r="FN40" s="2" t="inlineStr">
        <is>
          <t>2023-10-16</t>
        </is>
      </c>
      <c r="FO40" s="5">
        <f>ROUND(0.8,2)</f>
        <v/>
      </c>
      <c r="FP40" s="3">
        <f>ROUND(129.0,2)</f>
        <v/>
      </c>
      <c r="FQ40" s="3">
        <f>ROUND(5.0,2)</f>
        <v/>
      </c>
      <c r="FR40" s="3">
        <f>ROUND(6.0,2)</f>
        <v/>
      </c>
      <c r="FS40" s="3">
        <f>ROUND(5.0,2)</f>
        <v/>
      </c>
      <c r="FT40" s="3">
        <f>ROUND(2.0,2)</f>
        <v/>
      </c>
      <c r="FU40" s="3">
        <f>ROUND(2.0,2)</f>
        <v/>
      </c>
      <c r="FV40" s="3">
        <f>ROUND(1.0,2)</f>
        <v/>
      </c>
      <c r="FW40" s="4">
        <f>IFERROR((FQ40/FP40),0)</f>
        <v/>
      </c>
      <c r="FX40" s="4">
        <f>IFERROR(((0+FO11+FO12+FO13+FO14+FO15+FO16+FO17+FO19+FO20+FO21+FO22+FO23+FO24+FO25+FO27+FO28+FO29+FO30+FO31+FO32+FO33+FO35+FO36+FO37+FO38+FO39+FO40)/T2),0)</f>
        <v/>
      </c>
      <c r="FY40" s="5">
        <f>IFERROR(ROUND(FO40/FQ40,2),0)</f>
        <v/>
      </c>
      <c r="FZ40" s="5">
        <f>IFERROR(ROUND(FO40/FR40,2),0)</f>
        <v/>
      </c>
      <c r="GA40" s="2" t="inlineStr">
        <is>
          <t>2023-10-16</t>
        </is>
      </c>
      <c r="GB40" s="5">
        <f>ROUND(10.879999999999999,2)</f>
        <v/>
      </c>
      <c r="GC40" s="3">
        <f>ROUND(1563.0,2)</f>
        <v/>
      </c>
      <c r="GD40" s="3">
        <f>ROUND(68.0,2)</f>
        <v/>
      </c>
      <c r="GE40" s="3">
        <f>ROUND(216.0,2)</f>
        <v/>
      </c>
      <c r="GF40" s="3">
        <f>ROUND(192.0,2)</f>
        <v/>
      </c>
      <c r="GG40" s="3">
        <f>ROUND(76.0,2)</f>
        <v/>
      </c>
      <c r="GH40" s="3">
        <f>ROUND(43.0,2)</f>
        <v/>
      </c>
      <c r="GI40" s="3">
        <f>ROUND(28.0,2)</f>
        <v/>
      </c>
      <c r="GJ40" s="4">
        <f>IFERROR((GD40/GC40),0)</f>
        <v/>
      </c>
      <c r="GK40" s="4">
        <f>IFERROR(((0+GB11+GB12+GB13+GB14+GB15+GB16+GB17+GB19+GB20+GB21+GB22+GB23+GB24+GB25+GB27+GB28+GB29+GB30+GB31+GB32+GB33+GB35+GB36+GB37+GB38+GB39+GB40)/T2),0)</f>
        <v/>
      </c>
      <c r="GL40" s="5">
        <f>IFERROR(ROUND(GB40/GD40,2),0)</f>
        <v/>
      </c>
      <c r="GM40" s="5">
        <f>IFERROR(ROUND(GB40/GE40,2),0)</f>
        <v/>
      </c>
      <c r="GN40" s="2" t="inlineStr">
        <is>
          <t>2023-10-16</t>
        </is>
      </c>
      <c r="GO40" s="5">
        <f>ROUND(0.16,2)</f>
        <v/>
      </c>
      <c r="GP40" s="3">
        <f>ROUND(56.0,2)</f>
        <v/>
      </c>
      <c r="GQ40" s="3">
        <f>ROUND(1.0,2)</f>
        <v/>
      </c>
      <c r="GR40" s="3">
        <f>ROUND(6.0,2)</f>
        <v/>
      </c>
      <c r="GS40" s="3">
        <f>ROUND(5.0,2)</f>
        <v/>
      </c>
      <c r="GT40" s="3">
        <f>ROUND(2.0,2)</f>
        <v/>
      </c>
      <c r="GU40" s="3">
        <f>ROUND(2.0,2)</f>
        <v/>
      </c>
      <c r="GV40" s="3">
        <f>ROUND(1.0,2)</f>
        <v/>
      </c>
      <c r="GW40" s="4">
        <f>IFERROR((GQ40/GP40),0)</f>
        <v/>
      </c>
      <c r="GX40" s="4">
        <f>IFERROR(((0+GO11+GO12+GO13+GO14+GO15+GO16+GO17+GO19+GO20+GO21+GO22+GO23+GO24+GO25+GO27+GO28+GO29+GO30+GO31+GO32+GO33+GO35+GO36+GO37+GO38+GO39+GO40)/T2),0)</f>
        <v/>
      </c>
      <c r="GY40" s="5">
        <f>IFERROR(ROUND(GO40/GQ40,2),0)</f>
        <v/>
      </c>
      <c r="GZ40" s="5">
        <f>IFERROR(ROUND(GO40/GR40,2),0)</f>
        <v/>
      </c>
      <c r="HA40" s="2" t="inlineStr">
        <is>
          <t>2023-10-16</t>
        </is>
      </c>
      <c r="HB40" s="5">
        <f>ROUND(0.8,2)</f>
        <v/>
      </c>
      <c r="HC40" s="3">
        <f>ROUND(394.0,2)</f>
        <v/>
      </c>
      <c r="HD40" s="3">
        <f>ROUND(5.0,2)</f>
        <v/>
      </c>
      <c r="HE40" s="3">
        <f>ROUND(16.0,2)</f>
        <v/>
      </c>
      <c r="HF40" s="3">
        <f>ROUND(12.0,2)</f>
        <v/>
      </c>
      <c r="HG40" s="3">
        <f>ROUND(6.0,2)</f>
        <v/>
      </c>
      <c r="HH40" s="3">
        <f>ROUND(6.0,2)</f>
        <v/>
      </c>
      <c r="HI40" s="3">
        <f>ROUND(5.0,2)</f>
        <v/>
      </c>
      <c r="HJ40" s="4">
        <f>IFERROR((HD40/HC40),0)</f>
        <v/>
      </c>
      <c r="HK40" s="4">
        <f>IFERROR(((0+HB11+HB12+HB13+HB14+HB15+HB16+HB17+HB19+HB20+HB21+HB22+HB23+HB24+HB25+HB27+HB28+HB29+HB30+HB31+HB32+HB33+HB35+HB36+HB37+HB38+HB39+HB40)/T2),0)</f>
        <v/>
      </c>
      <c r="HL40" s="5">
        <f>IFERROR(ROUND(HB40/HD40,2),0)</f>
        <v/>
      </c>
      <c r="HM40" s="5">
        <f>IFERROR(ROUND(HB40/HE40,2),0)</f>
        <v/>
      </c>
      <c r="HN40" s="2" t="inlineStr">
        <is>
          <t>2023-10-16</t>
        </is>
      </c>
      <c r="HO40" s="5">
        <f>ROUND(0.0,2)</f>
        <v/>
      </c>
      <c r="HP40" s="3">
        <f>ROUND(87.0,2)</f>
        <v/>
      </c>
      <c r="HQ40" s="3">
        <f>ROUND(0.0,2)</f>
        <v/>
      </c>
      <c r="HR40" s="3">
        <f>ROUND(7.0,2)</f>
        <v/>
      </c>
      <c r="HS40" s="3">
        <f>ROUND(5.0,2)</f>
        <v/>
      </c>
      <c r="HT40" s="3">
        <f>ROUND(3.0,2)</f>
        <v/>
      </c>
      <c r="HU40" s="3">
        <f>ROUND(2.0,2)</f>
        <v/>
      </c>
      <c r="HV40" s="3">
        <f>ROUND(2.0,2)</f>
        <v/>
      </c>
      <c r="HW40" s="4">
        <f>IFERROR((HQ40/HP40),0)</f>
        <v/>
      </c>
      <c r="HX40" s="4">
        <f>IFERROR(((0+HO11+HO12+HO13+HO14+HO15+HO16+HO17+HO19+HO20+HO21+HO22+HO23+HO24+HO25+HO27+HO28+HO29+HO30+HO31+HO32+HO33+HO35+HO36+HO37+HO38+HO39+HO40)/T2),0)</f>
        <v/>
      </c>
      <c r="HY40" s="5">
        <f>IFERROR(ROUND(HO40/HQ40,2),0)</f>
        <v/>
      </c>
      <c r="HZ40" s="5">
        <f>IFERROR(ROUND(HO40/HR40,2),0)</f>
        <v/>
      </c>
      <c r="IA40" s="2" t="inlineStr">
        <is>
          <t>2023-10-16</t>
        </is>
      </c>
      <c r="IB40" s="5">
        <f>ROUND(1.5999999999999999,2)</f>
        <v/>
      </c>
      <c r="IC40" s="3">
        <f>ROUND(272.0,2)</f>
        <v/>
      </c>
      <c r="ID40" s="3">
        <f>ROUND(10.0,2)</f>
        <v/>
      </c>
      <c r="IE40" s="3">
        <f>ROUND(15.0,2)</f>
        <v/>
      </c>
      <c r="IF40" s="3">
        <f>ROUND(9.0,2)</f>
        <v/>
      </c>
      <c r="IG40" s="3">
        <f>ROUND(5.0,2)</f>
        <v/>
      </c>
      <c r="IH40" s="3">
        <f>ROUND(5.0,2)</f>
        <v/>
      </c>
      <c r="II40" s="3">
        <f>ROUND(4.0,2)</f>
        <v/>
      </c>
      <c r="IJ40" s="4">
        <f>IFERROR((ID40/IC40),0)</f>
        <v/>
      </c>
      <c r="IK40" s="4">
        <f>IFERROR(((0+IB11+IB12+IB13+IB14+IB15+IB16+IB17+IB19+IB20+IB21+IB22+IB23+IB24+IB25+IB27+IB28+IB29+IB30+IB31+IB32+IB33+IB35+IB36+IB37+IB38+IB39+IB40)/T2),0)</f>
        <v/>
      </c>
      <c r="IL40" s="5">
        <f>IFERROR(ROUND(IB40/ID40,2),0)</f>
        <v/>
      </c>
      <c r="IM40" s="5">
        <f>IFERROR(ROUND(IB40/IE40,2),0)</f>
        <v/>
      </c>
      <c r="IN40" s="2" t="inlineStr">
        <is>
          <t>2023-10-16</t>
        </is>
      </c>
      <c r="IO40" s="5">
        <f>ROUND(1.76,2)</f>
        <v/>
      </c>
      <c r="IP40" s="3">
        <f>ROUND(208.0,2)</f>
        <v/>
      </c>
      <c r="IQ40" s="3">
        <f>ROUND(11.0,2)</f>
        <v/>
      </c>
      <c r="IR40" s="3">
        <f>ROUND(12.0,2)</f>
        <v/>
      </c>
      <c r="IS40" s="3">
        <f>ROUND(9.0,2)</f>
        <v/>
      </c>
      <c r="IT40" s="3">
        <f>ROUND(5.0,2)</f>
        <v/>
      </c>
      <c r="IU40" s="3">
        <f>ROUND(5.0,2)</f>
        <v/>
      </c>
      <c r="IV40" s="3">
        <f>ROUND(4.0,2)</f>
        <v/>
      </c>
      <c r="IW40" s="4">
        <f>IFERROR((IQ40/IP40),0)</f>
        <v/>
      </c>
      <c r="IX40" s="4">
        <f>IFERROR(((0+IO11+IO12+IO13+IO14+IO15+IO16+IO17+IO19+IO20+IO21+IO22+IO23+IO24+IO25+IO27+IO28+IO29+IO30+IO31+IO32+IO33+IO35+IO36+IO37+IO38+IO39+IO40)/T2),0)</f>
        <v/>
      </c>
      <c r="IY40" s="5">
        <f>IFERROR(ROUND(IO40/IQ40,2),0)</f>
        <v/>
      </c>
      <c r="IZ40" s="5">
        <f>IFERROR(ROUND(IO40/IR40,2),0)</f>
        <v/>
      </c>
      <c r="JA40" s="2" t="inlineStr">
        <is>
          <t>2023-10-16</t>
        </is>
      </c>
      <c r="JB40" s="5">
        <f>ROUND(0.0,2)</f>
        <v/>
      </c>
      <c r="JC40" s="3">
        <f>ROUND(46.0,2)</f>
        <v/>
      </c>
      <c r="JD40" s="3">
        <f>ROUND(0.0,2)</f>
        <v/>
      </c>
      <c r="JE40" s="3">
        <f>ROUND(5.0,2)</f>
        <v/>
      </c>
      <c r="JF40" s="3">
        <f>ROUND(4.0,2)</f>
        <v/>
      </c>
      <c r="JG40" s="3">
        <f>ROUND(3.0,2)</f>
        <v/>
      </c>
      <c r="JH40" s="3">
        <f>ROUND(1.0,2)</f>
        <v/>
      </c>
      <c r="JI40" s="3">
        <f>ROUND(1.0,2)</f>
        <v/>
      </c>
      <c r="JJ40" s="4">
        <f>IFERROR((JD40/JC40),0)</f>
        <v/>
      </c>
      <c r="JK40" s="4">
        <f>IFERROR(((0+JB11+JB12+JB13+JB14+JB15+JB16+JB17+JB19+JB20+JB21+JB22+JB23+JB24+JB25+JB27+JB28+JB29+JB30+JB31+JB32+JB33+JB35+JB36+JB37+JB38+JB39+JB40)/T2),0)</f>
        <v/>
      </c>
      <c r="JL40" s="5">
        <f>IFERROR(ROUND(JB40/JD40,2),0)</f>
        <v/>
      </c>
      <c r="JM40" s="5">
        <f>IFERROR(ROUND(JB40/JE40,2),0)</f>
        <v/>
      </c>
    </row>
    <row r="41">
      <c r="A41" s="2" t="inlineStr">
        <is>
          <t>2023-10-17</t>
        </is>
      </c>
      <c r="B41" s="5">
        <f>ROUND(114.24000000000001,2)</f>
        <v/>
      </c>
      <c r="C41" s="3">
        <f>ROUND(24245.0,2)</f>
        <v/>
      </c>
      <c r="D41" s="3">
        <f>ROUND(714.0,2)</f>
        <v/>
      </c>
      <c r="E41" s="3">
        <f>ROUND(1379.0,2)</f>
        <v/>
      </c>
      <c r="F41" s="3">
        <f>ROUND(1149.0,2)</f>
        <v/>
      </c>
      <c r="G41" s="3">
        <f>ROUND(445.0,2)</f>
        <v/>
      </c>
      <c r="H41" s="3">
        <f>ROUND(309.0,2)</f>
        <v/>
      </c>
      <c r="I41" s="3">
        <f>ROUND(215.0,2)</f>
        <v/>
      </c>
      <c r="J41" s="4">
        <f>IFERROR((D41/C41),0)</f>
        <v/>
      </c>
      <c r="K41" s="4">
        <f>IFERROR(((0+B11+B12+B13+B14+B15+B16+B17+B19+B20+B21+B22+B23+B24+B25+B27+B28+B29+B30+B31+B32+B33+B35+B36+B37+B38+B39+B40+B41)/T2),0)</f>
        <v/>
      </c>
      <c r="L41" s="5">
        <f>IFERROR(ROUND(B41/D41,2),0)</f>
        <v/>
      </c>
      <c r="M41" s="5">
        <f>IFERROR(ROUND(B41/E41,2),0)</f>
        <v/>
      </c>
      <c r="N41" s="2" t="inlineStr">
        <is>
          <t>2023-10-17</t>
        </is>
      </c>
      <c r="O41" s="5">
        <f>ROUND(3.04,2)</f>
        <v/>
      </c>
      <c r="P41" s="3">
        <f>ROUND(1137.0,2)</f>
        <v/>
      </c>
      <c r="Q41" s="3">
        <f>ROUND(19.0,2)</f>
        <v/>
      </c>
      <c r="R41" s="3">
        <f>ROUND(45.0,2)</f>
        <v/>
      </c>
      <c r="S41" s="3">
        <f>ROUND(37.0,2)</f>
        <v/>
      </c>
      <c r="T41" s="3">
        <f>ROUND(16.0,2)</f>
        <v/>
      </c>
      <c r="U41" s="3">
        <f>ROUND(13.0,2)</f>
        <v/>
      </c>
      <c r="V41" s="3">
        <f>ROUND(9.0,2)</f>
        <v/>
      </c>
      <c r="W41" s="4">
        <f>IFERROR((Q41/P41),0)</f>
        <v/>
      </c>
      <c r="X41" s="4">
        <f>IFERROR(((0+O11+O12+O13+O14+O15+O16+O17+O19+O20+O21+O22+O23+O24+O25+O27+O28+O29+O30+O31+O32+O33+O35+O36+O37+O38+O39+O40+O41)/T2),0)</f>
        <v/>
      </c>
      <c r="Y41" s="5">
        <f>IFERROR(ROUND(O41/Q41,2),0)</f>
        <v/>
      </c>
      <c r="Z41" s="5">
        <f>IFERROR(ROUND(O41/R41,2),0)</f>
        <v/>
      </c>
      <c r="AA41" s="2" t="inlineStr">
        <is>
          <t>2023-10-17</t>
        </is>
      </c>
      <c r="AB41" s="5">
        <f>ROUND(5.44,2)</f>
        <v/>
      </c>
      <c r="AC41" s="3">
        <f>ROUND(1500.0,2)</f>
        <v/>
      </c>
      <c r="AD41" s="3">
        <f>ROUND(34.0,2)</f>
        <v/>
      </c>
      <c r="AE41" s="3">
        <f>ROUND(27.0,2)</f>
        <v/>
      </c>
      <c r="AF41" s="3">
        <f>ROUND(21.0,2)</f>
        <v/>
      </c>
      <c r="AG41" s="3">
        <f>ROUND(13.0,2)</f>
        <v/>
      </c>
      <c r="AH41" s="3">
        <f>ROUND(9.0,2)</f>
        <v/>
      </c>
      <c r="AI41" s="3">
        <f>ROUND(6.0,2)</f>
        <v/>
      </c>
      <c r="AJ41" s="4">
        <f>IFERROR((AD41/AC41),0)</f>
        <v/>
      </c>
      <c r="AK41" s="4">
        <f>IFERROR(((0+AB11+AB12+AB13+AB14+AB15+AB16+AB17+AB19+AB20+AB21+AB22+AB23+AB24+AB25+AB27+AB28+AB29+AB30+AB31+AB32+AB33+AB35+AB36+AB37+AB38+AB39+AB40+AB41)/T2),0)</f>
        <v/>
      </c>
      <c r="AL41" s="5">
        <f>IFERROR(ROUND(AB41/AD41,2),0)</f>
        <v/>
      </c>
      <c r="AM41" s="5">
        <f>IFERROR(ROUND(AB41/AE41,2),0)</f>
        <v/>
      </c>
      <c r="AN41" s="2" t="inlineStr">
        <is>
          <t>2023-10-17</t>
        </is>
      </c>
      <c r="AO41" s="5">
        <f>ROUND(1.44,2)</f>
        <v/>
      </c>
      <c r="AP41" s="3">
        <f>ROUND(468.0,2)</f>
        <v/>
      </c>
      <c r="AQ41" s="3">
        <f>ROUND(9.0,2)</f>
        <v/>
      </c>
      <c r="AR41" s="3">
        <f>ROUND(23.0,2)</f>
        <v/>
      </c>
      <c r="AS41" s="3">
        <f>ROUND(22.0,2)</f>
        <v/>
      </c>
      <c r="AT41" s="3">
        <f>ROUND(12.0,2)</f>
        <v/>
      </c>
      <c r="AU41" s="3">
        <f>ROUND(8.0,2)</f>
        <v/>
      </c>
      <c r="AV41" s="3">
        <f>ROUND(6.0,2)</f>
        <v/>
      </c>
      <c r="AW41" s="4">
        <f>IFERROR((AQ41/AP41),0)</f>
        <v/>
      </c>
      <c r="AX41" s="4">
        <f>IFERROR(((0+AO11+AO12+AO13+AO14+AO15+AO16+AO17+AO19+AO20+AO21+AO22+AO23+AO24+AO25+AO27+AO28+AO29+AO30+AO31+AO32+AO33+AO35+AO36+AO37+AO38+AO39+AO40+AO41)/T2),0)</f>
        <v/>
      </c>
      <c r="AY41" s="5">
        <f>IFERROR(ROUND(AO41/AQ41,2),0)</f>
        <v/>
      </c>
      <c r="AZ41" s="5">
        <f>IFERROR(ROUND(AO41/AR41,2),0)</f>
        <v/>
      </c>
      <c r="BA41" s="2" t="inlineStr">
        <is>
          <t>2023-10-17</t>
        </is>
      </c>
      <c r="BB41" s="5">
        <f>ROUND(8.0,2)</f>
        <v/>
      </c>
      <c r="BC41" s="3">
        <f>ROUND(1820.0,2)</f>
        <v/>
      </c>
      <c r="BD41" s="3">
        <f>ROUND(50.0,2)</f>
        <v/>
      </c>
      <c r="BE41" s="3">
        <f>ROUND(28.0,2)</f>
        <v/>
      </c>
      <c r="BF41" s="3">
        <f>ROUND(26.0,2)</f>
        <v/>
      </c>
      <c r="BG41" s="3">
        <f>ROUND(13.0,2)</f>
        <v/>
      </c>
      <c r="BH41" s="3">
        <f>ROUND(11.0,2)</f>
        <v/>
      </c>
      <c r="BI41" s="3">
        <f>ROUND(5.0,2)</f>
        <v/>
      </c>
      <c r="BJ41" s="4">
        <f>IFERROR((BD41/BC41),0)</f>
        <v/>
      </c>
      <c r="BK41" s="4">
        <f>IFERROR(((0+BB11+BB12+BB13+BB14+BB15+BB16+BB17+BB19+BB20+BB21+BB22+BB23+BB24+BB25+BB27+BB28+BB29+BB30+BB31+BB32+BB33+BB35+BB36+BB37+BB38+BB39+BB40+BB41)/T2),0)</f>
        <v/>
      </c>
      <c r="BL41" s="5">
        <f>IFERROR(ROUND(BB41/BD41,2),0)</f>
        <v/>
      </c>
      <c r="BM41" s="5">
        <f>IFERROR(ROUND(BB41/BE41,2),0)</f>
        <v/>
      </c>
      <c r="BN41" s="2" t="inlineStr">
        <is>
          <t>2023-10-17</t>
        </is>
      </c>
      <c r="BO41" s="5">
        <f>ROUND(34.72,2)</f>
        <v/>
      </c>
      <c r="BP41" s="3">
        <f>ROUND(6453.0,2)</f>
        <v/>
      </c>
      <c r="BQ41" s="3">
        <f>ROUND(217.0,2)</f>
        <v/>
      </c>
      <c r="BR41" s="3">
        <f>ROUND(676.0,2)</f>
        <v/>
      </c>
      <c r="BS41" s="3">
        <f>ROUND(545.0,2)</f>
        <v/>
      </c>
      <c r="BT41" s="3">
        <f>ROUND(178.0,2)</f>
        <v/>
      </c>
      <c r="BU41" s="3">
        <f>ROUND(120.0,2)</f>
        <v/>
      </c>
      <c r="BV41" s="3">
        <f>ROUND(79.0,2)</f>
        <v/>
      </c>
      <c r="BW41" s="4">
        <f>IFERROR((BQ41/BP41),0)</f>
        <v/>
      </c>
      <c r="BX41" s="4">
        <f>IFERROR(((0+BO11+BO12+BO13+BO14+BO15+BO16+BO17+BO19+BO20+BO21+BO22+BO23+BO24+BO25+BO27+BO28+BO29+BO30+BO31+BO32+BO33+BO35+BO36+BO37+BO38+BO39+BO40+BO41)/T2),0)</f>
        <v/>
      </c>
      <c r="BY41" s="5">
        <f>IFERROR(ROUND(BO41/BQ41,2),0)</f>
        <v/>
      </c>
      <c r="BZ41" s="5">
        <f>IFERROR(ROUND(BO41/BR41,2),0)</f>
        <v/>
      </c>
      <c r="CA41" s="2" t="inlineStr">
        <is>
          <t>2023-10-17</t>
        </is>
      </c>
      <c r="CB41" s="5">
        <f>ROUND(12.32,2)</f>
        <v/>
      </c>
      <c r="CC41" s="3">
        <f>ROUND(2272.0,2)</f>
        <v/>
      </c>
      <c r="CD41" s="3">
        <f>ROUND(77.0,2)</f>
        <v/>
      </c>
      <c r="CE41" s="3">
        <f>ROUND(140.0,2)</f>
        <v/>
      </c>
      <c r="CF41" s="3">
        <f>ROUND(125.0,2)</f>
        <v/>
      </c>
      <c r="CG41" s="3">
        <f>ROUND(45.0,2)</f>
        <v/>
      </c>
      <c r="CH41" s="3">
        <f>ROUND(28.0,2)</f>
        <v/>
      </c>
      <c r="CI41" s="3">
        <f>ROUND(20.0,2)</f>
        <v/>
      </c>
      <c r="CJ41" s="4">
        <f>IFERROR((CD41/CC41),0)</f>
        <v/>
      </c>
      <c r="CK41" s="4">
        <f>IFERROR(((0+CB11+CB12+CB13+CB14+CB15+CB16+CB17+CB19+CB20+CB21+CB22+CB23+CB24+CB25+CB27+CB28+CB29+CB30+CB31+CB32+CB33+CB35+CB36+CB37+CB38+CB39+CB40+CB41)/T2),0)</f>
        <v/>
      </c>
      <c r="CL41" s="5">
        <f>IFERROR(ROUND(CB41/CD41,2),0)</f>
        <v/>
      </c>
      <c r="CM41" s="5">
        <f>IFERROR(ROUND(CB41/CE41,2),0)</f>
        <v/>
      </c>
      <c r="CN41" s="2" t="inlineStr">
        <is>
          <t>2023-10-17</t>
        </is>
      </c>
      <c r="CO41" s="5">
        <f>ROUND(17.439999999999998,2)</f>
        <v/>
      </c>
      <c r="CP41" s="3">
        <f>ROUND(3046.0,2)</f>
        <v/>
      </c>
      <c r="CQ41" s="3">
        <f>ROUND(109.0,2)</f>
        <v/>
      </c>
      <c r="CR41" s="3">
        <f>ROUND(34.0,2)</f>
        <v/>
      </c>
      <c r="CS41" s="3">
        <f>ROUND(25.0,2)</f>
        <v/>
      </c>
      <c r="CT41" s="3">
        <f>ROUND(16.0,2)</f>
        <v/>
      </c>
      <c r="CU41" s="3">
        <f>ROUND(13.0,2)</f>
        <v/>
      </c>
      <c r="CV41" s="3">
        <f>ROUND(10.0,2)</f>
        <v/>
      </c>
      <c r="CW41" s="4">
        <f>IFERROR((CQ41/CP41),0)</f>
        <v/>
      </c>
      <c r="CX41" s="4">
        <f>IFERROR(((0+CO11+CO12+CO13+CO14+CO15+CO16+CO17+CO19+CO20+CO21+CO22+CO23+CO24+CO25+CO27+CO28+CO29+CO30+CO31+CO32+CO33+CO35+CO36+CO37+CO38+CO39+CO40+CO41)/T2),0)</f>
        <v/>
      </c>
      <c r="CY41" s="5">
        <f>IFERROR(ROUND(CO41/CQ41,2),0)</f>
        <v/>
      </c>
      <c r="CZ41" s="5">
        <f>IFERROR(ROUND(CO41/CR41,2),0)</f>
        <v/>
      </c>
      <c r="DA41" s="2" t="inlineStr">
        <is>
          <t>2023-10-17</t>
        </is>
      </c>
      <c r="DB41" s="5">
        <f>ROUND(5.28,2)</f>
        <v/>
      </c>
      <c r="DC41" s="3">
        <f>ROUND(1551.0,2)</f>
        <v/>
      </c>
      <c r="DD41" s="3">
        <f>ROUND(33.0,2)</f>
        <v/>
      </c>
      <c r="DE41" s="3">
        <f>ROUND(29.0,2)</f>
        <v/>
      </c>
      <c r="DF41" s="3">
        <f>ROUND(26.0,2)</f>
        <v/>
      </c>
      <c r="DG41" s="3">
        <f>ROUND(14.0,2)</f>
        <v/>
      </c>
      <c r="DH41" s="3">
        <f>ROUND(10.0,2)</f>
        <v/>
      </c>
      <c r="DI41" s="3">
        <f>ROUND(7.0,2)</f>
        <v/>
      </c>
      <c r="DJ41" s="4">
        <f>IFERROR((DD41/DC41),0)</f>
        <v/>
      </c>
      <c r="DK41" s="4">
        <f>IFERROR(((0+DB11+DB12+DB13+DB14+DB15+DB16+DB17+DB19+DB20+DB21+DB22+DB23+DB24+DB25+DB27+DB28+DB29+DB30+DB31+DB32+DB33+DB35+DB36+DB37+DB38+DB39+DB40+DB41)/T2),0)</f>
        <v/>
      </c>
      <c r="DL41" s="5">
        <f>IFERROR(ROUND(DB41/DD41,2),0)</f>
        <v/>
      </c>
      <c r="DM41" s="5">
        <f>IFERROR(ROUND(DB41/DE41,2),0)</f>
        <v/>
      </c>
      <c r="DN41" s="2" t="inlineStr">
        <is>
          <t>2023-10-17</t>
        </is>
      </c>
      <c r="DO41" s="5">
        <f>ROUND(0.96,2)</f>
        <v/>
      </c>
      <c r="DP41" s="3">
        <f>ROUND(378.0,2)</f>
        <v/>
      </c>
      <c r="DQ41" s="3">
        <f>ROUND(6.0,2)</f>
        <v/>
      </c>
      <c r="DR41" s="3">
        <f>ROUND(32.0,2)</f>
        <v/>
      </c>
      <c r="DS41" s="3">
        <f>ROUND(28.0,2)</f>
        <v/>
      </c>
      <c r="DT41" s="3">
        <f>ROUND(16.0,2)</f>
        <v/>
      </c>
      <c r="DU41" s="3">
        <f>ROUND(12.0,2)</f>
        <v/>
      </c>
      <c r="DV41" s="3">
        <f>ROUND(10.0,2)</f>
        <v/>
      </c>
      <c r="DW41" s="4">
        <f>IFERROR((DQ41/DP41),0)</f>
        <v/>
      </c>
      <c r="DX41" s="4">
        <f>IFERROR(((0+DO11+DO12+DO13+DO14+DO15+DO16+DO17+DO19+DO20+DO21+DO22+DO23+DO24+DO25+DO27+DO28+DO29+DO30+DO31+DO32+DO33+DO35+DO36+DO37+DO38+DO39+DO40+DO41)/T2),0)</f>
        <v/>
      </c>
      <c r="DY41" s="5">
        <f>IFERROR(ROUND(DO41/DQ41,2),0)</f>
        <v/>
      </c>
      <c r="DZ41" s="5">
        <f>IFERROR(ROUND(DO41/DR41,2),0)</f>
        <v/>
      </c>
      <c r="EA41" s="2" t="inlineStr">
        <is>
          <t>2023-10-17</t>
        </is>
      </c>
      <c r="EB41" s="5">
        <f>ROUND(4.0,2)</f>
        <v/>
      </c>
      <c r="EC41" s="3">
        <f>ROUND(967.0,2)</f>
        <v/>
      </c>
      <c r="ED41" s="3">
        <f>ROUND(25.0,2)</f>
        <v/>
      </c>
      <c r="EE41" s="3">
        <f>ROUND(25.0,2)</f>
        <v/>
      </c>
      <c r="EF41" s="3">
        <f>ROUND(18.0,2)</f>
        <v/>
      </c>
      <c r="EG41" s="3">
        <f>ROUND(10.0,2)</f>
        <v/>
      </c>
      <c r="EH41" s="3">
        <f>ROUND(9.0,2)</f>
        <v/>
      </c>
      <c r="EI41" s="3">
        <f>ROUND(9.0,2)</f>
        <v/>
      </c>
      <c r="EJ41" s="4">
        <f>IFERROR((ED41/EC41),0)</f>
        <v/>
      </c>
      <c r="EK41" s="4">
        <f>IFERROR(((0+EB11+EB12+EB13+EB14+EB15+EB16+EB17+EB19+EB20+EB21+EB22+EB23+EB24+EB25+EB27+EB28+EB29+EB30+EB31+EB32+EB33+EB35+EB36+EB37+EB38+EB39+EB40+EB41)/T2),0)</f>
        <v/>
      </c>
      <c r="EL41" s="5">
        <f>IFERROR(ROUND(EB41/ED41,2),0)</f>
        <v/>
      </c>
      <c r="EM41" s="5">
        <f>IFERROR(ROUND(EB41/EE41,2),0)</f>
        <v/>
      </c>
      <c r="EN41" s="2" t="inlineStr">
        <is>
          <t>2023-10-17</t>
        </is>
      </c>
      <c r="EO41" s="5">
        <f>ROUND(3.6799999999999997,2)</f>
        <v/>
      </c>
      <c r="EP41" s="3">
        <f>ROUND(592.0,2)</f>
        <v/>
      </c>
      <c r="EQ41" s="3">
        <f>ROUND(23.0,2)</f>
        <v/>
      </c>
      <c r="ER41" s="3">
        <f>ROUND(37.0,2)</f>
        <v/>
      </c>
      <c r="ES41" s="3">
        <f>ROUND(27.0,2)</f>
        <v/>
      </c>
      <c r="ET41" s="3">
        <f>ROUND(10.0,2)</f>
        <v/>
      </c>
      <c r="EU41" s="3">
        <f>ROUND(8.0,2)</f>
        <v/>
      </c>
      <c r="EV41" s="3">
        <f>ROUND(6.0,2)</f>
        <v/>
      </c>
      <c r="EW41" s="4">
        <f>IFERROR((EQ41/EP41),0)</f>
        <v/>
      </c>
      <c r="EX41" s="4">
        <f>IFERROR(((0+EO11+EO12+EO13+EO14+EO15+EO16+EO17+EO19+EO20+EO21+EO22+EO23+EO24+EO25+EO27+EO28+EO29+EO30+EO31+EO32+EO33+EO35+EO36+EO37+EO38+EO39+EO40+EO41)/T2),0)</f>
        <v/>
      </c>
      <c r="EY41" s="5">
        <f>IFERROR(ROUND(EO41/EQ41,2),0)</f>
        <v/>
      </c>
      <c r="EZ41" s="5">
        <f>IFERROR(ROUND(EO41/ER41,2),0)</f>
        <v/>
      </c>
      <c r="FA41" s="2" t="inlineStr">
        <is>
          <t>2023-10-17</t>
        </is>
      </c>
      <c r="FB41" s="5">
        <f>ROUND(7.5200000000000005,2)</f>
        <v/>
      </c>
      <c r="FC41" s="3">
        <f>ROUND(987.0,2)</f>
        <v/>
      </c>
      <c r="FD41" s="3">
        <f>ROUND(47.0,2)</f>
        <v/>
      </c>
      <c r="FE41" s="3">
        <f>ROUND(116.0,2)</f>
        <v/>
      </c>
      <c r="FF41" s="3">
        <f>ROUND(103.0,2)</f>
        <v/>
      </c>
      <c r="FG41" s="3">
        <f>ROUND(37.0,2)</f>
        <v/>
      </c>
      <c r="FH41" s="3">
        <f>ROUND(24.0,2)</f>
        <v/>
      </c>
      <c r="FI41" s="3">
        <f>ROUND(16.0,2)</f>
        <v/>
      </c>
      <c r="FJ41" s="4">
        <f>IFERROR((FD41/FC41),0)</f>
        <v/>
      </c>
      <c r="FK41" s="4">
        <f>IFERROR(((0+FB11+FB12+FB13+FB14+FB15+FB16+FB17+FB19+FB20+FB21+FB22+FB23+FB24+FB25+FB27+FB28+FB29+FB30+FB31+FB32+FB33+FB35+FB36+FB37+FB38+FB39+FB40+FB41)/T2),0)</f>
        <v/>
      </c>
      <c r="FL41" s="5">
        <f>IFERROR(ROUND(FB41/FD41,2),0)</f>
        <v/>
      </c>
      <c r="FM41" s="5">
        <f>IFERROR(ROUND(FB41/FE41,2),0)</f>
        <v/>
      </c>
      <c r="FN41" s="2" t="inlineStr">
        <is>
          <t>2023-10-17</t>
        </is>
      </c>
      <c r="FO41" s="5">
        <f>ROUND(0.48,2)</f>
        <v/>
      </c>
      <c r="FP41" s="3">
        <f>ROUND(149.0,2)</f>
        <v/>
      </c>
      <c r="FQ41" s="3">
        <f>ROUND(3.0,2)</f>
        <v/>
      </c>
      <c r="FR41" s="3">
        <f>ROUND(3.0,2)</f>
        <v/>
      </c>
      <c r="FS41" s="3">
        <f>ROUND(3.0,2)</f>
        <v/>
      </c>
      <c r="FT41" s="3">
        <f>ROUND(1.0,2)</f>
        <v/>
      </c>
      <c r="FU41" s="3">
        <f>ROUND(1.0,2)</f>
        <v/>
      </c>
      <c r="FV41" s="3">
        <f>ROUND(1.0,2)</f>
        <v/>
      </c>
      <c r="FW41" s="4">
        <f>IFERROR((FQ41/FP41),0)</f>
        <v/>
      </c>
      <c r="FX41" s="4">
        <f>IFERROR(((0+FO11+FO12+FO13+FO14+FO15+FO16+FO17+FO19+FO20+FO21+FO22+FO23+FO24+FO25+FO27+FO28+FO29+FO30+FO31+FO32+FO33+FO35+FO36+FO37+FO38+FO39+FO40+FO41)/T2),0)</f>
        <v/>
      </c>
      <c r="FY41" s="5">
        <f>IFERROR(ROUND(FO41/FQ41,2),0)</f>
        <v/>
      </c>
      <c r="FZ41" s="5">
        <f>IFERROR(ROUND(FO41/FR41,2),0)</f>
        <v/>
      </c>
      <c r="GA41" s="2" t="inlineStr">
        <is>
          <t>2023-10-17</t>
        </is>
      </c>
      <c r="GB41" s="5">
        <f>ROUND(4.96,2)</f>
        <v/>
      </c>
      <c r="GC41" s="3">
        <f>ROUND(996.0,2)</f>
        <v/>
      </c>
      <c r="GD41" s="3">
        <f>ROUND(31.0,2)</f>
        <v/>
      </c>
      <c r="GE41" s="3">
        <f>ROUND(106.0,2)</f>
        <v/>
      </c>
      <c r="GF41" s="3">
        <f>ROUND(95.0,2)</f>
        <v/>
      </c>
      <c r="GG41" s="3">
        <f>ROUND(38.0,2)</f>
        <v/>
      </c>
      <c r="GH41" s="3">
        <f>ROUND(24.0,2)</f>
        <v/>
      </c>
      <c r="GI41" s="3">
        <f>ROUND(16.0,2)</f>
        <v/>
      </c>
      <c r="GJ41" s="4">
        <f>IFERROR((GD41/GC41),0)</f>
        <v/>
      </c>
      <c r="GK41" s="4">
        <f>IFERROR(((0+GB11+GB12+GB13+GB14+GB15+GB16+GB17+GB19+GB20+GB21+GB22+GB23+GB24+GB25+GB27+GB28+GB29+GB30+GB31+GB32+GB33+GB35+GB36+GB37+GB38+GB39+GB40+GB41)/T2),0)</f>
        <v/>
      </c>
      <c r="GL41" s="5">
        <f>IFERROR(ROUND(GB41/GD41,2),0)</f>
        <v/>
      </c>
      <c r="GM41" s="5">
        <f>IFERROR(ROUND(GB41/GE41,2),0)</f>
        <v/>
      </c>
      <c r="GN41" s="2" t="inlineStr">
        <is>
          <t>2023-10-17</t>
        </is>
      </c>
      <c r="GO41" s="5">
        <f>ROUND(0.16,2)</f>
        <v/>
      </c>
      <c r="GP41" s="3">
        <f>ROUND(160.0,2)</f>
        <v/>
      </c>
      <c r="GQ41" s="3">
        <f>ROUND(1.0,2)</f>
        <v/>
      </c>
      <c r="GR41" s="3">
        <f>ROUND(2.0,2)</f>
        <v/>
      </c>
      <c r="GS41" s="3">
        <f>ROUND(2.0,2)</f>
        <v/>
      </c>
      <c r="GT41" s="3">
        <f>ROUND(1.0,2)</f>
        <v/>
      </c>
      <c r="GU41" s="3">
        <f>ROUND(0.0,2)</f>
        <v/>
      </c>
      <c r="GV41" s="3">
        <f>ROUND(0.0,2)</f>
        <v/>
      </c>
      <c r="GW41" s="4">
        <f>IFERROR((GQ41/GP41),0)</f>
        <v/>
      </c>
      <c r="GX41" s="4">
        <f>IFERROR(((0+GO11+GO12+GO13+GO14+GO15+GO16+GO17+GO19+GO20+GO21+GO22+GO23+GO24+GO25+GO27+GO28+GO29+GO30+GO31+GO32+GO33+GO35+GO36+GO37+GO38+GO39+GO40+GO41)/T2),0)</f>
        <v/>
      </c>
      <c r="GY41" s="5">
        <f>IFERROR(ROUND(GO41/GQ41,2),0)</f>
        <v/>
      </c>
      <c r="GZ41" s="5">
        <f>IFERROR(ROUND(GO41/GR41,2),0)</f>
        <v/>
      </c>
      <c r="HA41" s="2" t="inlineStr">
        <is>
          <t>2023-10-17</t>
        </is>
      </c>
      <c r="HB41" s="5">
        <f>ROUND(1.12,2)</f>
        <v/>
      </c>
      <c r="HC41" s="3">
        <f>ROUND(841.0,2)</f>
        <v/>
      </c>
      <c r="HD41" s="3">
        <f>ROUND(7.0,2)</f>
        <v/>
      </c>
      <c r="HE41" s="3">
        <f>ROUND(26.0,2)</f>
        <v/>
      </c>
      <c r="HF41" s="3">
        <f>ROUND(22.0,2)</f>
        <v/>
      </c>
      <c r="HG41" s="3">
        <f>ROUND(11.0,2)</f>
        <v/>
      </c>
      <c r="HH41" s="3">
        <f>ROUND(9.0,2)</f>
        <v/>
      </c>
      <c r="HI41" s="3">
        <f>ROUND(8.0,2)</f>
        <v/>
      </c>
      <c r="HJ41" s="4">
        <f>IFERROR((HD41/HC41),0)</f>
        <v/>
      </c>
      <c r="HK41" s="4">
        <f>IFERROR(((0+HB11+HB12+HB13+HB14+HB15+HB16+HB17+HB19+HB20+HB21+HB22+HB23+HB24+HB25+HB27+HB28+HB29+HB30+HB31+HB32+HB33+HB35+HB36+HB37+HB38+HB39+HB40+HB41)/T2),0)</f>
        <v/>
      </c>
      <c r="HL41" s="5">
        <f>IFERROR(ROUND(HB41/HD41,2),0)</f>
        <v/>
      </c>
      <c r="HM41" s="5">
        <f>IFERROR(ROUND(HB41/HE41,2),0)</f>
        <v/>
      </c>
      <c r="HN41" s="2" t="inlineStr">
        <is>
          <t>2023-10-17</t>
        </is>
      </c>
      <c r="HO41" s="5">
        <f>ROUND(0.48,2)</f>
        <v/>
      </c>
      <c r="HP41" s="3">
        <f>ROUND(73.0,2)</f>
        <v/>
      </c>
      <c r="HQ41" s="3">
        <f>ROUND(3.0,2)</f>
        <v/>
      </c>
      <c r="HR41" s="3">
        <f>ROUND(6.0,2)</f>
        <v/>
      </c>
      <c r="HS41" s="3">
        <f>ROUND(5.0,2)</f>
        <v/>
      </c>
      <c r="HT41" s="3">
        <f>ROUND(3.0,2)</f>
        <v/>
      </c>
      <c r="HU41" s="3">
        <f>ROUND(1.0,2)</f>
        <v/>
      </c>
      <c r="HV41" s="3">
        <f>ROUND(1.0,2)</f>
        <v/>
      </c>
      <c r="HW41" s="4">
        <f>IFERROR((HQ41/HP41),0)</f>
        <v/>
      </c>
      <c r="HX41" s="4">
        <f>IFERROR(((0+HO11+HO12+HO13+HO14+HO15+HO16+HO17+HO19+HO20+HO21+HO22+HO23+HO24+HO25+HO27+HO28+HO29+HO30+HO31+HO32+HO33+HO35+HO36+HO37+HO38+HO39+HO40+HO41)/T2),0)</f>
        <v/>
      </c>
      <c r="HY41" s="5">
        <f>IFERROR(ROUND(HO41/HQ41,2),0)</f>
        <v/>
      </c>
      <c r="HZ41" s="5">
        <f>IFERROR(ROUND(HO41/HR41,2),0)</f>
        <v/>
      </c>
      <c r="IA41" s="2" t="inlineStr">
        <is>
          <t>2023-10-17</t>
        </is>
      </c>
      <c r="IB41" s="5">
        <f>ROUND(0.48,2)</f>
        <v/>
      </c>
      <c r="IC41" s="3">
        <f>ROUND(415.0,2)</f>
        <v/>
      </c>
      <c r="ID41" s="3">
        <f>ROUND(3.0,2)</f>
        <v/>
      </c>
      <c r="IE41" s="3">
        <f>ROUND(11.0,2)</f>
        <v/>
      </c>
      <c r="IF41" s="3">
        <f>ROUND(9.0,2)</f>
        <v/>
      </c>
      <c r="IG41" s="3">
        <f>ROUND(6.0,2)</f>
        <v/>
      </c>
      <c r="IH41" s="3">
        <f>ROUND(5.0,2)</f>
        <v/>
      </c>
      <c r="II41" s="3">
        <f>ROUND(2.0,2)</f>
        <v/>
      </c>
      <c r="IJ41" s="4">
        <f>IFERROR((ID41/IC41),0)</f>
        <v/>
      </c>
      <c r="IK41" s="4">
        <f>IFERROR(((0+IB11+IB12+IB13+IB14+IB15+IB16+IB17+IB19+IB20+IB21+IB22+IB23+IB24+IB25+IB27+IB28+IB29+IB30+IB31+IB32+IB33+IB35+IB36+IB37+IB38+IB39+IB40+IB41)/T2),0)</f>
        <v/>
      </c>
      <c r="IL41" s="5">
        <f>IFERROR(ROUND(IB41/ID41,2),0)</f>
        <v/>
      </c>
      <c r="IM41" s="5">
        <f>IFERROR(ROUND(IB41/IE41,2),0)</f>
        <v/>
      </c>
      <c r="IN41" s="2" t="inlineStr">
        <is>
          <t>2023-10-17</t>
        </is>
      </c>
      <c r="IO41" s="5">
        <f>ROUND(2.56,2)</f>
        <v/>
      </c>
      <c r="IP41" s="3">
        <f>ROUND(409.0,2)</f>
        <v/>
      </c>
      <c r="IQ41" s="3">
        <f>ROUND(16.0,2)</f>
        <v/>
      </c>
      <c r="IR41" s="3">
        <f>ROUND(12.0,2)</f>
        <v/>
      </c>
      <c r="IS41" s="3">
        <f>ROUND(9.0,2)</f>
        <v/>
      </c>
      <c r="IT41" s="3">
        <f>ROUND(4.0,2)</f>
        <v/>
      </c>
      <c r="IU41" s="3">
        <f>ROUND(3.0,2)</f>
        <v/>
      </c>
      <c r="IV41" s="3">
        <f>ROUND(3.0,2)</f>
        <v/>
      </c>
      <c r="IW41" s="4">
        <f>IFERROR((IQ41/IP41),0)</f>
        <v/>
      </c>
      <c r="IX41" s="4">
        <f>IFERROR(((0+IO11+IO12+IO13+IO14+IO15+IO16+IO17+IO19+IO20+IO21+IO22+IO23+IO24+IO25+IO27+IO28+IO29+IO30+IO31+IO32+IO33+IO35+IO36+IO37+IO38+IO39+IO40+IO41)/T2),0)</f>
        <v/>
      </c>
      <c r="IY41" s="5">
        <f>IFERROR(ROUND(IO41/IQ41,2),0)</f>
        <v/>
      </c>
      <c r="IZ41" s="5">
        <f>IFERROR(ROUND(IO41/IR41,2),0)</f>
        <v/>
      </c>
      <c r="JA41" s="2" t="inlineStr">
        <is>
          <t>2023-10-17</t>
        </is>
      </c>
      <c r="JB41" s="5">
        <f>ROUND(0.16,2)</f>
        <v/>
      </c>
      <c r="JC41" s="3">
        <f>ROUND(31.0,2)</f>
        <v/>
      </c>
      <c r="JD41" s="3">
        <f>ROUND(1.0,2)</f>
        <v/>
      </c>
      <c r="JE41" s="3">
        <f>ROUND(1.0,2)</f>
        <v/>
      </c>
      <c r="JF41" s="3">
        <f>ROUND(1.0,2)</f>
        <v/>
      </c>
      <c r="JG41" s="3">
        <f>ROUND(1.0,2)</f>
        <v/>
      </c>
      <c r="JH41" s="3">
        <f>ROUND(1.0,2)</f>
        <v/>
      </c>
      <c r="JI41" s="3">
        <f>ROUND(1.0,2)</f>
        <v/>
      </c>
      <c r="JJ41" s="4">
        <f>IFERROR((JD41/JC41),0)</f>
        <v/>
      </c>
      <c r="JK41" s="4">
        <f>IFERROR(((0+JB11+JB12+JB13+JB14+JB15+JB16+JB17+JB19+JB20+JB21+JB22+JB23+JB24+JB25+JB27+JB28+JB29+JB30+JB31+JB32+JB33+JB35+JB36+JB37+JB38+JB39+JB40+JB41)/T2),0)</f>
        <v/>
      </c>
      <c r="JL41" s="5">
        <f>IFERROR(ROUND(JB41/JD41,2),0)</f>
        <v/>
      </c>
      <c r="JM41" s="5">
        <f>IFERROR(ROUND(JB41/JE41,2),0)</f>
        <v/>
      </c>
    </row>
    <row r="42">
      <c r="A42" s="2" t="inlineStr">
        <is>
          <t>4 Weekly Total</t>
        </is>
      </c>
      <c r="B42" s="5">
        <f>ROUND(843.33,2)</f>
        <v/>
      </c>
      <c r="C42" s="3">
        <f>ROUND(169930.0,2)</f>
        <v/>
      </c>
      <c r="D42" s="3">
        <f>ROUND(4841.0,2)</f>
        <v/>
      </c>
      <c r="E42" s="3">
        <f>ROUND(11715.0,2)</f>
        <v/>
      </c>
      <c r="F42" s="3">
        <f>ROUND(9600.0,2)</f>
        <v/>
      </c>
      <c r="G42" s="3">
        <f>ROUND(3861.0,2)</f>
        <v/>
      </c>
      <c r="H42" s="3">
        <f>ROUND(2644.0,2)</f>
        <v/>
      </c>
      <c r="I42" s="3">
        <f>ROUND(1883.0,2)</f>
        <v/>
      </c>
      <c r="J42" s="4">
        <f>IFERROR((D42/C42),0)</f>
        <v/>
      </c>
      <c r="K42" s="4">
        <f>IFERROR(((0+B11+B12+B13+B14+B15+B16+B17+B19+B20+B21+B22+B23+B24+B25+B27+B28+B29+B30+B31+B32+B33+B35+B36+B37+B38+B39+B40+B41)/T2),0)</f>
        <v/>
      </c>
      <c r="L42" s="5">
        <f>IFERROR(ROUND(B42/D42,2),0)</f>
        <v/>
      </c>
      <c r="M42" s="5">
        <f>IFERROR(ROUND(B42/E42,2),0)</f>
        <v/>
      </c>
      <c r="N42" s="2" t="inlineStr">
        <is>
          <t>4 Weekly Total</t>
        </is>
      </c>
      <c r="O42" s="5">
        <f>ROUND(43.96,2)</f>
        <v/>
      </c>
      <c r="P42" s="3">
        <f>ROUND(10228.0,2)</f>
        <v/>
      </c>
      <c r="Q42" s="3">
        <f>ROUND(248.0,2)</f>
        <v/>
      </c>
      <c r="R42" s="3">
        <f>ROUND(551.0,2)</f>
        <v/>
      </c>
      <c r="S42" s="3">
        <f>ROUND(427.0,2)</f>
        <v/>
      </c>
      <c r="T42" s="3">
        <f>ROUND(175.0,2)</f>
        <v/>
      </c>
      <c r="U42" s="3">
        <f>ROUND(127.0,2)</f>
        <v/>
      </c>
      <c r="V42" s="3">
        <f>ROUND(101.0,2)</f>
        <v/>
      </c>
      <c r="W42" s="4">
        <f>IFERROR((Q42/P42),0)</f>
        <v/>
      </c>
      <c r="X42" s="4">
        <f>IFERROR(((0+O11+O12+O13+O14+O15+O16+O17+O19+O20+O21+O22+O23+O24+O25+O27+O28+O29+O30+O31+O32+O33+O35+O36+O37+O38+O39+O40+O41)/T2),0)</f>
        <v/>
      </c>
      <c r="Y42" s="5">
        <f>IFERROR(ROUND(O42/Q42,2),0)</f>
        <v/>
      </c>
      <c r="Z42" s="5">
        <f>IFERROR(ROUND(O42/R42,2),0)</f>
        <v/>
      </c>
      <c r="AA42" s="2" t="inlineStr">
        <is>
          <t>4 Weekly Total</t>
        </is>
      </c>
      <c r="AB42" s="5">
        <f>ROUND(38.55,2)</f>
        <v/>
      </c>
      <c r="AC42" s="3">
        <f>ROUND(10179.0,2)</f>
        <v/>
      </c>
      <c r="AD42" s="3">
        <f>ROUND(226.0,2)</f>
        <v/>
      </c>
      <c r="AE42" s="3">
        <f>ROUND(245.0,2)</f>
        <v/>
      </c>
      <c r="AF42" s="3">
        <f>ROUND(182.0,2)</f>
        <v/>
      </c>
      <c r="AG42" s="3">
        <f>ROUND(89.0,2)</f>
        <v/>
      </c>
      <c r="AH42" s="3">
        <f>ROUND(64.0,2)</f>
        <v/>
      </c>
      <c r="AI42" s="3">
        <f>ROUND(52.0,2)</f>
        <v/>
      </c>
      <c r="AJ42" s="4">
        <f>IFERROR((AD42/AC42),0)</f>
        <v/>
      </c>
      <c r="AK42" s="4">
        <f>IFERROR(((0+AB11+AB12+AB13+AB14+AB15+AB16+AB17+AB19+AB20+AB21+AB22+AB23+AB24+AB25+AB27+AB28+AB29+AB30+AB31+AB32+AB33+AB35+AB36+AB37+AB38+AB39+AB40+AB41)/T2),0)</f>
        <v/>
      </c>
      <c r="AL42" s="5">
        <f>IFERROR(ROUND(AB42/AD42,2),0)</f>
        <v/>
      </c>
      <c r="AM42" s="5">
        <f>IFERROR(ROUND(AB42/AE42,2),0)</f>
        <v/>
      </c>
      <c r="AN42" s="2" t="inlineStr">
        <is>
          <t>4 Weekly Total</t>
        </is>
      </c>
      <c r="AO42" s="5">
        <f>ROUND(13.94,2)</f>
        <v/>
      </c>
      <c r="AP42" s="3">
        <f>ROUND(3479.0,2)</f>
        <v/>
      </c>
      <c r="AQ42" s="3">
        <f>ROUND(77.0,2)</f>
        <v/>
      </c>
      <c r="AR42" s="3">
        <f>ROUND(193.0,2)</f>
        <v/>
      </c>
      <c r="AS42" s="3">
        <f>ROUND(159.0,2)</f>
        <v/>
      </c>
      <c r="AT42" s="3">
        <f>ROUND(96.0,2)</f>
        <v/>
      </c>
      <c r="AU42" s="3">
        <f>ROUND(63.0,2)</f>
        <v/>
      </c>
      <c r="AV42" s="3">
        <f>ROUND(51.0,2)</f>
        <v/>
      </c>
      <c r="AW42" s="4">
        <f>IFERROR((AQ42/AP42),0)</f>
        <v/>
      </c>
      <c r="AX42" s="4">
        <f>IFERROR(((0+AO11+AO12+AO13+AO14+AO15+AO16+AO17+AO19+AO20+AO21+AO22+AO23+AO24+AO25+AO27+AO28+AO29+AO30+AO31+AO32+AO33+AO35+AO36+AO37+AO38+AO39+AO40+AO41)/T2),0)</f>
        <v/>
      </c>
      <c r="AY42" s="5">
        <f>IFERROR(ROUND(AO42/AQ42,2),0)</f>
        <v/>
      </c>
      <c r="AZ42" s="5">
        <f>IFERROR(ROUND(AO42/AR42,2),0)</f>
        <v/>
      </c>
      <c r="BA42" s="2" t="inlineStr">
        <is>
          <t>4 Weekly Total</t>
        </is>
      </c>
      <c r="BB42" s="5">
        <f>ROUND(64.65,2)</f>
        <v/>
      </c>
      <c r="BC42" s="3">
        <f>ROUND(13346.0,2)</f>
        <v/>
      </c>
      <c r="BD42" s="3">
        <f>ROUND(379.0,2)</f>
        <v/>
      </c>
      <c r="BE42" s="3">
        <f>ROUND(316.0,2)</f>
        <v/>
      </c>
      <c r="BF42" s="3">
        <f>ROUND(244.0,2)</f>
        <v/>
      </c>
      <c r="BG42" s="3">
        <f>ROUND(132.0,2)</f>
        <v/>
      </c>
      <c r="BH42" s="3">
        <f>ROUND(93.0,2)</f>
        <v/>
      </c>
      <c r="BI42" s="3">
        <f>ROUND(70.0,2)</f>
        <v/>
      </c>
      <c r="BJ42" s="4">
        <f>IFERROR((BD42/BC42),0)</f>
        <v/>
      </c>
      <c r="BK42" s="4">
        <f>IFERROR(((0+BB11+BB12+BB13+BB14+BB15+BB16+BB17+BB19+BB20+BB21+BB22+BB23+BB24+BB25+BB27+BB28+BB29+BB30+BB31+BB32+BB33+BB35+BB36+BB37+BB38+BB39+BB40+BB41)/T2),0)</f>
        <v/>
      </c>
      <c r="BL42" s="5">
        <f>IFERROR(ROUND(BB42/BD42,2),0)</f>
        <v/>
      </c>
      <c r="BM42" s="5">
        <f>IFERROR(ROUND(BB42/BE42,2),0)</f>
        <v/>
      </c>
      <c r="BN42" s="2" t="inlineStr">
        <is>
          <t>4 Weekly Total</t>
        </is>
      </c>
      <c r="BO42" s="5">
        <f>ROUND(238.65,2)</f>
        <v/>
      </c>
      <c r="BP42" s="3">
        <f>ROUND(41407.0,2)</f>
        <v/>
      </c>
      <c r="BQ42" s="3">
        <f>ROUND(1399.0,2)</f>
        <v/>
      </c>
      <c r="BR42" s="3">
        <f>ROUND(3768.0,2)</f>
        <v/>
      </c>
      <c r="BS42" s="3">
        <f>ROUND(3057.0,2)</f>
        <v/>
      </c>
      <c r="BT42" s="3">
        <f>ROUND(1029.0,2)</f>
        <v/>
      </c>
      <c r="BU42" s="3">
        <f>ROUND(726.0,2)</f>
        <v/>
      </c>
      <c r="BV42" s="3">
        <f>ROUND(496.0,2)</f>
        <v/>
      </c>
      <c r="BW42" s="4">
        <f>IFERROR((BQ42/BP42),0)</f>
        <v/>
      </c>
      <c r="BX42" s="4">
        <f>IFERROR(((0+BO11+BO12+BO13+BO14+BO15+BO16+BO17+BO19+BO20+BO21+BO22+BO23+BO24+BO25+BO27+BO28+BO29+BO30+BO31+BO32+BO33+BO35+BO36+BO37+BO38+BO39+BO40+BO41)/T2),0)</f>
        <v/>
      </c>
      <c r="BY42" s="5">
        <f>IFERROR(ROUND(BO42/BQ42,2),0)</f>
        <v/>
      </c>
      <c r="BZ42" s="5">
        <f>IFERROR(ROUND(BO42/BR42,2),0)</f>
        <v/>
      </c>
      <c r="CA42" s="2" t="inlineStr">
        <is>
          <t>4 Weekly Total</t>
        </is>
      </c>
      <c r="CB42" s="5">
        <f>ROUND(87.45,2)</f>
        <v/>
      </c>
      <c r="CC42" s="3">
        <f>ROUND(19854.0,2)</f>
        <v/>
      </c>
      <c r="CD42" s="3">
        <f>ROUND(497.0,2)</f>
        <v/>
      </c>
      <c r="CE42" s="3">
        <f>ROUND(1674.0,2)</f>
        <v/>
      </c>
      <c r="CF42" s="3">
        <f>ROUND(1461.0,2)</f>
        <v/>
      </c>
      <c r="CG42" s="3">
        <f>ROUND(513.0,2)</f>
        <v/>
      </c>
      <c r="CH42" s="3">
        <f>ROUND(308.0,2)</f>
        <v/>
      </c>
      <c r="CI42" s="3">
        <f>ROUND(200.0,2)</f>
        <v/>
      </c>
      <c r="CJ42" s="4">
        <f>IFERROR((CD42/CC42),0)</f>
        <v/>
      </c>
      <c r="CK42" s="4">
        <f>IFERROR(((0+CB11+CB12+CB13+CB14+CB15+CB16+CB17+CB19+CB20+CB21+CB22+CB23+CB24+CB25+CB27+CB28+CB29+CB30+CB31+CB32+CB33+CB35+CB36+CB37+CB38+CB39+CB40+CB41)/T2),0)</f>
        <v/>
      </c>
      <c r="CL42" s="5">
        <f>IFERROR(ROUND(CB42/CD42,2),0)</f>
        <v/>
      </c>
      <c r="CM42" s="5">
        <f>IFERROR(ROUND(CB42/CE42,2),0)</f>
        <v/>
      </c>
      <c r="CN42" s="2" t="inlineStr">
        <is>
          <t>4 Weekly Total</t>
        </is>
      </c>
      <c r="CO42" s="5">
        <f>ROUND(61.67,2)</f>
        <v/>
      </c>
      <c r="CP42" s="3">
        <f>ROUND(13126.0,2)</f>
        <v/>
      </c>
      <c r="CQ42" s="3">
        <f>ROUND(351.0,2)</f>
        <v/>
      </c>
      <c r="CR42" s="3">
        <f>ROUND(412.0,2)</f>
        <v/>
      </c>
      <c r="CS42" s="3">
        <f>ROUND(340.0,2)</f>
        <v/>
      </c>
      <c r="CT42" s="3">
        <f>ROUND(168.0,2)</f>
        <v/>
      </c>
      <c r="CU42" s="3">
        <f>ROUND(126.0,2)</f>
        <v/>
      </c>
      <c r="CV42" s="3">
        <f>ROUND(90.0,2)</f>
        <v/>
      </c>
      <c r="CW42" s="4">
        <f>IFERROR((CQ42/CP42),0)</f>
        <v/>
      </c>
      <c r="CX42" s="4">
        <f>IFERROR(((0+CO11+CO12+CO13+CO14+CO15+CO16+CO17+CO19+CO20+CO21+CO22+CO23+CO24+CO25+CO27+CO28+CO29+CO30+CO31+CO32+CO33+CO35+CO36+CO37+CO38+CO39+CO40+CO41)/T2),0)</f>
        <v/>
      </c>
      <c r="CY42" s="5">
        <f>IFERROR(ROUND(CO42/CQ42,2),0)</f>
        <v/>
      </c>
      <c r="CZ42" s="5">
        <f>IFERROR(ROUND(CO42/CR42,2),0)</f>
        <v/>
      </c>
      <c r="DA42" s="2" t="inlineStr">
        <is>
          <t>4 Weekly Total</t>
        </is>
      </c>
      <c r="DB42" s="5">
        <f>ROUND(22.46,2)</f>
        <v/>
      </c>
      <c r="DC42" s="3">
        <f>ROUND(6465.0,2)</f>
        <v/>
      </c>
      <c r="DD42" s="3">
        <f>ROUND(129.0,2)</f>
        <v/>
      </c>
      <c r="DE42" s="3">
        <f>ROUND(252.0,2)</f>
        <v/>
      </c>
      <c r="DF42" s="3">
        <f>ROUND(211.0,2)</f>
        <v/>
      </c>
      <c r="DG42" s="3">
        <f>ROUND(111.0,2)</f>
        <v/>
      </c>
      <c r="DH42" s="3">
        <f>ROUND(80.0,2)</f>
        <v/>
      </c>
      <c r="DI42" s="3">
        <f>ROUND(58.0,2)</f>
        <v/>
      </c>
      <c r="DJ42" s="4">
        <f>IFERROR((DD42/DC42),0)</f>
        <v/>
      </c>
      <c r="DK42" s="4">
        <f>IFERROR(((0+DB11+DB12+DB13+DB14+DB15+DB16+DB17+DB19+DB20+DB21+DB22+DB23+DB24+DB25+DB27+DB28+DB29+DB30+DB31+DB32+DB33+DB35+DB36+DB37+DB38+DB39+DB40+DB41)/T2),0)</f>
        <v/>
      </c>
      <c r="DL42" s="5">
        <f>IFERROR(ROUND(DB42/DD42,2),0)</f>
        <v/>
      </c>
      <c r="DM42" s="5">
        <f>IFERROR(ROUND(DB42/DE42,2),0)</f>
        <v/>
      </c>
      <c r="DN42" s="2" t="inlineStr">
        <is>
          <t>4 Weekly Total</t>
        </is>
      </c>
      <c r="DO42" s="5">
        <f>ROUND(14.67,2)</f>
        <v/>
      </c>
      <c r="DP42" s="3">
        <f>ROUND(4990.0,2)</f>
        <v/>
      </c>
      <c r="DQ42" s="3">
        <f>ROUND(72.0,2)</f>
        <v/>
      </c>
      <c r="DR42" s="3">
        <f>ROUND(330.0,2)</f>
        <v/>
      </c>
      <c r="DS42" s="3">
        <f>ROUND(268.0,2)</f>
        <v/>
      </c>
      <c r="DT42" s="3">
        <f>ROUND(142.0,2)</f>
        <v/>
      </c>
      <c r="DU42" s="3">
        <f>ROUND(104.0,2)</f>
        <v/>
      </c>
      <c r="DV42" s="3">
        <f>ROUND(84.0,2)</f>
        <v/>
      </c>
      <c r="DW42" s="4">
        <f>IFERROR((DQ42/DP42),0)</f>
        <v/>
      </c>
      <c r="DX42" s="4">
        <f>IFERROR(((0+DO11+DO12+DO13+DO14+DO15+DO16+DO17+DO19+DO20+DO21+DO22+DO23+DO24+DO25+DO27+DO28+DO29+DO30+DO31+DO32+DO33+DO35+DO36+DO37+DO38+DO39+DO40+DO41)/T2),0)</f>
        <v/>
      </c>
      <c r="DY42" s="5">
        <f>IFERROR(ROUND(DO42/DQ42,2),0)</f>
        <v/>
      </c>
      <c r="DZ42" s="5">
        <f>IFERROR(ROUND(DO42/DR42,2),0)</f>
        <v/>
      </c>
      <c r="EA42" s="2" t="inlineStr">
        <is>
          <t>4 Weekly Total</t>
        </is>
      </c>
      <c r="EB42" s="5">
        <f>ROUND(49.07,2)</f>
        <v/>
      </c>
      <c r="EC42" s="3">
        <f>ROUND(9168.0,2)</f>
        <v/>
      </c>
      <c r="ED42" s="3">
        <f>ROUND(269.0,2)</f>
        <v/>
      </c>
      <c r="EE42" s="3">
        <f>ROUND(320.0,2)</f>
        <v/>
      </c>
      <c r="EF42" s="3">
        <f>ROUND(214.0,2)</f>
        <v/>
      </c>
      <c r="EG42" s="3">
        <f>ROUND(120.0,2)</f>
        <v/>
      </c>
      <c r="EH42" s="3">
        <f>ROUND(88.0,2)</f>
        <v/>
      </c>
      <c r="EI42" s="3">
        <f>ROUND(70.0,2)</f>
        <v/>
      </c>
      <c r="EJ42" s="4">
        <f>IFERROR((ED42/EC42),0)</f>
        <v/>
      </c>
      <c r="EK42" s="4">
        <f>IFERROR(((0+EB11+EB12+EB13+EB14+EB15+EB16+EB17+EB19+EB20+EB21+EB22+EB23+EB24+EB25+EB27+EB28+EB29+EB30+EB31+EB32+EB33+EB35+EB36+EB37+EB38+EB39+EB40+EB41)/T2),0)</f>
        <v/>
      </c>
      <c r="EL42" s="5">
        <f>IFERROR(ROUND(EB42/ED42,2),0)</f>
        <v/>
      </c>
      <c r="EM42" s="5">
        <f>IFERROR(ROUND(EB42/EE42,2),0)</f>
        <v/>
      </c>
      <c r="EN42" s="2" t="inlineStr">
        <is>
          <t>4 Weekly Total</t>
        </is>
      </c>
      <c r="EO42" s="5">
        <f>ROUND(60.43,2)</f>
        <v/>
      </c>
      <c r="EP42" s="3">
        <f>ROUND(7292.0,2)</f>
        <v/>
      </c>
      <c r="EQ42" s="3">
        <f>ROUND(304.0,2)</f>
        <v/>
      </c>
      <c r="ER42" s="3">
        <f>ROUND(735.0,2)</f>
        <v/>
      </c>
      <c r="ES42" s="3">
        <f>ROUND(527.0,2)</f>
        <v/>
      </c>
      <c r="ET42" s="3">
        <f>ROUND(198.0,2)</f>
        <v/>
      </c>
      <c r="EU42" s="3">
        <f>ROUND(144.0,2)</f>
        <v/>
      </c>
      <c r="EV42" s="3">
        <f>ROUND(105.0,2)</f>
        <v/>
      </c>
      <c r="EW42" s="4">
        <f>IFERROR((EQ42/EP42),0)</f>
        <v/>
      </c>
      <c r="EX42" s="4">
        <f>IFERROR(((0+EO11+EO12+EO13+EO14+EO15+EO16+EO17+EO19+EO20+EO21+EO22+EO23+EO24+EO25+EO27+EO28+EO29+EO30+EO31+EO32+EO33+EO35+EO36+EO37+EO38+EO39+EO40+EO41)/T2),0)</f>
        <v/>
      </c>
      <c r="EY42" s="5">
        <f>IFERROR(ROUND(EO42/EQ42,2),0)</f>
        <v/>
      </c>
      <c r="EZ42" s="5">
        <f>IFERROR(ROUND(EO42/ER42,2),0)</f>
        <v/>
      </c>
      <c r="FA42" s="2" t="inlineStr">
        <is>
          <t>4 Weekly Total</t>
        </is>
      </c>
      <c r="FB42" s="5">
        <f>ROUND(38.18,2)</f>
        <v/>
      </c>
      <c r="FC42" s="3">
        <f>ROUND(6114.0,2)</f>
        <v/>
      </c>
      <c r="FD42" s="3">
        <f>ROUND(229.0,2)</f>
        <v/>
      </c>
      <c r="FE42" s="3">
        <f>ROUND(644.0,2)</f>
        <v/>
      </c>
      <c r="FF42" s="3">
        <f>ROUND(573.0,2)</f>
        <v/>
      </c>
      <c r="FG42" s="3">
        <f>ROUND(224.0,2)</f>
        <v/>
      </c>
      <c r="FH42" s="3">
        <f>ROUND(148.0,2)</f>
        <v/>
      </c>
      <c r="FI42" s="3">
        <f>ROUND(96.0,2)</f>
        <v/>
      </c>
      <c r="FJ42" s="4">
        <f>IFERROR((FD42/FC42),0)</f>
        <v/>
      </c>
      <c r="FK42" s="4">
        <f>IFERROR(((0+FB11+FB12+FB13+FB14+FB15+FB16+FB17+FB19+FB20+FB21+FB22+FB23+FB24+FB25+FB27+FB28+FB29+FB30+FB31+FB32+FB33+FB35+FB36+FB37+FB38+FB39+FB40+FB41)/T2),0)</f>
        <v/>
      </c>
      <c r="FL42" s="5">
        <f>IFERROR(ROUND(FB42/FD42,2),0)</f>
        <v/>
      </c>
      <c r="FM42" s="5">
        <f>IFERROR(ROUND(FB42/FE42,2),0)</f>
        <v/>
      </c>
      <c r="FN42" s="2" t="inlineStr">
        <is>
          <t>4 Weekly Total</t>
        </is>
      </c>
      <c r="FO42" s="5">
        <f>ROUND(4.87,2)</f>
        <v/>
      </c>
      <c r="FP42" s="3">
        <f>ROUND(1366.0,2)</f>
        <v/>
      </c>
      <c r="FQ42" s="3">
        <f>ROUND(32.0,2)</f>
        <v/>
      </c>
      <c r="FR42" s="3">
        <f>ROUND(82.0,2)</f>
        <v/>
      </c>
      <c r="FS42" s="3">
        <f>ROUND(74.0,2)</f>
        <v/>
      </c>
      <c r="FT42" s="3">
        <f>ROUND(41.0,2)</f>
        <v/>
      </c>
      <c r="FU42" s="3">
        <f>ROUND(34.0,2)</f>
        <v/>
      </c>
      <c r="FV42" s="3">
        <f>ROUND(27.0,2)</f>
        <v/>
      </c>
      <c r="FW42" s="4">
        <f>IFERROR((FQ42/FP42),0)</f>
        <v/>
      </c>
      <c r="FX42" s="4">
        <f>IFERROR(((0+FO11+FO12+FO13+FO14+FO15+FO16+FO17+FO19+FO20+FO21+FO22+FO23+FO24+FO25+FO27+FO28+FO29+FO30+FO31+FO32+FO33+FO35+FO36+FO37+FO38+FO39+FO40+FO41)/T2),0)</f>
        <v/>
      </c>
      <c r="FY42" s="5">
        <f>IFERROR(ROUND(FO42/FQ42,2),0)</f>
        <v/>
      </c>
      <c r="FZ42" s="5">
        <f>IFERROR(ROUND(FO42/FR42,2),0)</f>
        <v/>
      </c>
      <c r="GA42" s="2" t="inlineStr">
        <is>
          <t>4 Weekly Total</t>
        </is>
      </c>
      <c r="GB42" s="5">
        <f>ROUND(66.94,2)</f>
        <v/>
      </c>
      <c r="GC42" s="3">
        <f>ROUND(11767.0,2)</f>
        <v/>
      </c>
      <c r="GD42" s="3">
        <f>ROUND(398.0,2)</f>
        <v/>
      </c>
      <c r="GE42" s="3">
        <f>ROUND(1586.0,2)</f>
        <v/>
      </c>
      <c r="GF42" s="3">
        <f>ROUND(1411.0,2)</f>
        <v/>
      </c>
      <c r="GG42" s="3">
        <f>ROUND(563.0,2)</f>
        <v/>
      </c>
      <c r="GH42" s="3">
        <f>ROUND(329.0,2)</f>
        <v/>
      </c>
      <c r="GI42" s="3">
        <f>ROUND(214.0,2)</f>
        <v/>
      </c>
      <c r="GJ42" s="4">
        <f>IFERROR((GD42/GC42),0)</f>
        <v/>
      </c>
      <c r="GK42" s="4">
        <f>IFERROR(((0+GB11+GB12+GB13+GB14+GB15+GB16+GB17+GB19+GB20+GB21+GB22+GB23+GB24+GB25+GB27+GB28+GB29+GB30+GB31+GB32+GB33+GB35+GB36+GB37+GB38+GB39+GB40+GB41)/T2),0)</f>
        <v/>
      </c>
      <c r="GL42" s="5">
        <f>IFERROR(ROUND(GB42/GD42,2),0)</f>
        <v/>
      </c>
      <c r="GM42" s="5">
        <f>IFERROR(ROUND(GB42/GE42,2),0)</f>
        <v/>
      </c>
      <c r="GN42" s="2" t="inlineStr">
        <is>
          <t>4 Weekly Total</t>
        </is>
      </c>
      <c r="GO42" s="5">
        <f>ROUND(2.17,2)</f>
        <v/>
      </c>
      <c r="GP42" s="3">
        <f>ROUND(953.0,2)</f>
        <v/>
      </c>
      <c r="GQ42" s="3">
        <f>ROUND(15.0,2)</f>
        <v/>
      </c>
      <c r="GR42" s="3">
        <f>ROUND(61.0,2)</f>
        <v/>
      </c>
      <c r="GS42" s="3">
        <f>ROUND(53.0,2)</f>
        <v/>
      </c>
      <c r="GT42" s="3">
        <f>ROUND(33.0,2)</f>
        <v/>
      </c>
      <c r="GU42" s="3">
        <f>ROUND(26.0,2)</f>
        <v/>
      </c>
      <c r="GV42" s="3">
        <f>ROUND(19.0,2)</f>
        <v/>
      </c>
      <c r="GW42" s="4">
        <f>IFERROR((GQ42/GP42),0)</f>
        <v/>
      </c>
      <c r="GX42" s="4">
        <f>IFERROR(((0+GO11+GO12+GO13+GO14+GO15+GO16+GO17+GO19+GO20+GO21+GO22+GO23+GO24+GO25+GO27+GO28+GO29+GO30+GO31+GO32+GO33+GO35+GO36+GO37+GO38+GO39+GO40+GO41)/T2),0)</f>
        <v/>
      </c>
      <c r="GY42" s="5">
        <f>IFERROR(ROUND(GO42/GQ42,2),0)</f>
        <v/>
      </c>
      <c r="GZ42" s="5">
        <f>IFERROR(ROUND(GO42/GR42,2),0)</f>
        <v/>
      </c>
      <c r="HA42" s="2" t="inlineStr">
        <is>
          <t>4 Weekly Total</t>
        </is>
      </c>
      <c r="HB42" s="5">
        <f>ROUND(9.26,2)</f>
        <v/>
      </c>
      <c r="HC42" s="3">
        <f>ROUND(3834.0,2)</f>
        <v/>
      </c>
      <c r="HD42" s="3">
        <f>ROUND(53.0,2)</f>
        <v/>
      </c>
      <c r="HE42" s="3">
        <f>ROUND(196.0,2)</f>
        <v/>
      </c>
      <c r="HF42" s="3">
        <f>ROUND(140.0,2)</f>
        <v/>
      </c>
      <c r="HG42" s="3">
        <f>ROUND(72.0,2)</f>
        <v/>
      </c>
      <c r="HH42" s="3">
        <f>ROUND(62.0,2)</f>
        <v/>
      </c>
      <c r="HI42" s="3">
        <f>ROUND(52.0,2)</f>
        <v/>
      </c>
      <c r="HJ42" s="4">
        <f>IFERROR((HD42/HC42),0)</f>
        <v/>
      </c>
      <c r="HK42" s="4">
        <f>IFERROR(((0+HB11+HB12+HB13+HB14+HB15+HB16+HB17+HB19+HB20+HB21+HB22+HB23+HB24+HB25+HB27+HB28+HB29+HB30+HB31+HB32+HB33+HB35+HB36+HB37+HB38+HB39+HB40+HB41)/T2),0)</f>
        <v/>
      </c>
      <c r="HL42" s="5">
        <f>IFERROR(ROUND(HB42/HD42,2),0)</f>
        <v/>
      </c>
      <c r="HM42" s="5">
        <f>IFERROR(ROUND(HB42/HE42,2),0)</f>
        <v/>
      </c>
      <c r="HN42" s="2" t="inlineStr">
        <is>
          <t>4 Weekly Total</t>
        </is>
      </c>
      <c r="HO42" s="5">
        <f>ROUND(3.55,2)</f>
        <v/>
      </c>
      <c r="HP42" s="3">
        <f>ROUND(884.0,2)</f>
        <v/>
      </c>
      <c r="HQ42" s="3">
        <f>ROUND(21.0,2)</f>
        <v/>
      </c>
      <c r="HR42" s="3">
        <f>ROUND(63.0,2)</f>
        <v/>
      </c>
      <c r="HS42" s="3">
        <f>ROUND(51.0,2)</f>
        <v/>
      </c>
      <c r="HT42" s="3">
        <f>ROUND(33.0,2)</f>
        <v/>
      </c>
      <c r="HU42" s="3">
        <f>ROUND(24.0,2)</f>
        <v/>
      </c>
      <c r="HV42" s="3">
        <f>ROUND(19.0,2)</f>
        <v/>
      </c>
      <c r="HW42" s="4">
        <f>IFERROR((HQ42/HP42),0)</f>
        <v/>
      </c>
      <c r="HX42" s="4">
        <f>IFERROR(((0+HO11+HO12+HO13+HO14+HO15+HO16+HO17+HO19+HO20+HO21+HO22+HO23+HO24+HO25+HO27+HO28+HO29+HO30+HO31+HO32+HO33+HO35+HO36+HO37+HO38+HO39+HO40+HO41)/T2),0)</f>
        <v/>
      </c>
      <c r="HY42" s="5">
        <f>IFERROR(ROUND(HO42/HQ42,2),0)</f>
        <v/>
      </c>
      <c r="HZ42" s="5">
        <f>IFERROR(ROUND(HO42/HR42,2),0)</f>
        <v/>
      </c>
      <c r="IA42" s="2" t="inlineStr">
        <is>
          <t>4 Weekly Total</t>
        </is>
      </c>
      <c r="IB42" s="5">
        <f>ROUND(8.31,2)</f>
        <v/>
      </c>
      <c r="IC42" s="3">
        <f>ROUND(2400.0,2)</f>
        <v/>
      </c>
      <c r="ID42" s="3">
        <f>ROUND(52.0,2)</f>
        <v/>
      </c>
      <c r="IE42" s="3">
        <f>ROUND(131.0,2)</f>
        <v/>
      </c>
      <c r="IF42" s="3">
        <f>ROUND(92.0,2)</f>
        <v/>
      </c>
      <c r="IG42" s="3">
        <f>ROUND(52.0,2)</f>
        <v/>
      </c>
      <c r="IH42" s="3">
        <f>ROUND(42.0,2)</f>
        <v/>
      </c>
      <c r="II42" s="3">
        <f>ROUND(33.0,2)</f>
        <v/>
      </c>
      <c r="IJ42" s="4">
        <f>IFERROR((ID42/IC42),0)</f>
        <v/>
      </c>
      <c r="IK42" s="4">
        <f>IFERROR(((0+IB11+IB12+IB13+IB14+IB15+IB16+IB17+IB19+IB20+IB21+IB22+IB23+IB24+IB25+IB27+IB28+IB29+IB30+IB31+IB32+IB33+IB35+IB36+IB37+IB38+IB39+IB40+IB41)/T2),0)</f>
        <v/>
      </c>
      <c r="IL42" s="5">
        <f>IFERROR(ROUND(IB42/ID42,2),0)</f>
        <v/>
      </c>
      <c r="IM42" s="5">
        <f>IFERROR(ROUND(IB42/IE42,2),0)</f>
        <v/>
      </c>
      <c r="IN42" s="2" t="inlineStr">
        <is>
          <t>4 Weekly Total</t>
        </is>
      </c>
      <c r="IO42" s="5">
        <f>ROUND(14.2,2)</f>
        <v/>
      </c>
      <c r="IP42" s="3">
        <f>ROUND(2603.0,2)</f>
        <v/>
      </c>
      <c r="IQ42" s="3">
        <f>ROUND(88.0,2)</f>
        <v/>
      </c>
      <c r="IR42" s="3">
        <f>ROUND(109.0,2)</f>
        <v/>
      </c>
      <c r="IS42" s="3">
        <f>ROUND(79.0,2)</f>
        <v/>
      </c>
      <c r="IT42" s="3">
        <f>ROUND(46.0,2)</f>
        <v/>
      </c>
      <c r="IU42" s="3">
        <f>ROUND(39.0,2)</f>
        <v/>
      </c>
      <c r="IV42" s="3">
        <f>ROUND(31.0,2)</f>
        <v/>
      </c>
      <c r="IW42" s="4">
        <f>IFERROR((IQ42/IP42),0)</f>
        <v/>
      </c>
      <c r="IX42" s="4">
        <f>IFERROR(((0+IO11+IO12+IO13+IO14+IO15+IO16+IO17+IO19+IO20+IO21+IO22+IO23+IO24+IO25+IO27+IO28+IO29+IO30+IO31+IO32+IO33+IO35+IO36+IO37+IO38+IO39+IO40+IO41)/T2),0)</f>
        <v/>
      </c>
      <c r="IY42" s="5">
        <f>IFERROR(ROUND(IO42/IQ42,2),0)</f>
        <v/>
      </c>
      <c r="IZ42" s="5">
        <f>IFERROR(ROUND(IO42/IR42,2),0)</f>
        <v/>
      </c>
      <c r="JA42" s="2" t="inlineStr">
        <is>
          <t>4 Weekly Total</t>
        </is>
      </c>
      <c r="JB42" s="5">
        <f>ROUND(0.35,2)</f>
        <v/>
      </c>
      <c r="JC42" s="3">
        <f>ROUND(475.0,2)</f>
        <v/>
      </c>
      <c r="JD42" s="3">
        <f>ROUND(2.0,2)</f>
        <v/>
      </c>
      <c r="JE42" s="3">
        <f>ROUND(47.0,2)</f>
        <v/>
      </c>
      <c r="JF42" s="3">
        <f>ROUND(37.0,2)</f>
        <v/>
      </c>
      <c r="JG42" s="3">
        <f>ROUND(24.0,2)</f>
        <v/>
      </c>
      <c r="JH42" s="3">
        <f>ROUND(17.0,2)</f>
        <v/>
      </c>
      <c r="JI42" s="3">
        <f>ROUND(15.0,2)</f>
        <v/>
      </c>
      <c r="JJ42" s="4">
        <f>IFERROR((JD42/JC42),0)</f>
        <v/>
      </c>
      <c r="JK42" s="4">
        <f>IFERROR(((0+JB11+JB12+JB13+JB14+JB15+JB16+JB17+JB19+JB20+JB21+JB22+JB23+JB24+JB25+JB27+JB28+JB29+JB30+JB31+JB32+JB33+JB35+JB36+JB37+JB38+JB39+JB40+JB41)/T2),0)</f>
        <v/>
      </c>
      <c r="JL42" s="5">
        <f>IFERROR(ROUND(JB42/JD42,2),0)</f>
        <v/>
      </c>
      <c r="JM42" s="5">
        <f>IFERROR(ROUND(JB42/JE42,2),0)</f>
        <v/>
      </c>
    </row>
    <row r="43">
      <c r="A43" s="2" t="inlineStr">
        <is>
          <t>2023-10-18</t>
        </is>
      </c>
      <c r="B43" s="5">
        <f>ROUND(114.77000000000001,2)</f>
        <v/>
      </c>
      <c r="C43" s="3">
        <f>ROUND(14183.0,2)</f>
        <v/>
      </c>
      <c r="D43" s="3">
        <f>ROUND(499.0,2)</f>
        <v/>
      </c>
      <c r="E43" s="3">
        <f>ROUND(1157.0,2)</f>
        <v/>
      </c>
      <c r="F43" s="3">
        <f>ROUND(973.0,2)</f>
        <v/>
      </c>
      <c r="G43" s="3">
        <f>ROUND(388.0,2)</f>
        <v/>
      </c>
      <c r="H43" s="3">
        <f>ROUND(275.0,2)</f>
        <v/>
      </c>
      <c r="I43" s="3">
        <f>ROUND(198.0,2)</f>
        <v/>
      </c>
      <c r="J43" s="4">
        <f>IFERROR((D43/C43),0)</f>
        <v/>
      </c>
      <c r="K43" s="4">
        <f>IFERROR(((0+B11+B12+B13+B14+B15+B16+B17+B19+B20+B21+B22+B23+B24+B25+B27+B28+B29+B30+B31+B32+B33+B35+B36+B37+B38+B39+B40+B41+B43)/T2),0)</f>
        <v/>
      </c>
      <c r="L43" s="5">
        <f>IFERROR(ROUND(B43/D43,2),0)</f>
        <v/>
      </c>
      <c r="M43" s="5">
        <f>IFERROR(ROUND(B43/E43,2),0)</f>
        <v/>
      </c>
      <c r="N43" s="2" t="inlineStr">
        <is>
          <t>2023-10-18</t>
        </is>
      </c>
      <c r="O43" s="5">
        <f>ROUND(3.45,2)</f>
        <v/>
      </c>
      <c r="P43" s="3">
        <f>ROUND(377.0,2)</f>
        <v/>
      </c>
      <c r="Q43" s="3">
        <f>ROUND(15.0,2)</f>
        <v/>
      </c>
      <c r="R43" s="3">
        <f>ROUND(20.0,2)</f>
        <v/>
      </c>
      <c r="S43" s="3">
        <f>ROUND(17.0,2)</f>
        <v/>
      </c>
      <c r="T43" s="3">
        <f>ROUND(7.0,2)</f>
        <v/>
      </c>
      <c r="U43" s="3">
        <f>ROUND(5.0,2)</f>
        <v/>
      </c>
      <c r="V43" s="3">
        <f>ROUND(6.0,2)</f>
        <v/>
      </c>
      <c r="W43" s="4">
        <f>IFERROR((Q43/P43),0)</f>
        <v/>
      </c>
      <c r="X43" s="4">
        <f>IFERROR(((0+O11+O12+O13+O14+O15+O16+O17+O19+O20+O21+O22+O23+O24+O25+O27+O28+O29+O30+O31+O32+O33+O35+O36+O37+O38+O39+O40+O41+O43)/T2),0)</f>
        <v/>
      </c>
      <c r="Y43" s="5">
        <f>IFERROR(ROUND(O43/Q43,2),0)</f>
        <v/>
      </c>
      <c r="Z43" s="5">
        <f>IFERROR(ROUND(O43/R43,2),0)</f>
        <v/>
      </c>
      <c r="AA43" s="2" t="inlineStr">
        <is>
          <t>2023-10-18</t>
        </is>
      </c>
      <c r="AB43" s="5">
        <f>ROUND(8.74,2)</f>
        <v/>
      </c>
      <c r="AC43" s="3">
        <f>ROUND(1369.0,2)</f>
        <v/>
      </c>
      <c r="AD43" s="3">
        <f>ROUND(38.0,2)</f>
        <v/>
      </c>
      <c r="AE43" s="3">
        <f>ROUND(20.0,2)</f>
        <v/>
      </c>
      <c r="AF43" s="3">
        <f>ROUND(17.0,2)</f>
        <v/>
      </c>
      <c r="AG43" s="3">
        <f>ROUND(9.0,2)</f>
        <v/>
      </c>
      <c r="AH43" s="3">
        <f>ROUND(6.0,2)</f>
        <v/>
      </c>
      <c r="AI43" s="3">
        <f>ROUND(5.0,2)</f>
        <v/>
      </c>
      <c r="AJ43" s="4">
        <f>IFERROR((AD43/AC43),0)</f>
        <v/>
      </c>
      <c r="AK43" s="4">
        <f>IFERROR(((0+AB11+AB12+AB13+AB14+AB15+AB16+AB17+AB19+AB20+AB21+AB22+AB23+AB24+AB25+AB27+AB28+AB29+AB30+AB31+AB32+AB33+AB35+AB36+AB37+AB38+AB39+AB40+AB41+AB43)/T2),0)</f>
        <v/>
      </c>
      <c r="AL43" s="5">
        <f>IFERROR(ROUND(AB43/AD43,2),0)</f>
        <v/>
      </c>
      <c r="AM43" s="5">
        <f>IFERROR(ROUND(AB43/AE43,2),0)</f>
        <v/>
      </c>
      <c r="AN43" s="2" t="inlineStr">
        <is>
          <t>2023-10-18</t>
        </is>
      </c>
      <c r="AO43" s="5">
        <f>ROUND(1.3800000000000001,2)</f>
        <v/>
      </c>
      <c r="AP43" s="3">
        <f>ROUND(235.0,2)</f>
        <v/>
      </c>
      <c r="AQ43" s="3">
        <f>ROUND(6.0,2)</f>
        <v/>
      </c>
      <c r="AR43" s="3">
        <f>ROUND(27.0,2)</f>
        <v/>
      </c>
      <c r="AS43" s="3">
        <f>ROUND(25.0,2)</f>
        <v/>
      </c>
      <c r="AT43" s="3">
        <f>ROUND(17.0,2)</f>
        <v/>
      </c>
      <c r="AU43" s="3">
        <f>ROUND(14.0,2)</f>
        <v/>
      </c>
      <c r="AV43" s="3">
        <f>ROUND(9.0,2)</f>
        <v/>
      </c>
      <c r="AW43" s="4">
        <f>IFERROR((AQ43/AP43),0)</f>
        <v/>
      </c>
      <c r="AX43" s="4">
        <f>IFERROR(((0+AO11+AO12+AO13+AO14+AO15+AO16+AO17+AO19+AO20+AO21+AO22+AO23+AO24+AO25+AO27+AO28+AO29+AO30+AO31+AO32+AO33+AO35+AO36+AO37+AO38+AO39+AO40+AO41+AO43)/T2),0)</f>
        <v/>
      </c>
      <c r="AY43" s="5">
        <f>IFERROR(ROUND(AO43/AQ43,2),0)</f>
        <v/>
      </c>
      <c r="AZ43" s="5">
        <f>IFERROR(ROUND(AO43/AR43,2),0)</f>
        <v/>
      </c>
      <c r="BA43" s="2" t="inlineStr">
        <is>
          <t>2023-10-18</t>
        </is>
      </c>
      <c r="BB43" s="5">
        <f>ROUND(4.6000000000000005,2)</f>
        <v/>
      </c>
      <c r="BC43" s="3">
        <f>ROUND(605.0,2)</f>
        <v/>
      </c>
      <c r="BD43" s="3">
        <f>ROUND(20.0,2)</f>
        <v/>
      </c>
      <c r="BE43" s="3">
        <f>ROUND(11.0,2)</f>
        <v/>
      </c>
      <c r="BF43" s="3">
        <f>ROUND(10.0,2)</f>
        <v/>
      </c>
      <c r="BG43" s="3">
        <f>ROUND(5.0,2)</f>
        <v/>
      </c>
      <c r="BH43" s="3">
        <f>ROUND(4.0,2)</f>
        <v/>
      </c>
      <c r="BI43" s="3">
        <f>ROUND(3.0,2)</f>
        <v/>
      </c>
      <c r="BJ43" s="4">
        <f>IFERROR((BD43/BC43),0)</f>
        <v/>
      </c>
      <c r="BK43" s="4">
        <f>IFERROR(((0+BB11+BB12+BB13+BB14+BB15+BB16+BB17+BB19+BB20+BB21+BB22+BB23+BB24+BB25+BB27+BB28+BB29+BB30+BB31+BB32+BB33+BB35+BB36+BB37+BB38+BB39+BB40+BB41+BB43)/T2),0)</f>
        <v/>
      </c>
      <c r="BL43" s="5">
        <f>IFERROR(ROUND(BB43/BD43,2),0)</f>
        <v/>
      </c>
      <c r="BM43" s="5">
        <f>IFERROR(ROUND(BB43/BE43,2),0)</f>
        <v/>
      </c>
      <c r="BN43" s="2" t="inlineStr">
        <is>
          <t>2023-10-18</t>
        </is>
      </c>
      <c r="BO43" s="5">
        <f>ROUND(41.4,2)</f>
        <v/>
      </c>
      <c r="BP43" s="3">
        <f>ROUND(4560.0,2)</f>
        <v/>
      </c>
      <c r="BQ43" s="3">
        <f>ROUND(180.0,2)</f>
        <v/>
      </c>
      <c r="BR43" s="3">
        <f>ROUND(618.0,2)</f>
        <v/>
      </c>
      <c r="BS43" s="3">
        <f>ROUND(502.0,2)</f>
        <v/>
      </c>
      <c r="BT43" s="3">
        <f>ROUND(179.0,2)</f>
        <v/>
      </c>
      <c r="BU43" s="3">
        <f>ROUND(126.0,2)</f>
        <v/>
      </c>
      <c r="BV43" s="3">
        <f>ROUND(87.0,2)</f>
        <v/>
      </c>
      <c r="BW43" s="4">
        <f>IFERROR((BQ43/BP43),0)</f>
        <v/>
      </c>
      <c r="BX43" s="4">
        <f>IFERROR(((0+BO11+BO12+BO13+BO14+BO15+BO16+BO17+BO19+BO20+BO21+BO22+BO23+BO24+BO25+BO27+BO28+BO29+BO30+BO31+BO32+BO33+BO35+BO36+BO37+BO38+BO39+BO40+BO41+BO43)/T2),0)</f>
        <v/>
      </c>
      <c r="BY43" s="5">
        <f>IFERROR(ROUND(BO43/BQ43,2),0)</f>
        <v/>
      </c>
      <c r="BZ43" s="5">
        <f>IFERROR(ROUND(BO43/BR43,2),0)</f>
        <v/>
      </c>
      <c r="CA43" s="2" t="inlineStr">
        <is>
          <t>2023-10-18</t>
        </is>
      </c>
      <c r="CB43" s="5">
        <f>ROUND(7.590000000000002,2)</f>
        <v/>
      </c>
      <c r="CC43" s="3">
        <f>ROUND(1170.0,2)</f>
        <v/>
      </c>
      <c r="CD43" s="3">
        <f>ROUND(33.0,2)</f>
        <v/>
      </c>
      <c r="CE43" s="3">
        <f>ROUND(94.0,2)</f>
        <v/>
      </c>
      <c r="CF43" s="3">
        <f>ROUND(84.0,2)</f>
        <v/>
      </c>
      <c r="CG43" s="3">
        <f>ROUND(31.0,2)</f>
        <v/>
      </c>
      <c r="CH43" s="3">
        <f>ROUND(21.0,2)</f>
        <v/>
      </c>
      <c r="CI43" s="3">
        <f>ROUND(15.0,2)</f>
        <v/>
      </c>
      <c r="CJ43" s="4">
        <f>IFERROR((CD43/CC43),0)</f>
        <v/>
      </c>
      <c r="CK43" s="4">
        <f>IFERROR(((0+CB11+CB12+CB13+CB14+CB15+CB16+CB17+CB19+CB20+CB21+CB22+CB23+CB24+CB25+CB27+CB28+CB29+CB30+CB31+CB32+CB33+CB35+CB36+CB37+CB38+CB39+CB40+CB41+CB43)/T2),0)</f>
        <v/>
      </c>
      <c r="CL43" s="5">
        <f>IFERROR(ROUND(CB43/CD43,2),0)</f>
        <v/>
      </c>
      <c r="CM43" s="5">
        <f>IFERROR(ROUND(CB43/CE43,2),0)</f>
        <v/>
      </c>
      <c r="CN43" s="2" t="inlineStr">
        <is>
          <t>2023-10-18</t>
        </is>
      </c>
      <c r="CO43" s="5">
        <f>ROUND(15.180000000000001,2)</f>
        <v/>
      </c>
      <c r="CP43" s="3">
        <f>ROUND(1808.0,2)</f>
        <v/>
      </c>
      <c r="CQ43" s="3">
        <f>ROUND(66.0,2)</f>
        <v/>
      </c>
      <c r="CR43" s="3">
        <f>ROUND(19.0,2)</f>
        <v/>
      </c>
      <c r="CS43" s="3">
        <f>ROUND(17.0,2)</f>
        <v/>
      </c>
      <c r="CT43" s="3">
        <f>ROUND(9.0,2)</f>
        <v/>
      </c>
      <c r="CU43" s="3">
        <f>ROUND(8.0,2)</f>
        <v/>
      </c>
      <c r="CV43" s="3">
        <f>ROUND(7.0,2)</f>
        <v/>
      </c>
      <c r="CW43" s="4">
        <f>IFERROR((CQ43/CP43),0)</f>
        <v/>
      </c>
      <c r="CX43" s="4">
        <f>IFERROR(((0+CO11+CO12+CO13+CO14+CO15+CO16+CO17+CO19+CO20+CO21+CO22+CO23+CO24+CO25+CO27+CO28+CO29+CO30+CO31+CO32+CO33+CO35+CO36+CO37+CO38+CO39+CO40+CO41+CO43)/T2),0)</f>
        <v/>
      </c>
      <c r="CY43" s="5">
        <f>IFERROR(ROUND(CO43/CQ43,2),0)</f>
        <v/>
      </c>
      <c r="CZ43" s="5">
        <f>IFERROR(ROUND(CO43/CR43,2),0)</f>
        <v/>
      </c>
      <c r="DA43" s="2" t="inlineStr">
        <is>
          <t>2023-10-18</t>
        </is>
      </c>
      <c r="DB43" s="5">
        <f>ROUND(1.3800000000000001,2)</f>
        <v/>
      </c>
      <c r="DC43" s="3">
        <f>ROUND(812.0,2)</f>
        <v/>
      </c>
      <c r="DD43" s="3">
        <f>ROUND(6.0,2)</f>
        <v/>
      </c>
      <c r="DE43" s="3">
        <f>ROUND(4.0,2)</f>
        <v/>
      </c>
      <c r="DF43" s="3">
        <f>ROUND(4.0,2)</f>
        <v/>
      </c>
      <c r="DG43" s="3">
        <f>ROUND(2.0,2)</f>
        <v/>
      </c>
      <c r="DH43" s="3">
        <f>ROUND(2.0,2)</f>
        <v/>
      </c>
      <c r="DI43" s="3">
        <f>ROUND(2.0,2)</f>
        <v/>
      </c>
      <c r="DJ43" s="4">
        <f>IFERROR((DD43/DC43),0)</f>
        <v/>
      </c>
      <c r="DK43" s="4">
        <f>IFERROR(((0+DB11+DB12+DB13+DB14+DB15+DB16+DB17+DB19+DB20+DB21+DB22+DB23+DB24+DB25+DB27+DB28+DB29+DB30+DB31+DB32+DB33+DB35+DB36+DB37+DB38+DB39+DB40+DB41+DB43)/T2),0)</f>
        <v/>
      </c>
      <c r="DL43" s="5">
        <f>IFERROR(ROUND(DB43/DD43,2),0)</f>
        <v/>
      </c>
      <c r="DM43" s="5">
        <f>IFERROR(ROUND(DB43/DE43,2),0)</f>
        <v/>
      </c>
      <c r="DN43" s="2" t="inlineStr">
        <is>
          <t>2023-10-18</t>
        </is>
      </c>
      <c r="DO43" s="5">
        <f>ROUND(2.3000000000000003,2)</f>
        <v/>
      </c>
      <c r="DP43" s="3">
        <f>ROUND(254.0,2)</f>
        <v/>
      </c>
      <c r="DQ43" s="3">
        <f>ROUND(10.0,2)</f>
        <v/>
      </c>
      <c r="DR43" s="3">
        <f>ROUND(14.0,2)</f>
        <v/>
      </c>
      <c r="DS43" s="3">
        <f>ROUND(13.0,2)</f>
        <v/>
      </c>
      <c r="DT43" s="3">
        <f>ROUND(9.0,2)</f>
        <v/>
      </c>
      <c r="DU43" s="3">
        <f>ROUND(6.0,2)</f>
        <v/>
      </c>
      <c r="DV43" s="3">
        <f>ROUND(6.0,2)</f>
        <v/>
      </c>
      <c r="DW43" s="4">
        <f>IFERROR((DQ43/DP43),0)</f>
        <v/>
      </c>
      <c r="DX43" s="4">
        <f>IFERROR(((0+DO11+DO12+DO13+DO14+DO15+DO16+DO17+DO19+DO20+DO21+DO22+DO23+DO24+DO25+DO27+DO28+DO29+DO30+DO31+DO32+DO33+DO35+DO36+DO37+DO38+DO39+DO40+DO41+DO43)/T2),0)</f>
        <v/>
      </c>
      <c r="DY43" s="5">
        <f>IFERROR(ROUND(DO43/DQ43,2),0)</f>
        <v/>
      </c>
      <c r="DZ43" s="5">
        <f>IFERROR(ROUND(DO43/DR43,2),0)</f>
        <v/>
      </c>
      <c r="EA43" s="2" t="inlineStr">
        <is>
          <t>2023-10-18</t>
        </is>
      </c>
      <c r="EB43" s="5">
        <f>ROUND(3.22,2)</f>
        <v/>
      </c>
      <c r="EC43" s="3">
        <f>ROUND(422.0,2)</f>
        <v/>
      </c>
      <c r="ED43" s="3">
        <f>ROUND(14.0,2)</f>
        <v/>
      </c>
      <c r="EE43" s="3">
        <f>ROUND(9.0,2)</f>
        <v/>
      </c>
      <c r="EF43" s="3">
        <f>ROUND(6.0,2)</f>
        <v/>
      </c>
      <c r="EG43" s="3">
        <f>ROUND(3.0,2)</f>
        <v/>
      </c>
      <c r="EH43" s="3">
        <f>ROUND(3.0,2)</f>
        <v/>
      </c>
      <c r="EI43" s="3">
        <f>ROUND(2.0,2)</f>
        <v/>
      </c>
      <c r="EJ43" s="4">
        <f>IFERROR((ED43/EC43),0)</f>
        <v/>
      </c>
      <c r="EK43" s="4">
        <f>IFERROR(((0+EB11+EB12+EB13+EB14+EB15+EB16+EB17+EB19+EB20+EB21+EB22+EB23+EB24+EB25+EB27+EB28+EB29+EB30+EB31+EB32+EB33+EB35+EB36+EB37+EB38+EB39+EB40+EB41+EB43)/T2),0)</f>
        <v/>
      </c>
      <c r="EL43" s="5">
        <f>IFERROR(ROUND(EB43/ED43,2),0)</f>
        <v/>
      </c>
      <c r="EM43" s="5">
        <f>IFERROR(ROUND(EB43/EE43,2),0)</f>
        <v/>
      </c>
      <c r="EN43" s="2" t="inlineStr">
        <is>
          <t>2023-10-18</t>
        </is>
      </c>
      <c r="EO43" s="5">
        <f>ROUND(0.92,2)</f>
        <v/>
      </c>
      <c r="EP43" s="3">
        <f>ROUND(176.0,2)</f>
        <v/>
      </c>
      <c r="EQ43" s="3">
        <f>ROUND(4.0,2)</f>
        <v/>
      </c>
      <c r="ER43" s="3">
        <f>ROUND(24.0,2)</f>
        <v/>
      </c>
      <c r="ES43" s="3">
        <f>ROUND(16.0,2)</f>
        <v/>
      </c>
      <c r="ET43" s="3">
        <f>ROUND(10.0,2)</f>
        <v/>
      </c>
      <c r="EU43" s="3">
        <f>ROUND(8.0,2)</f>
        <v/>
      </c>
      <c r="EV43" s="3">
        <f>ROUND(7.0,2)</f>
        <v/>
      </c>
      <c r="EW43" s="4">
        <f>IFERROR((EQ43/EP43),0)</f>
        <v/>
      </c>
      <c r="EX43" s="4">
        <f>IFERROR(((0+EO11+EO12+EO13+EO14+EO15+EO16+EO17+EO19+EO20+EO21+EO22+EO23+EO24+EO25+EO27+EO28+EO29+EO30+EO31+EO32+EO33+EO35+EO36+EO37+EO38+EO39+EO40+EO41+EO43)/T2),0)</f>
        <v/>
      </c>
      <c r="EY43" s="5">
        <f>IFERROR(ROUND(EO43/EQ43,2),0)</f>
        <v/>
      </c>
      <c r="EZ43" s="5">
        <f>IFERROR(ROUND(EO43/ER43,2),0)</f>
        <v/>
      </c>
      <c r="FA43" s="2" t="inlineStr">
        <is>
          <t>2023-10-18</t>
        </is>
      </c>
      <c r="FB43" s="5">
        <f>ROUND(15.18,2)</f>
        <v/>
      </c>
      <c r="FC43" s="3">
        <f>ROUND(1207.0,2)</f>
        <v/>
      </c>
      <c r="FD43" s="3">
        <f>ROUND(66.0,2)</f>
        <v/>
      </c>
      <c r="FE43" s="3">
        <f>ROUND(194.0,2)</f>
        <v/>
      </c>
      <c r="FF43" s="3">
        <f>ROUND(171.0,2)</f>
        <v/>
      </c>
      <c r="FG43" s="3">
        <f>ROUND(63.0,2)</f>
        <v/>
      </c>
      <c r="FH43" s="3">
        <f>ROUND(40.0,2)</f>
        <v/>
      </c>
      <c r="FI43" s="3">
        <f>ROUND(27.0,2)</f>
        <v/>
      </c>
      <c r="FJ43" s="4">
        <f>IFERROR((FD43/FC43),0)</f>
        <v/>
      </c>
      <c r="FK43" s="4">
        <f>IFERROR(((0+FB11+FB12+FB13+FB14+FB15+FB16+FB17+FB19+FB20+FB21+FB22+FB23+FB24+FB25+FB27+FB28+FB29+FB30+FB31+FB32+FB33+FB35+FB36+FB37+FB38+FB39+FB40+FB41+FB43)/T2),0)</f>
        <v/>
      </c>
      <c r="FL43" s="5">
        <f>IFERROR(ROUND(FB43/FD43,2),0)</f>
        <v/>
      </c>
      <c r="FM43" s="5">
        <f>IFERROR(ROUND(FB43/FE43,2),0)</f>
        <v/>
      </c>
      <c r="FN43" s="2" t="inlineStr">
        <is>
          <t>2023-10-18</t>
        </is>
      </c>
      <c r="FO43" s="5">
        <f>ROUND(0.46,2)</f>
        <v/>
      </c>
      <c r="FP43" s="3">
        <f>ROUND(69.0,2)</f>
        <v/>
      </c>
      <c r="FQ43" s="3">
        <f>ROUND(2.0,2)</f>
        <v/>
      </c>
      <c r="FR43" s="3">
        <f>ROUND(2.0,2)</f>
        <v/>
      </c>
      <c r="FS43" s="3">
        <f>ROUND(2.0,2)</f>
        <v/>
      </c>
      <c r="FT43" s="3">
        <f>ROUND(2.0,2)</f>
        <v/>
      </c>
      <c r="FU43" s="3">
        <f>ROUND(2.0,2)</f>
        <v/>
      </c>
      <c r="FV43" s="3">
        <f>ROUND(1.0,2)</f>
        <v/>
      </c>
      <c r="FW43" s="4">
        <f>IFERROR((FQ43/FP43),0)</f>
        <v/>
      </c>
      <c r="FX43" s="4">
        <f>IFERROR(((0+FO11+FO12+FO13+FO14+FO15+FO16+FO17+FO19+FO20+FO21+FO22+FO23+FO24+FO25+FO27+FO28+FO29+FO30+FO31+FO32+FO33+FO35+FO36+FO37+FO38+FO39+FO40+FO41+FO43)/T2),0)</f>
        <v/>
      </c>
      <c r="FY43" s="5">
        <f>IFERROR(ROUND(FO43/FQ43,2),0)</f>
        <v/>
      </c>
      <c r="FZ43" s="5">
        <f>IFERROR(ROUND(FO43/FR43,2),0)</f>
        <v/>
      </c>
      <c r="GA43" s="2" t="inlineStr">
        <is>
          <t>2023-10-18</t>
        </is>
      </c>
      <c r="GB43" s="5">
        <f>ROUND(5.0600000000000005,2)</f>
        <v/>
      </c>
      <c r="GC43" s="3">
        <f>ROUND(549.0,2)</f>
        <v/>
      </c>
      <c r="GD43" s="3">
        <f>ROUND(22.0,2)</f>
        <v/>
      </c>
      <c r="GE43" s="3">
        <f>ROUND(82.0,2)</f>
        <v/>
      </c>
      <c r="GF43" s="3">
        <f>ROUND(74.0,2)</f>
        <v/>
      </c>
      <c r="GG43" s="3">
        <f>ROUND(32.0,2)</f>
        <v/>
      </c>
      <c r="GH43" s="3">
        <f>ROUND(22.0,2)</f>
        <v/>
      </c>
      <c r="GI43" s="3">
        <f>ROUND(14.0,2)</f>
        <v/>
      </c>
      <c r="GJ43" s="4">
        <f>IFERROR((GD43/GC43),0)</f>
        <v/>
      </c>
      <c r="GK43" s="4">
        <f>IFERROR(((0+GB11+GB12+GB13+GB14+GB15+GB16+GB17+GB19+GB20+GB21+GB22+GB23+GB24+GB25+GB27+GB28+GB29+GB30+GB31+GB32+GB33+GB35+GB36+GB37+GB38+GB39+GB40+GB41+GB43)/T2),0)</f>
        <v/>
      </c>
      <c r="GL43" s="5">
        <f>IFERROR(ROUND(GB43/GD43,2),0)</f>
        <v/>
      </c>
      <c r="GM43" s="5">
        <f>IFERROR(ROUND(GB43/GE43,2),0)</f>
        <v/>
      </c>
      <c r="GN43" s="2" t="inlineStr">
        <is>
          <t>2023-10-18</t>
        </is>
      </c>
      <c r="GO43" s="5">
        <f>ROUND(0.46,2)</f>
        <v/>
      </c>
      <c r="GP43" s="3">
        <f>ROUND(45.0,2)</f>
        <v/>
      </c>
      <c r="GQ43" s="3">
        <f>ROUND(2.0,2)</f>
        <v/>
      </c>
      <c r="GR43" s="3">
        <f>ROUND(7.0,2)</f>
        <v/>
      </c>
      <c r="GS43" s="3">
        <f>ROUND(6.0,2)</f>
        <v/>
      </c>
      <c r="GT43" s="3">
        <f>ROUND(6.0,2)</f>
        <v/>
      </c>
      <c r="GU43" s="3">
        <f>ROUND(4.0,2)</f>
        <v/>
      </c>
      <c r="GV43" s="3">
        <f>ROUND(4.0,2)</f>
        <v/>
      </c>
      <c r="GW43" s="4">
        <f>IFERROR((GQ43/GP43),0)</f>
        <v/>
      </c>
      <c r="GX43" s="4">
        <f>IFERROR(((0+GO11+GO12+GO13+GO14+GO15+GO16+GO17+GO19+GO20+GO21+GO22+GO23+GO24+GO25+GO27+GO28+GO29+GO30+GO31+GO32+GO33+GO35+GO36+GO37+GO38+GO39+GO40+GO41+GO43)/T2),0)</f>
        <v/>
      </c>
      <c r="GY43" s="5">
        <f>IFERROR(ROUND(GO43/GQ43,2),0)</f>
        <v/>
      </c>
      <c r="GZ43" s="5">
        <f>IFERROR(ROUND(GO43/GR43,2),0)</f>
        <v/>
      </c>
      <c r="HA43" s="2" t="inlineStr">
        <is>
          <t>2023-10-18</t>
        </is>
      </c>
      <c r="HB43" s="5">
        <f>ROUND(0.6900000000000001,2)</f>
        <v/>
      </c>
      <c r="HC43" s="3">
        <f>ROUND(237.0,2)</f>
        <v/>
      </c>
      <c r="HD43" s="3">
        <f>ROUND(3.0,2)</f>
        <v/>
      </c>
      <c r="HE43" s="3">
        <f>ROUND(4.0,2)</f>
        <v/>
      </c>
      <c r="HF43" s="3">
        <f>ROUND(3.0,2)</f>
        <v/>
      </c>
      <c r="HG43" s="3">
        <f>ROUND(1.0,2)</f>
        <v/>
      </c>
      <c r="HH43" s="3">
        <f>ROUND(1.0,2)</f>
        <v/>
      </c>
      <c r="HI43" s="3">
        <f>ROUND(1.0,2)</f>
        <v/>
      </c>
      <c r="HJ43" s="4">
        <f>IFERROR((HD43/HC43),0)</f>
        <v/>
      </c>
      <c r="HK43" s="4">
        <f>IFERROR(((0+HB11+HB12+HB13+HB14+HB15+HB16+HB17+HB19+HB20+HB21+HB22+HB23+HB24+HB25+HB27+HB28+HB29+HB30+HB31+HB32+HB33+HB35+HB36+HB37+HB38+HB39+HB40+HB41+HB43)/T2),0)</f>
        <v/>
      </c>
      <c r="HL43" s="5">
        <f>IFERROR(ROUND(HB43/HD43,2),0)</f>
        <v/>
      </c>
      <c r="HM43" s="5">
        <f>IFERROR(ROUND(HB43/HE43,2),0)</f>
        <v/>
      </c>
      <c r="HN43" s="2" t="inlineStr">
        <is>
          <t>2023-10-18</t>
        </is>
      </c>
      <c r="HO43" s="5">
        <f>ROUND(0.0,2)</f>
        <v/>
      </c>
      <c r="HP43" s="3">
        <f>ROUND(8.0,2)</f>
        <v/>
      </c>
      <c r="HQ43" s="3">
        <f>ROUND(0.0,2)</f>
        <v/>
      </c>
      <c r="HR43" s="3">
        <f>ROUND(0.0,2)</f>
        <v/>
      </c>
      <c r="HS43" s="3">
        <f>ROUND(0.0,2)</f>
        <v/>
      </c>
      <c r="HT43" s="3">
        <f>ROUND(0.0,2)</f>
        <v/>
      </c>
      <c r="HU43" s="3">
        <f>ROUND(0.0,2)</f>
        <v/>
      </c>
      <c r="HV43" s="3">
        <f>ROUND(0.0,2)</f>
        <v/>
      </c>
      <c r="HW43" s="4">
        <f>IFERROR((HQ43/HP43),0)</f>
        <v/>
      </c>
      <c r="HX43" s="4">
        <f>IFERROR(((0+HO11+HO12+HO13+HO14+HO15+HO16+HO17+HO19+HO20+HO21+HO22+HO23+HO24+HO25+HO27+HO28+HO29+HO30+HO31+HO32+HO33+HO35+HO36+HO37+HO38+HO39+HO40+HO41+HO43)/T2),0)</f>
        <v/>
      </c>
      <c r="HY43" s="5">
        <f>IFERROR(ROUND(HO43/HQ43,2),0)</f>
        <v/>
      </c>
      <c r="HZ43" s="5">
        <f>IFERROR(ROUND(HO43/HR43,2),0)</f>
        <v/>
      </c>
      <c r="IA43" s="2" t="inlineStr">
        <is>
          <t>2023-10-18</t>
        </is>
      </c>
      <c r="IB43" s="5">
        <f>ROUND(2.3000000000000003,2)</f>
        <v/>
      </c>
      <c r="IC43" s="3">
        <f>ROUND(191.0,2)</f>
        <v/>
      </c>
      <c r="ID43" s="3">
        <f>ROUND(10.0,2)</f>
        <v/>
      </c>
      <c r="IE43" s="3">
        <f>ROUND(6.0,2)</f>
        <v/>
      </c>
      <c r="IF43" s="3">
        <f>ROUND(4.0,2)</f>
        <v/>
      </c>
      <c r="IG43" s="3">
        <f>ROUND(2.0,2)</f>
        <v/>
      </c>
      <c r="IH43" s="3">
        <f>ROUND(2.0,2)</f>
        <v/>
      </c>
      <c r="II43" s="3">
        <f>ROUND(1.0,2)</f>
        <v/>
      </c>
      <c r="IJ43" s="4">
        <f>IFERROR((ID43/IC43),0)</f>
        <v/>
      </c>
      <c r="IK43" s="4">
        <f>IFERROR(((0+IB11+IB12+IB13+IB14+IB15+IB16+IB17+IB19+IB20+IB21+IB22+IB23+IB24+IB25+IB27+IB28+IB29+IB30+IB31+IB32+IB33+IB35+IB36+IB37+IB38+IB39+IB40+IB41+IB43)/T2),0)</f>
        <v/>
      </c>
      <c r="IL43" s="5">
        <f>IFERROR(ROUND(IB43/ID43,2),0)</f>
        <v/>
      </c>
      <c r="IM43" s="5">
        <f>IFERROR(ROUND(IB43/IE43,2),0)</f>
        <v/>
      </c>
      <c r="IN43" s="2" t="inlineStr">
        <is>
          <t>2023-10-18</t>
        </is>
      </c>
      <c r="IO43" s="5">
        <f>ROUND(0.46,2)</f>
        <v/>
      </c>
      <c r="IP43" s="3">
        <f>ROUND(81.0,2)</f>
        <v/>
      </c>
      <c r="IQ43" s="3">
        <f>ROUND(2.0,2)</f>
        <v/>
      </c>
      <c r="IR43" s="3">
        <f>ROUND(2.0,2)</f>
        <v/>
      </c>
      <c r="IS43" s="3">
        <f>ROUND(2.0,2)</f>
        <v/>
      </c>
      <c r="IT43" s="3">
        <f>ROUND(1.0,2)</f>
        <v/>
      </c>
      <c r="IU43" s="3">
        <f>ROUND(1.0,2)</f>
        <v/>
      </c>
      <c r="IV43" s="3">
        <f>ROUND(1.0,2)</f>
        <v/>
      </c>
      <c r="IW43" s="4">
        <f>IFERROR((IQ43/IP43),0)</f>
        <v/>
      </c>
      <c r="IX43" s="4">
        <f>IFERROR(((0+IO11+IO12+IO13+IO14+IO15+IO16+IO17+IO19+IO20+IO21+IO22+IO23+IO24+IO25+IO27+IO28+IO29+IO30+IO31+IO32+IO33+IO35+IO36+IO37+IO38+IO39+IO40+IO41+IO43)/T2),0)</f>
        <v/>
      </c>
      <c r="IY43" s="5">
        <f>IFERROR(ROUND(IO43/IQ43,2),0)</f>
        <v/>
      </c>
      <c r="IZ43" s="5">
        <f>IFERROR(ROUND(IO43/IR43,2),0)</f>
        <v/>
      </c>
      <c r="JA43" s="2" t="inlineStr">
        <is>
          <t>2023-10-18</t>
        </is>
      </c>
      <c r="JB43" s="5">
        <f>ROUND(0.0,2)</f>
        <v/>
      </c>
      <c r="JC43" s="3">
        <f>ROUND(8.0,2)</f>
        <v/>
      </c>
      <c r="JD43" s="3">
        <f>ROUND(0.0,2)</f>
        <v/>
      </c>
      <c r="JE43" s="3">
        <f>ROUND(0.0,2)</f>
        <v/>
      </c>
      <c r="JF43" s="3">
        <f>ROUND(0.0,2)</f>
        <v/>
      </c>
      <c r="JG43" s="3">
        <f>ROUND(0.0,2)</f>
        <v/>
      </c>
      <c r="JH43" s="3">
        <f>ROUND(0.0,2)</f>
        <v/>
      </c>
      <c r="JI43" s="3">
        <f>ROUND(0.0,2)</f>
        <v/>
      </c>
      <c r="JJ43" s="4">
        <f>IFERROR((JD43/JC43),0)</f>
        <v/>
      </c>
      <c r="JK43" s="4">
        <f>IFERROR(((0+JB11+JB12+JB13+JB14+JB15+JB16+JB17+JB19+JB20+JB21+JB22+JB23+JB24+JB25+JB27+JB28+JB29+JB30+JB31+JB32+JB33+JB35+JB36+JB37+JB38+JB39+JB40+JB41+JB43)/T2),0)</f>
        <v/>
      </c>
      <c r="JL43" s="5">
        <f>IFERROR(ROUND(JB43/JD43,2),0)</f>
        <v/>
      </c>
      <c r="JM43" s="5">
        <f>IFERROR(ROUND(JB43/JE43,2),0)</f>
        <v/>
      </c>
    </row>
    <row r="44">
      <c r="A44" s="2" t="inlineStr">
        <is>
          <t>2023-10-19</t>
        </is>
      </c>
      <c r="B44" s="5">
        <f>ROUND(76.44000000000001,2)</f>
        <v/>
      </c>
      <c r="C44" s="3">
        <f>ROUND(8203.0,2)</f>
        <v/>
      </c>
      <c r="D44" s="3">
        <f>ROUND(273.0,2)</f>
        <v/>
      </c>
      <c r="E44" s="3">
        <f>ROUND(614.0,2)</f>
        <v/>
      </c>
      <c r="F44" s="3">
        <f>ROUND(551.0,2)</f>
        <v/>
      </c>
      <c r="G44" s="3">
        <f>ROUND(241.0,2)</f>
        <v/>
      </c>
      <c r="H44" s="3">
        <f>ROUND(167.0,2)</f>
        <v/>
      </c>
      <c r="I44" s="3">
        <f>ROUND(123.0,2)</f>
        <v/>
      </c>
      <c r="J44" s="4">
        <f>IFERROR((D44/C44),0)</f>
        <v/>
      </c>
      <c r="K44" s="4">
        <f>IFERROR(((0+B11+B12+B13+B14+B15+B16+B17+B19+B20+B21+B22+B23+B24+B25+B27+B28+B29+B30+B31+B32+B33+B35+B36+B37+B38+B39+B40+B41+B43+B44)/T2),0)</f>
        <v/>
      </c>
      <c r="L44" s="5">
        <f>IFERROR(ROUND(B44/D44,2),0)</f>
        <v/>
      </c>
      <c r="M44" s="5">
        <f>IFERROR(ROUND(B44/E44,2),0)</f>
        <v/>
      </c>
      <c r="N44" s="2" t="inlineStr">
        <is>
          <t>2023-10-19</t>
        </is>
      </c>
      <c r="O44" s="5">
        <f>ROUND(2.24,2)</f>
        <v/>
      </c>
      <c r="P44" s="3">
        <f>ROUND(239.0,2)</f>
        <v/>
      </c>
      <c r="Q44" s="3">
        <f>ROUND(8.0,2)</f>
        <v/>
      </c>
      <c r="R44" s="3">
        <f>ROUND(5.0,2)</f>
        <v/>
      </c>
      <c r="S44" s="3">
        <f>ROUND(5.0,2)</f>
        <v/>
      </c>
      <c r="T44" s="3">
        <f>ROUND(1.0,2)</f>
        <v/>
      </c>
      <c r="U44" s="3">
        <f>ROUND(1.0,2)</f>
        <v/>
      </c>
      <c r="V44" s="3">
        <f>ROUND(1.0,2)</f>
        <v/>
      </c>
      <c r="W44" s="4">
        <f>IFERROR((Q44/P44),0)</f>
        <v/>
      </c>
      <c r="X44" s="4">
        <f>IFERROR(((0+O11+O12+O13+O14+O15+O16+O17+O19+O20+O21+O22+O23+O24+O25+O27+O28+O29+O30+O31+O32+O33+O35+O36+O37+O38+O39+O40+O41+O43+O44)/T2),0)</f>
        <v/>
      </c>
      <c r="Y44" s="5">
        <f>IFERROR(ROUND(O44/Q44,2),0)</f>
        <v/>
      </c>
      <c r="Z44" s="5">
        <f>IFERROR(ROUND(O44/R44,2),0)</f>
        <v/>
      </c>
      <c r="AA44" s="2" t="inlineStr">
        <is>
          <t>2023-10-19</t>
        </is>
      </c>
      <c r="AB44" s="5">
        <f>ROUND(15.96,2)</f>
        <v/>
      </c>
      <c r="AC44" s="3">
        <f>ROUND(1402.0,2)</f>
        <v/>
      </c>
      <c r="AD44" s="3">
        <f>ROUND(57.0,2)</f>
        <v/>
      </c>
      <c r="AE44" s="3">
        <f>ROUND(3.0,2)</f>
        <v/>
      </c>
      <c r="AF44" s="3">
        <f>ROUND(3.0,2)</f>
        <v/>
      </c>
      <c r="AG44" s="3">
        <f>ROUND(2.0,2)</f>
        <v/>
      </c>
      <c r="AH44" s="3">
        <f>ROUND(2.0,2)</f>
        <v/>
      </c>
      <c r="AI44" s="3">
        <f>ROUND(2.0,2)</f>
        <v/>
      </c>
      <c r="AJ44" s="4">
        <f>IFERROR((AD44/AC44),0)</f>
        <v/>
      </c>
      <c r="AK44" s="4">
        <f>IFERROR(((0+AB11+AB12+AB13+AB14+AB15+AB16+AB17+AB19+AB20+AB21+AB22+AB23+AB24+AB25+AB27+AB28+AB29+AB30+AB31+AB32+AB33+AB35+AB36+AB37+AB38+AB39+AB40+AB41+AB43+AB44)/T2),0)</f>
        <v/>
      </c>
      <c r="AL44" s="5">
        <f>IFERROR(ROUND(AB44/AD44,2),0)</f>
        <v/>
      </c>
      <c r="AM44" s="5">
        <f>IFERROR(ROUND(AB44/AE44,2),0)</f>
        <v/>
      </c>
      <c r="AN44" s="2" t="inlineStr">
        <is>
          <t>2023-10-19</t>
        </is>
      </c>
      <c r="AO44" s="5">
        <f>ROUND(1.12,2)</f>
        <v/>
      </c>
      <c r="AP44" s="3">
        <f>ROUND(154.0,2)</f>
        <v/>
      </c>
      <c r="AQ44" s="3">
        <f>ROUND(4.0,2)</f>
        <v/>
      </c>
      <c r="AR44" s="3">
        <f>ROUND(10.0,2)</f>
        <v/>
      </c>
      <c r="AS44" s="3">
        <f>ROUND(9.0,2)</f>
        <v/>
      </c>
      <c r="AT44" s="3">
        <f>ROUND(4.0,2)</f>
        <v/>
      </c>
      <c r="AU44" s="3">
        <f>ROUND(2.0,2)</f>
        <v/>
      </c>
      <c r="AV44" s="3">
        <f>ROUND(2.0,2)</f>
        <v/>
      </c>
      <c r="AW44" s="4">
        <f>IFERROR((AQ44/AP44),0)</f>
        <v/>
      </c>
      <c r="AX44" s="4">
        <f>IFERROR(((0+AO11+AO12+AO13+AO14+AO15+AO16+AO17+AO19+AO20+AO21+AO22+AO23+AO24+AO25+AO27+AO28+AO29+AO30+AO31+AO32+AO33+AO35+AO36+AO37+AO38+AO39+AO40+AO41+AO43+AO44)/T2),0)</f>
        <v/>
      </c>
      <c r="AY44" s="5">
        <f>IFERROR(ROUND(AO44/AQ44,2),0)</f>
        <v/>
      </c>
      <c r="AZ44" s="5">
        <f>IFERROR(ROUND(AO44/AR44,2),0)</f>
        <v/>
      </c>
      <c r="BA44" s="2" t="inlineStr">
        <is>
          <t>2023-10-19</t>
        </is>
      </c>
      <c r="BB44" s="5">
        <f>ROUND(6.16,2)</f>
        <v/>
      </c>
      <c r="BC44" s="3">
        <f>ROUND(495.0,2)</f>
        <v/>
      </c>
      <c r="BD44" s="3">
        <f>ROUND(22.0,2)</f>
        <v/>
      </c>
      <c r="BE44" s="3">
        <f>ROUND(4.0,2)</f>
        <v/>
      </c>
      <c r="BF44" s="3">
        <f>ROUND(4.0,2)</f>
        <v/>
      </c>
      <c r="BG44" s="3">
        <f>ROUND(2.0,2)</f>
        <v/>
      </c>
      <c r="BH44" s="3">
        <f>ROUND(2.0,2)</f>
        <v/>
      </c>
      <c r="BI44" s="3">
        <f>ROUND(2.0,2)</f>
        <v/>
      </c>
      <c r="BJ44" s="4">
        <f>IFERROR((BD44/BC44),0)</f>
        <v/>
      </c>
      <c r="BK44" s="4">
        <f>IFERROR(((0+BB11+BB12+BB13+BB14+BB15+BB16+BB17+BB19+BB20+BB21+BB22+BB23+BB24+BB25+BB27+BB28+BB29+BB30+BB31+BB32+BB33+BB35+BB36+BB37+BB38+BB39+BB40+BB41+BB43+BB44)/T2),0)</f>
        <v/>
      </c>
      <c r="BL44" s="5">
        <f>IFERROR(ROUND(BB44/BD44,2),0)</f>
        <v/>
      </c>
      <c r="BM44" s="5">
        <f>IFERROR(ROUND(BB44/BE44,2),0)</f>
        <v/>
      </c>
      <c r="BN44" s="2" t="inlineStr">
        <is>
          <t>2023-10-19</t>
        </is>
      </c>
      <c r="BO44" s="5">
        <f>ROUND(17.92,2)</f>
        <v/>
      </c>
      <c r="BP44" s="3">
        <f>ROUND(1768.0,2)</f>
        <v/>
      </c>
      <c r="BQ44" s="3">
        <f>ROUND(64.0,2)</f>
        <v/>
      </c>
      <c r="BR44" s="3">
        <f>ROUND(251.0,2)</f>
        <v/>
      </c>
      <c r="BS44" s="3">
        <f>ROUND(219.0,2)</f>
        <v/>
      </c>
      <c r="BT44" s="3">
        <f>ROUND(79.0,2)</f>
        <v/>
      </c>
      <c r="BU44" s="3">
        <f>ROUND(55.0,2)</f>
        <v/>
      </c>
      <c r="BV44" s="3">
        <f>ROUND(40.0,2)</f>
        <v/>
      </c>
      <c r="BW44" s="4">
        <f>IFERROR((BQ44/BP44),0)</f>
        <v/>
      </c>
      <c r="BX44" s="4">
        <f>IFERROR(((0+BO11+BO12+BO13+BO14+BO15+BO16+BO17+BO19+BO20+BO21+BO22+BO23+BO24+BO25+BO27+BO28+BO29+BO30+BO31+BO32+BO33+BO35+BO36+BO37+BO38+BO39+BO40+BO41+BO43+BO44)/T2),0)</f>
        <v/>
      </c>
      <c r="BY44" s="5">
        <f>IFERROR(ROUND(BO44/BQ44,2),0)</f>
        <v/>
      </c>
      <c r="BZ44" s="5">
        <f>IFERROR(ROUND(BO44/BR44,2),0)</f>
        <v/>
      </c>
      <c r="CA44" s="2" t="inlineStr">
        <is>
          <t>2023-10-19</t>
        </is>
      </c>
      <c r="CB44" s="5">
        <f>ROUND(3.9200000000000004,2)</f>
        <v/>
      </c>
      <c r="CC44" s="3">
        <f>ROUND(778.0,2)</f>
        <v/>
      </c>
      <c r="CD44" s="3">
        <f>ROUND(14.0,2)</f>
        <v/>
      </c>
      <c r="CE44" s="3">
        <f>ROUND(60.0,2)</f>
        <v/>
      </c>
      <c r="CF44" s="3">
        <f>ROUND(53.0,2)</f>
        <v/>
      </c>
      <c r="CG44" s="3">
        <f>ROUND(18.0,2)</f>
        <v/>
      </c>
      <c r="CH44" s="3">
        <f>ROUND(9.0,2)</f>
        <v/>
      </c>
      <c r="CI44" s="3">
        <f>ROUND(6.0,2)</f>
        <v/>
      </c>
      <c r="CJ44" s="4">
        <f>IFERROR((CD44/CC44),0)</f>
        <v/>
      </c>
      <c r="CK44" s="4">
        <f>IFERROR(((0+CB11+CB12+CB13+CB14+CB15+CB16+CB17+CB19+CB20+CB21+CB22+CB23+CB24+CB25+CB27+CB28+CB29+CB30+CB31+CB32+CB33+CB35+CB36+CB37+CB38+CB39+CB40+CB41+CB43+CB44)/T2),0)</f>
        <v/>
      </c>
      <c r="CL44" s="5">
        <f>IFERROR(ROUND(CB44/CD44,2),0)</f>
        <v/>
      </c>
      <c r="CM44" s="5">
        <f>IFERROR(ROUND(CB44/CE44,2),0)</f>
        <v/>
      </c>
      <c r="CN44" s="2" t="inlineStr">
        <is>
          <t>2023-10-19</t>
        </is>
      </c>
      <c r="CO44" s="5">
        <f>ROUND(14.000000000000002,2)</f>
        <v/>
      </c>
      <c r="CP44" s="3">
        <f>ROUND(1050.0,2)</f>
        <v/>
      </c>
      <c r="CQ44" s="3">
        <f>ROUND(50.0,2)</f>
        <v/>
      </c>
      <c r="CR44" s="3">
        <f>ROUND(29.0,2)</f>
        <v/>
      </c>
      <c r="CS44" s="3">
        <f>ROUND(25.0,2)</f>
        <v/>
      </c>
      <c r="CT44" s="3">
        <f>ROUND(20.0,2)</f>
        <v/>
      </c>
      <c r="CU44" s="3">
        <f>ROUND(18.0,2)</f>
        <v/>
      </c>
      <c r="CV44" s="3">
        <f>ROUND(14.0,2)</f>
        <v/>
      </c>
      <c r="CW44" s="4">
        <f>IFERROR((CQ44/CP44),0)</f>
        <v/>
      </c>
      <c r="CX44" s="4">
        <f>IFERROR(((0+CO11+CO12+CO13+CO14+CO15+CO16+CO17+CO19+CO20+CO21+CO22+CO23+CO24+CO25+CO27+CO28+CO29+CO30+CO31+CO32+CO33+CO35+CO36+CO37+CO38+CO39+CO40+CO41+CO43+CO44)/T2),0)</f>
        <v/>
      </c>
      <c r="CY44" s="5">
        <f>IFERROR(ROUND(CO44/CQ44,2),0)</f>
        <v/>
      </c>
      <c r="CZ44" s="5">
        <f>IFERROR(ROUND(CO44/CR44,2),0)</f>
        <v/>
      </c>
      <c r="DA44" s="2" t="inlineStr">
        <is>
          <t>2023-10-19</t>
        </is>
      </c>
      <c r="DB44" s="5">
        <f>ROUND(3.6400000000000006,2)</f>
        <v/>
      </c>
      <c r="DC44" s="3">
        <f>ROUND(424.0,2)</f>
        <v/>
      </c>
      <c r="DD44" s="3">
        <f>ROUND(13.0,2)</f>
        <v/>
      </c>
      <c r="DE44" s="3">
        <f>ROUND(6.0,2)</f>
        <v/>
      </c>
      <c r="DF44" s="3">
        <f>ROUND(5.0,2)</f>
        <v/>
      </c>
      <c r="DG44" s="3">
        <f>ROUND(3.0,2)</f>
        <v/>
      </c>
      <c r="DH44" s="3">
        <f>ROUND(3.0,2)</f>
        <v/>
      </c>
      <c r="DI44" s="3">
        <f>ROUND(3.0,2)</f>
        <v/>
      </c>
      <c r="DJ44" s="4">
        <f>IFERROR((DD44/DC44),0)</f>
        <v/>
      </c>
      <c r="DK44" s="4">
        <f>IFERROR(((0+DB11+DB12+DB13+DB14+DB15+DB16+DB17+DB19+DB20+DB21+DB22+DB23+DB24+DB25+DB27+DB28+DB29+DB30+DB31+DB32+DB33+DB35+DB36+DB37+DB38+DB39+DB40+DB41+DB43+DB44)/T2),0)</f>
        <v/>
      </c>
      <c r="DL44" s="5">
        <f>IFERROR(ROUND(DB44/DD44,2),0)</f>
        <v/>
      </c>
      <c r="DM44" s="5">
        <f>IFERROR(ROUND(DB44/DE44,2),0)</f>
        <v/>
      </c>
      <c r="DN44" s="2" t="inlineStr">
        <is>
          <t>2023-10-19</t>
        </is>
      </c>
      <c r="DO44" s="5">
        <f>ROUND(0.28,2)</f>
        <v/>
      </c>
      <c r="DP44" s="3">
        <f>ROUND(104.0,2)</f>
        <v/>
      </c>
      <c r="DQ44" s="3">
        <f>ROUND(1.0,2)</f>
        <v/>
      </c>
      <c r="DR44" s="3">
        <f>ROUND(6.0,2)</f>
        <v/>
      </c>
      <c r="DS44" s="3">
        <f>ROUND(6.0,2)</f>
        <v/>
      </c>
      <c r="DT44" s="3">
        <f>ROUND(3.0,2)</f>
        <v/>
      </c>
      <c r="DU44" s="3">
        <f>ROUND(2.0,2)</f>
        <v/>
      </c>
      <c r="DV44" s="3">
        <f>ROUND(2.0,2)</f>
        <v/>
      </c>
      <c r="DW44" s="4">
        <f>IFERROR((DQ44/DP44),0)</f>
        <v/>
      </c>
      <c r="DX44" s="4">
        <f>IFERROR(((0+DO11+DO12+DO13+DO14+DO15+DO16+DO17+DO19+DO20+DO21+DO22+DO23+DO24+DO25+DO27+DO28+DO29+DO30+DO31+DO32+DO33+DO35+DO36+DO37+DO38+DO39+DO40+DO41+DO43+DO44)/T2),0)</f>
        <v/>
      </c>
      <c r="DY44" s="5">
        <f>IFERROR(ROUND(DO44/DQ44,2),0)</f>
        <v/>
      </c>
      <c r="DZ44" s="5">
        <f>IFERROR(ROUND(DO44/DR44,2),0)</f>
        <v/>
      </c>
      <c r="EA44" s="2" t="inlineStr">
        <is>
          <t>2023-10-19</t>
        </is>
      </c>
      <c r="EB44" s="5">
        <f>ROUND(1.4000000000000001,2)</f>
        <v/>
      </c>
      <c r="EC44" s="3">
        <f>ROUND(118.0,2)</f>
        <v/>
      </c>
      <c r="ED44" s="3">
        <f>ROUND(5.0,2)</f>
        <v/>
      </c>
      <c r="EE44" s="3">
        <f>ROUND(7.0,2)</f>
        <v/>
      </c>
      <c r="EF44" s="3">
        <f>ROUND(6.0,2)</f>
        <v/>
      </c>
      <c r="EG44" s="3">
        <f>ROUND(4.0,2)</f>
        <v/>
      </c>
      <c r="EH44" s="3">
        <f>ROUND(3.0,2)</f>
        <v/>
      </c>
      <c r="EI44" s="3">
        <f>ROUND(2.0,2)</f>
        <v/>
      </c>
      <c r="EJ44" s="4">
        <f>IFERROR((ED44/EC44),0)</f>
        <v/>
      </c>
      <c r="EK44" s="4">
        <f>IFERROR(((0+EB11+EB12+EB13+EB14+EB15+EB16+EB17+EB19+EB20+EB21+EB22+EB23+EB24+EB25+EB27+EB28+EB29+EB30+EB31+EB32+EB33+EB35+EB36+EB37+EB38+EB39+EB40+EB41+EB43+EB44)/T2),0)</f>
        <v/>
      </c>
      <c r="EL44" s="5">
        <f>IFERROR(ROUND(EB44/ED44,2),0)</f>
        <v/>
      </c>
      <c r="EM44" s="5">
        <f>IFERROR(ROUND(EB44/EE44,2),0)</f>
        <v/>
      </c>
      <c r="EN44" s="2" t="inlineStr">
        <is>
          <t>2023-10-19</t>
        </is>
      </c>
      <c r="EO44" s="5">
        <f>ROUND(1.4000000000000001,2)</f>
        <v/>
      </c>
      <c r="EP44" s="3">
        <f>ROUND(75.0,2)</f>
        <v/>
      </c>
      <c r="EQ44" s="3">
        <f>ROUND(5.0,2)</f>
        <v/>
      </c>
      <c r="ER44" s="3">
        <f>ROUND(5.0,2)</f>
        <v/>
      </c>
      <c r="ES44" s="3">
        <f>ROUND(3.0,2)</f>
        <v/>
      </c>
      <c r="ET44" s="3">
        <f>ROUND(2.0,2)</f>
        <v/>
      </c>
      <c r="EU44" s="3">
        <f>ROUND(1.0,2)</f>
        <v/>
      </c>
      <c r="EV44" s="3">
        <f>ROUND(1.0,2)</f>
        <v/>
      </c>
      <c r="EW44" s="4">
        <f>IFERROR((EQ44/EP44),0)</f>
        <v/>
      </c>
      <c r="EX44" s="4">
        <f>IFERROR(((0+EO11+EO12+EO13+EO14+EO15+EO16+EO17+EO19+EO20+EO21+EO22+EO23+EO24+EO25+EO27+EO28+EO29+EO30+EO31+EO32+EO33+EO35+EO36+EO37+EO38+EO39+EO40+EO41+EO43+EO44)/T2),0)</f>
        <v/>
      </c>
      <c r="EY44" s="5">
        <f>IFERROR(ROUND(EO44/EQ44,2),0)</f>
        <v/>
      </c>
      <c r="EZ44" s="5">
        <f>IFERROR(ROUND(EO44/ER44,2),0)</f>
        <v/>
      </c>
      <c r="FA44" s="2" t="inlineStr">
        <is>
          <t>2023-10-19</t>
        </is>
      </c>
      <c r="FB44" s="5">
        <f>ROUND(0.56,2)</f>
        <v/>
      </c>
      <c r="FC44" s="3">
        <f>ROUND(168.0,2)</f>
        <v/>
      </c>
      <c r="FD44" s="3">
        <f>ROUND(2.0,2)</f>
        <v/>
      </c>
      <c r="FE44" s="3">
        <f>ROUND(22.0,2)</f>
        <v/>
      </c>
      <c r="FF44" s="3">
        <f>ROUND(20.0,2)</f>
        <v/>
      </c>
      <c r="FG44" s="3">
        <f>ROUND(9.0,2)</f>
        <v/>
      </c>
      <c r="FH44" s="3">
        <f>ROUND(7.0,2)</f>
        <v/>
      </c>
      <c r="FI44" s="3">
        <f>ROUND(4.0,2)</f>
        <v/>
      </c>
      <c r="FJ44" s="4">
        <f>IFERROR((FD44/FC44),0)</f>
        <v/>
      </c>
      <c r="FK44" s="4">
        <f>IFERROR(((0+FB11+FB12+FB13+FB14+FB15+FB16+FB17+FB19+FB20+FB21+FB22+FB23+FB24+FB25+FB27+FB28+FB29+FB30+FB31+FB32+FB33+FB35+FB36+FB37+FB38+FB39+FB40+FB41+FB43+FB44)/T2),0)</f>
        <v/>
      </c>
      <c r="FL44" s="5">
        <f>IFERROR(ROUND(FB44/FD44,2),0)</f>
        <v/>
      </c>
      <c r="FM44" s="5">
        <f>IFERROR(ROUND(FB44/FE44,2),0)</f>
        <v/>
      </c>
      <c r="FN44" s="2" t="inlineStr">
        <is>
          <t>2023-10-19</t>
        </is>
      </c>
      <c r="FO44" s="5">
        <f>ROUND(0.56,2)</f>
        <v/>
      </c>
      <c r="FP44" s="3">
        <f>ROUND(45.0,2)</f>
        <v/>
      </c>
      <c r="FQ44" s="3">
        <f>ROUND(2.0,2)</f>
        <v/>
      </c>
      <c r="FR44" s="3">
        <f>ROUND(0.0,2)</f>
        <v/>
      </c>
      <c r="FS44" s="3">
        <f>ROUND(0.0,2)</f>
        <v/>
      </c>
      <c r="FT44" s="3">
        <f>ROUND(0.0,2)</f>
        <v/>
      </c>
      <c r="FU44" s="3">
        <f>ROUND(0.0,2)</f>
        <v/>
      </c>
      <c r="FV44" s="3">
        <f>ROUND(0.0,2)</f>
        <v/>
      </c>
      <c r="FW44" s="4">
        <f>IFERROR((FQ44/FP44),0)</f>
        <v/>
      </c>
      <c r="FX44" s="4">
        <f>IFERROR(((0+FO11+FO12+FO13+FO14+FO15+FO16+FO17+FO19+FO20+FO21+FO22+FO23+FO24+FO25+FO27+FO28+FO29+FO30+FO31+FO32+FO33+FO35+FO36+FO37+FO38+FO39+FO40+FO41+FO43+FO44)/T2),0)</f>
        <v/>
      </c>
      <c r="FY44" s="5">
        <f>IFERROR(ROUND(FO44/FQ44,2),0)</f>
        <v/>
      </c>
      <c r="FZ44" s="5">
        <f>IFERROR(ROUND(FO44/FR44,2),0)</f>
        <v/>
      </c>
      <c r="GA44" s="2" t="inlineStr">
        <is>
          <t>2023-10-19</t>
        </is>
      </c>
      <c r="GB44" s="5">
        <f>ROUND(4.48,2)</f>
        <v/>
      </c>
      <c r="GC44" s="3">
        <f>ROUND(1027.0,2)</f>
        <v/>
      </c>
      <c r="GD44" s="3">
        <f>ROUND(16.0,2)</f>
        <v/>
      </c>
      <c r="GE44" s="3">
        <f>ROUND(186.0,2)</f>
        <v/>
      </c>
      <c r="GF44" s="3">
        <f>ROUND(176.0,2)</f>
        <v/>
      </c>
      <c r="GG44" s="3">
        <f>ROUND(79.0,2)</f>
        <v/>
      </c>
      <c r="GH44" s="3">
        <f>ROUND(50.0,2)</f>
        <v/>
      </c>
      <c r="GI44" s="3">
        <f>ROUND(34.0,2)</f>
        <v/>
      </c>
      <c r="GJ44" s="4">
        <f>IFERROR((GD44/GC44),0)</f>
        <v/>
      </c>
      <c r="GK44" s="4">
        <f>IFERROR(((0+GB11+GB12+GB13+GB14+GB15+GB16+GB17+GB19+GB20+GB21+GB22+GB23+GB24+GB25+GB27+GB28+GB29+GB30+GB31+GB32+GB33+GB35+GB36+GB37+GB38+GB39+GB40+GB41+GB43+GB44)/T2),0)</f>
        <v/>
      </c>
      <c r="GL44" s="5">
        <f>IFERROR(ROUND(GB44/GD44,2),0)</f>
        <v/>
      </c>
      <c r="GM44" s="5">
        <f>IFERROR(ROUND(GB44/GE44,2),0)</f>
        <v/>
      </c>
      <c r="GN44" s="2" t="inlineStr">
        <is>
          <t>2023-10-19</t>
        </is>
      </c>
      <c r="GO44" s="5">
        <f>ROUND(0.0,2)</f>
        <v/>
      </c>
      <c r="GP44" s="3">
        <f>ROUND(52.0,2)</f>
        <v/>
      </c>
      <c r="GQ44" s="3">
        <f>ROUND(0.0,2)</f>
        <v/>
      </c>
      <c r="GR44" s="3">
        <f>ROUND(13.0,2)</f>
        <v/>
      </c>
      <c r="GS44" s="3">
        <f>ROUND(11.0,2)</f>
        <v/>
      </c>
      <c r="GT44" s="3">
        <f>ROUND(11.0,2)</f>
        <v/>
      </c>
      <c r="GU44" s="3">
        <f>ROUND(8.0,2)</f>
        <v/>
      </c>
      <c r="GV44" s="3">
        <f>ROUND(7.0,2)</f>
        <v/>
      </c>
      <c r="GW44" s="4">
        <f>IFERROR((GQ44/GP44),0)</f>
        <v/>
      </c>
      <c r="GX44" s="4">
        <f>IFERROR(((0+GO11+GO12+GO13+GO14+GO15+GO16+GO17+GO19+GO20+GO21+GO22+GO23+GO24+GO25+GO27+GO28+GO29+GO30+GO31+GO32+GO33+GO35+GO36+GO37+GO38+GO39+GO40+GO41+GO43+GO44)/T2),0)</f>
        <v/>
      </c>
      <c r="GY44" s="5">
        <f>IFERROR(ROUND(GO44/GQ44,2),0)</f>
        <v/>
      </c>
      <c r="GZ44" s="5">
        <f>IFERROR(ROUND(GO44/GR44,2),0)</f>
        <v/>
      </c>
      <c r="HA44" s="2" t="inlineStr">
        <is>
          <t>2023-10-19</t>
        </is>
      </c>
      <c r="HB44" s="5">
        <f>ROUND(2.24,2)</f>
        <v/>
      </c>
      <c r="HC44" s="3">
        <f>ROUND(158.0,2)</f>
        <v/>
      </c>
      <c r="HD44" s="3">
        <f>ROUND(8.0,2)</f>
        <v/>
      </c>
      <c r="HE44" s="3">
        <f>ROUND(1.0,2)</f>
        <v/>
      </c>
      <c r="HF44" s="3">
        <f>ROUND(1.0,2)</f>
        <v/>
      </c>
      <c r="HG44" s="3">
        <f>ROUND(0.0,2)</f>
        <v/>
      </c>
      <c r="HH44" s="3">
        <f>ROUND(0.0,2)</f>
        <v/>
      </c>
      <c r="HI44" s="3">
        <f>ROUND(0.0,2)</f>
        <v/>
      </c>
      <c r="HJ44" s="4">
        <f>IFERROR((HD44/HC44),0)</f>
        <v/>
      </c>
      <c r="HK44" s="4">
        <f>IFERROR(((0+HB11+HB12+HB13+HB14+HB15+HB16+HB17+HB19+HB20+HB21+HB22+HB23+HB24+HB25+HB27+HB28+HB29+HB30+HB31+HB32+HB33+HB35+HB36+HB37+HB38+HB39+HB40+HB41+HB43+HB44)/T2),0)</f>
        <v/>
      </c>
      <c r="HL44" s="5">
        <f>IFERROR(ROUND(HB44/HD44,2),0)</f>
        <v/>
      </c>
      <c r="HM44" s="5">
        <f>IFERROR(ROUND(HB44/HE44,2),0)</f>
        <v/>
      </c>
      <c r="HN44" s="2" t="inlineStr">
        <is>
          <t>2023-10-19</t>
        </is>
      </c>
      <c r="HO44" s="5">
        <f>ROUND(0.0,2)</f>
        <v/>
      </c>
      <c r="HP44" s="3">
        <f>ROUND(8.0,2)</f>
        <v/>
      </c>
      <c r="HQ44" s="3">
        <f>ROUND(0.0,2)</f>
        <v/>
      </c>
      <c r="HR44" s="3">
        <f>ROUND(0.0,2)</f>
        <v/>
      </c>
      <c r="HS44" s="3">
        <f>ROUND(0.0,2)</f>
        <v/>
      </c>
      <c r="HT44" s="3">
        <f>ROUND(0.0,2)</f>
        <v/>
      </c>
      <c r="HU44" s="3">
        <f>ROUND(0.0,2)</f>
        <v/>
      </c>
      <c r="HV44" s="3">
        <f>ROUND(0.0,2)</f>
        <v/>
      </c>
      <c r="HW44" s="4">
        <f>IFERROR((HQ44/HP44),0)</f>
        <v/>
      </c>
      <c r="HX44" s="4">
        <f>IFERROR(((0+HO11+HO12+HO13+HO14+HO15+HO16+HO17+HO19+HO20+HO21+HO22+HO23+HO24+HO25+HO27+HO28+HO29+HO30+HO31+HO32+HO33+HO35+HO36+HO37+HO38+HO39+HO40+HO41+HO43+HO44)/T2),0)</f>
        <v/>
      </c>
      <c r="HY44" s="5">
        <f>IFERROR(ROUND(HO44/HQ44,2),0)</f>
        <v/>
      </c>
      <c r="HZ44" s="5">
        <f>IFERROR(ROUND(HO44/HR44,2),0)</f>
        <v/>
      </c>
      <c r="IA44" s="2" t="inlineStr">
        <is>
          <t>2023-10-19</t>
        </is>
      </c>
      <c r="IB44" s="5">
        <f>ROUND(0.28,2)</f>
        <v/>
      </c>
      <c r="IC44" s="3">
        <f>ROUND(76.0,2)</f>
        <v/>
      </c>
      <c r="ID44" s="3">
        <f>ROUND(1.0,2)</f>
        <v/>
      </c>
      <c r="IE44" s="3">
        <f>ROUND(1.0,2)</f>
        <v/>
      </c>
      <c r="IF44" s="3">
        <f>ROUND(1.0,2)</f>
        <v/>
      </c>
      <c r="IG44" s="3">
        <f>ROUND(1.0,2)</f>
        <v/>
      </c>
      <c r="IH44" s="3">
        <f>ROUND(1.0,2)</f>
        <v/>
      </c>
      <c r="II44" s="3">
        <f>ROUND(1.0,2)</f>
        <v/>
      </c>
      <c r="IJ44" s="4">
        <f>IFERROR((ID44/IC44),0)</f>
        <v/>
      </c>
      <c r="IK44" s="4">
        <f>IFERROR(((0+IB11+IB12+IB13+IB14+IB15+IB16+IB17+IB19+IB20+IB21+IB22+IB23+IB24+IB25+IB27+IB28+IB29+IB30+IB31+IB32+IB33+IB35+IB36+IB37+IB38+IB39+IB40+IB41+IB43+IB44)/T2),0)</f>
        <v/>
      </c>
      <c r="IL44" s="5">
        <f>IFERROR(ROUND(IB44/ID44,2),0)</f>
        <v/>
      </c>
      <c r="IM44" s="5">
        <f>IFERROR(ROUND(IB44/IE44,2),0)</f>
        <v/>
      </c>
      <c r="IN44" s="2" t="inlineStr">
        <is>
          <t>2023-10-19</t>
        </is>
      </c>
      <c r="IO44" s="5">
        <f>ROUND(0.28,2)</f>
        <v/>
      </c>
      <c r="IP44" s="3">
        <f>ROUND(57.0,2)</f>
        <v/>
      </c>
      <c r="IQ44" s="3">
        <f>ROUND(1.0,2)</f>
        <v/>
      </c>
      <c r="IR44" s="3">
        <f>ROUND(5.0,2)</f>
        <v/>
      </c>
      <c r="IS44" s="3">
        <f>ROUND(4.0,2)</f>
        <v/>
      </c>
      <c r="IT44" s="3">
        <f>ROUND(3.0,2)</f>
        <v/>
      </c>
      <c r="IU44" s="3">
        <f>ROUND(3.0,2)</f>
        <v/>
      </c>
      <c r="IV44" s="3">
        <f>ROUND(2.0,2)</f>
        <v/>
      </c>
      <c r="IW44" s="4">
        <f>IFERROR((IQ44/IP44),0)</f>
        <v/>
      </c>
      <c r="IX44" s="4">
        <f>IFERROR(((0+IO11+IO12+IO13+IO14+IO15+IO16+IO17+IO19+IO20+IO21+IO22+IO23+IO24+IO25+IO27+IO28+IO29+IO30+IO31+IO32+IO33+IO35+IO36+IO37+IO38+IO39+IO40+IO41+IO43+IO44)/T2),0)</f>
        <v/>
      </c>
      <c r="IY44" s="5">
        <f>IFERROR(ROUND(IO44/IQ44,2),0)</f>
        <v/>
      </c>
      <c r="IZ44" s="5">
        <f>IFERROR(ROUND(IO44/IR44,2),0)</f>
        <v/>
      </c>
      <c r="JA44" s="2" t="inlineStr">
        <is>
          <t>2023-10-19</t>
        </is>
      </c>
      <c r="JB44" s="5">
        <f>ROUND(0.0,2)</f>
        <v/>
      </c>
      <c r="JC44" s="3">
        <f>ROUND(5.0,2)</f>
        <v/>
      </c>
      <c r="JD44" s="3">
        <f>ROUND(0.0,2)</f>
        <v/>
      </c>
      <c r="JE44" s="3">
        <f>ROUND(0.0,2)</f>
        <v/>
      </c>
      <c r="JF44" s="3">
        <f>ROUND(0.0,2)</f>
        <v/>
      </c>
      <c r="JG44" s="3">
        <f>ROUND(0.0,2)</f>
        <v/>
      </c>
      <c r="JH44" s="3">
        <f>ROUND(0.0,2)</f>
        <v/>
      </c>
      <c r="JI44" s="3">
        <f>ROUND(0.0,2)</f>
        <v/>
      </c>
      <c r="JJ44" s="4">
        <f>IFERROR((JD44/JC44),0)</f>
        <v/>
      </c>
      <c r="JK44" s="4">
        <f>IFERROR(((0+JB11+JB12+JB13+JB14+JB15+JB16+JB17+JB19+JB20+JB21+JB22+JB23+JB24+JB25+JB27+JB28+JB29+JB30+JB31+JB32+JB33+JB35+JB36+JB37+JB38+JB39+JB40+JB41+JB43+JB44)/T2),0)</f>
        <v/>
      </c>
      <c r="JL44" s="5">
        <f>IFERROR(ROUND(JB44/JD44,2),0)</f>
        <v/>
      </c>
      <c r="JM44" s="5">
        <f>IFERROR(ROUND(JB44/JE44,2),0)</f>
        <v/>
      </c>
    </row>
    <row r="45">
      <c r="A45" s="2" t="inlineStr">
        <is>
          <t>2023-10-20</t>
        </is>
      </c>
      <c r="B45" s="5">
        <f>ROUND(0.0,2)</f>
        <v/>
      </c>
      <c r="C45" s="3">
        <f>ROUND(0.0,2)</f>
        <v/>
      </c>
      <c r="D45" s="3">
        <f>ROUND(0.0,2)</f>
        <v/>
      </c>
      <c r="E45" s="3">
        <f>ROUND(0.0,2)</f>
        <v/>
      </c>
      <c r="F45" s="3">
        <f>ROUND(0.0,2)</f>
        <v/>
      </c>
      <c r="G45" s="3">
        <f>ROUND(0.0,2)</f>
        <v/>
      </c>
      <c r="H45" s="3">
        <f>ROUND(0.0,2)</f>
        <v/>
      </c>
      <c r="I45" s="3">
        <f>ROUND(0.0,2)</f>
        <v/>
      </c>
      <c r="J45" s="4">
        <f>IFERROR((D45/C45),0)</f>
        <v/>
      </c>
      <c r="K45" s="4">
        <f>IFERROR(((0+B11+B12+B13+B14+B15+B16+B17+B19+B20+B21+B22+B23+B24+B25+B27+B28+B29+B30+B31+B32+B33+B35+B36+B37+B38+B39+B40+B41+B43+B44+B45)/T2),0)</f>
        <v/>
      </c>
      <c r="L45" s="5">
        <f>IFERROR(ROUND(B45/D45,2),0)</f>
        <v/>
      </c>
      <c r="M45" s="5">
        <f>IFERROR(ROUND(B45/E45,2),0)</f>
        <v/>
      </c>
      <c r="N45" s="2" t="inlineStr">
        <is>
          <t>2023-10-20</t>
        </is>
      </c>
      <c r="O45" s="5">
        <f>ROUND(0.0,2)</f>
        <v/>
      </c>
      <c r="P45" s="3">
        <f>ROUND(0.0,2)</f>
        <v/>
      </c>
      <c r="Q45" s="3">
        <f>ROUND(0.0,2)</f>
        <v/>
      </c>
      <c r="R45" s="3">
        <f>ROUND(0.0,2)</f>
        <v/>
      </c>
      <c r="S45" s="3">
        <f>ROUND(0.0,2)</f>
        <v/>
      </c>
      <c r="T45" s="3">
        <f>ROUND(0.0,2)</f>
        <v/>
      </c>
      <c r="U45" s="3">
        <f>ROUND(0.0,2)</f>
        <v/>
      </c>
      <c r="V45" s="3">
        <f>ROUND(0.0,2)</f>
        <v/>
      </c>
      <c r="W45" s="4">
        <f>IFERROR((Q45/P45),0)</f>
        <v/>
      </c>
      <c r="X45" s="4">
        <f>IFERROR(((0+O11+O12+O13+O14+O15+O16+O17+O19+O20+O21+O22+O23+O24+O25+O27+O28+O29+O30+O31+O32+O33+O35+O36+O37+O38+O39+O40+O41+O43+O44+O45)/T2),0)</f>
        <v/>
      </c>
      <c r="Y45" s="5">
        <f>IFERROR(ROUND(O45/Q45,2),0)</f>
        <v/>
      </c>
      <c r="Z45" s="5">
        <f>IFERROR(ROUND(O45/R45,2),0)</f>
        <v/>
      </c>
      <c r="AA45" s="2" t="inlineStr">
        <is>
          <t>2023-10-20</t>
        </is>
      </c>
      <c r="AB45" s="5">
        <f>ROUND(0.0,2)</f>
        <v/>
      </c>
      <c r="AC45" s="3">
        <f>ROUND(0.0,2)</f>
        <v/>
      </c>
      <c r="AD45" s="3">
        <f>ROUND(0.0,2)</f>
        <v/>
      </c>
      <c r="AE45" s="3">
        <f>ROUND(0.0,2)</f>
        <v/>
      </c>
      <c r="AF45" s="3">
        <f>ROUND(0.0,2)</f>
        <v/>
      </c>
      <c r="AG45" s="3">
        <f>ROUND(0.0,2)</f>
        <v/>
      </c>
      <c r="AH45" s="3">
        <f>ROUND(0.0,2)</f>
        <v/>
      </c>
      <c r="AI45" s="3">
        <f>ROUND(0.0,2)</f>
        <v/>
      </c>
      <c r="AJ45" s="4">
        <f>IFERROR((AD45/AC45),0)</f>
        <v/>
      </c>
      <c r="AK45" s="4">
        <f>IFERROR(((0+AB11+AB12+AB13+AB14+AB15+AB16+AB17+AB19+AB20+AB21+AB22+AB23+AB24+AB25+AB27+AB28+AB29+AB30+AB31+AB32+AB33+AB35+AB36+AB37+AB38+AB39+AB40+AB41+AB43+AB44+AB45)/T2),0)</f>
        <v/>
      </c>
      <c r="AL45" s="5">
        <f>IFERROR(ROUND(AB45/AD45,2),0)</f>
        <v/>
      </c>
      <c r="AM45" s="5">
        <f>IFERROR(ROUND(AB45/AE45,2),0)</f>
        <v/>
      </c>
      <c r="AN45" s="2" t="inlineStr">
        <is>
          <t>2023-10-20</t>
        </is>
      </c>
      <c r="AO45" s="5">
        <f>ROUND(0.0,2)</f>
        <v/>
      </c>
      <c r="AP45" s="3">
        <f>ROUND(0.0,2)</f>
        <v/>
      </c>
      <c r="AQ45" s="3">
        <f>ROUND(0.0,2)</f>
        <v/>
      </c>
      <c r="AR45" s="3">
        <f>ROUND(0.0,2)</f>
        <v/>
      </c>
      <c r="AS45" s="3">
        <f>ROUND(0.0,2)</f>
        <v/>
      </c>
      <c r="AT45" s="3">
        <f>ROUND(0.0,2)</f>
        <v/>
      </c>
      <c r="AU45" s="3">
        <f>ROUND(0.0,2)</f>
        <v/>
      </c>
      <c r="AV45" s="3">
        <f>ROUND(0.0,2)</f>
        <v/>
      </c>
      <c r="AW45" s="4">
        <f>IFERROR((AQ45/AP45),0)</f>
        <v/>
      </c>
      <c r="AX45" s="4">
        <f>IFERROR(((0+AO11+AO12+AO13+AO14+AO15+AO16+AO17+AO19+AO20+AO21+AO22+AO23+AO24+AO25+AO27+AO28+AO29+AO30+AO31+AO32+AO33+AO35+AO36+AO37+AO38+AO39+AO40+AO41+AO43+AO44+AO45)/T2),0)</f>
        <v/>
      </c>
      <c r="AY45" s="5">
        <f>IFERROR(ROUND(AO45/AQ45,2),0)</f>
        <v/>
      </c>
      <c r="AZ45" s="5">
        <f>IFERROR(ROUND(AO45/AR45,2),0)</f>
        <v/>
      </c>
      <c r="BA45" s="2" t="inlineStr">
        <is>
          <t>2023-10-20</t>
        </is>
      </c>
      <c r="BB45" s="5">
        <f>ROUND(0.0,2)</f>
        <v/>
      </c>
      <c r="BC45" s="3">
        <f>ROUND(0.0,2)</f>
        <v/>
      </c>
      <c r="BD45" s="3">
        <f>ROUND(0.0,2)</f>
        <v/>
      </c>
      <c r="BE45" s="3">
        <f>ROUND(0.0,2)</f>
        <v/>
      </c>
      <c r="BF45" s="3">
        <f>ROUND(0.0,2)</f>
        <v/>
      </c>
      <c r="BG45" s="3">
        <f>ROUND(0.0,2)</f>
        <v/>
      </c>
      <c r="BH45" s="3">
        <f>ROUND(0.0,2)</f>
        <v/>
      </c>
      <c r="BI45" s="3">
        <f>ROUND(0.0,2)</f>
        <v/>
      </c>
      <c r="BJ45" s="4">
        <f>IFERROR((BD45/BC45),0)</f>
        <v/>
      </c>
      <c r="BK45" s="4">
        <f>IFERROR(((0+BB11+BB12+BB13+BB14+BB15+BB16+BB17+BB19+BB20+BB21+BB22+BB23+BB24+BB25+BB27+BB28+BB29+BB30+BB31+BB32+BB33+BB35+BB36+BB37+BB38+BB39+BB40+BB41+BB43+BB44+BB45)/T2),0)</f>
        <v/>
      </c>
      <c r="BL45" s="5">
        <f>IFERROR(ROUND(BB45/BD45,2),0)</f>
        <v/>
      </c>
      <c r="BM45" s="5">
        <f>IFERROR(ROUND(BB45/BE45,2),0)</f>
        <v/>
      </c>
      <c r="BN45" s="2" t="inlineStr">
        <is>
          <t>2023-10-20</t>
        </is>
      </c>
      <c r="BO45" s="5">
        <f>ROUND(0.0,2)</f>
        <v/>
      </c>
      <c r="BP45" s="3">
        <f>ROUND(0.0,2)</f>
        <v/>
      </c>
      <c r="BQ45" s="3">
        <f>ROUND(0.0,2)</f>
        <v/>
      </c>
      <c r="BR45" s="3">
        <f>ROUND(0.0,2)</f>
        <v/>
      </c>
      <c r="BS45" s="3">
        <f>ROUND(0.0,2)</f>
        <v/>
      </c>
      <c r="BT45" s="3">
        <f>ROUND(0.0,2)</f>
        <v/>
      </c>
      <c r="BU45" s="3">
        <f>ROUND(0.0,2)</f>
        <v/>
      </c>
      <c r="BV45" s="3">
        <f>ROUND(0.0,2)</f>
        <v/>
      </c>
      <c r="BW45" s="4">
        <f>IFERROR((BQ45/BP45),0)</f>
        <v/>
      </c>
      <c r="BX45" s="4">
        <f>IFERROR(((0+BO11+BO12+BO13+BO14+BO15+BO16+BO17+BO19+BO20+BO21+BO22+BO23+BO24+BO25+BO27+BO28+BO29+BO30+BO31+BO32+BO33+BO35+BO36+BO37+BO38+BO39+BO40+BO41+BO43+BO44+BO45)/T2),0)</f>
        <v/>
      </c>
      <c r="BY45" s="5">
        <f>IFERROR(ROUND(BO45/BQ45,2),0)</f>
        <v/>
      </c>
      <c r="BZ45" s="5">
        <f>IFERROR(ROUND(BO45/BR45,2),0)</f>
        <v/>
      </c>
      <c r="CA45" s="2" t="inlineStr">
        <is>
          <t>2023-10-20</t>
        </is>
      </c>
      <c r="CB45" s="5">
        <f>ROUND(0.0,2)</f>
        <v/>
      </c>
      <c r="CC45" s="3">
        <f>ROUND(0.0,2)</f>
        <v/>
      </c>
      <c r="CD45" s="3">
        <f>ROUND(0.0,2)</f>
        <v/>
      </c>
      <c r="CE45" s="3">
        <f>ROUND(0.0,2)</f>
        <v/>
      </c>
      <c r="CF45" s="3">
        <f>ROUND(0.0,2)</f>
        <v/>
      </c>
      <c r="CG45" s="3">
        <f>ROUND(0.0,2)</f>
        <v/>
      </c>
      <c r="CH45" s="3">
        <f>ROUND(0.0,2)</f>
        <v/>
      </c>
      <c r="CI45" s="3">
        <f>ROUND(0.0,2)</f>
        <v/>
      </c>
      <c r="CJ45" s="4">
        <f>IFERROR((CD45/CC45),0)</f>
        <v/>
      </c>
      <c r="CK45" s="4">
        <f>IFERROR(((0+CB11+CB12+CB13+CB14+CB15+CB16+CB17+CB19+CB20+CB21+CB22+CB23+CB24+CB25+CB27+CB28+CB29+CB30+CB31+CB32+CB33+CB35+CB36+CB37+CB38+CB39+CB40+CB41+CB43+CB44+CB45)/T2),0)</f>
        <v/>
      </c>
      <c r="CL45" s="5">
        <f>IFERROR(ROUND(CB45/CD45,2),0)</f>
        <v/>
      </c>
      <c r="CM45" s="5">
        <f>IFERROR(ROUND(CB45/CE45,2),0)</f>
        <v/>
      </c>
      <c r="CN45" s="2" t="inlineStr">
        <is>
          <t>2023-10-20</t>
        </is>
      </c>
      <c r="CO45" s="5">
        <f>ROUND(0.0,2)</f>
        <v/>
      </c>
      <c r="CP45" s="3">
        <f>ROUND(0.0,2)</f>
        <v/>
      </c>
      <c r="CQ45" s="3">
        <f>ROUND(0.0,2)</f>
        <v/>
      </c>
      <c r="CR45" s="3">
        <f>ROUND(0.0,2)</f>
        <v/>
      </c>
      <c r="CS45" s="3">
        <f>ROUND(0.0,2)</f>
        <v/>
      </c>
      <c r="CT45" s="3">
        <f>ROUND(0.0,2)</f>
        <v/>
      </c>
      <c r="CU45" s="3">
        <f>ROUND(0.0,2)</f>
        <v/>
      </c>
      <c r="CV45" s="3">
        <f>ROUND(0.0,2)</f>
        <v/>
      </c>
      <c r="CW45" s="4">
        <f>IFERROR((CQ45/CP45),0)</f>
        <v/>
      </c>
      <c r="CX45" s="4">
        <f>IFERROR(((0+CO11+CO12+CO13+CO14+CO15+CO16+CO17+CO19+CO20+CO21+CO22+CO23+CO24+CO25+CO27+CO28+CO29+CO30+CO31+CO32+CO33+CO35+CO36+CO37+CO38+CO39+CO40+CO41+CO43+CO44+CO45)/T2),0)</f>
        <v/>
      </c>
      <c r="CY45" s="5">
        <f>IFERROR(ROUND(CO45/CQ45,2),0)</f>
        <v/>
      </c>
      <c r="CZ45" s="5">
        <f>IFERROR(ROUND(CO45/CR45,2),0)</f>
        <v/>
      </c>
      <c r="DA45" s="2" t="inlineStr">
        <is>
          <t>2023-10-20</t>
        </is>
      </c>
      <c r="DB45" s="5">
        <f>ROUND(0.0,2)</f>
        <v/>
      </c>
      <c r="DC45" s="3">
        <f>ROUND(0.0,2)</f>
        <v/>
      </c>
      <c r="DD45" s="3">
        <f>ROUND(0.0,2)</f>
        <v/>
      </c>
      <c r="DE45" s="3">
        <f>ROUND(0.0,2)</f>
        <v/>
      </c>
      <c r="DF45" s="3">
        <f>ROUND(0.0,2)</f>
        <v/>
      </c>
      <c r="DG45" s="3">
        <f>ROUND(0.0,2)</f>
        <v/>
      </c>
      <c r="DH45" s="3">
        <f>ROUND(0.0,2)</f>
        <v/>
      </c>
      <c r="DI45" s="3">
        <f>ROUND(0.0,2)</f>
        <v/>
      </c>
      <c r="DJ45" s="4">
        <f>IFERROR((DD45/DC45),0)</f>
        <v/>
      </c>
      <c r="DK45" s="4">
        <f>IFERROR(((0+DB11+DB12+DB13+DB14+DB15+DB16+DB17+DB19+DB20+DB21+DB22+DB23+DB24+DB25+DB27+DB28+DB29+DB30+DB31+DB32+DB33+DB35+DB36+DB37+DB38+DB39+DB40+DB41+DB43+DB44+DB45)/T2),0)</f>
        <v/>
      </c>
      <c r="DL45" s="5">
        <f>IFERROR(ROUND(DB45/DD45,2),0)</f>
        <v/>
      </c>
      <c r="DM45" s="5">
        <f>IFERROR(ROUND(DB45/DE45,2),0)</f>
        <v/>
      </c>
      <c r="DN45" s="2" t="inlineStr">
        <is>
          <t>2023-10-20</t>
        </is>
      </c>
      <c r="DO45" s="5">
        <f>ROUND(0.0,2)</f>
        <v/>
      </c>
      <c r="DP45" s="3">
        <f>ROUND(0.0,2)</f>
        <v/>
      </c>
      <c r="DQ45" s="3">
        <f>ROUND(0.0,2)</f>
        <v/>
      </c>
      <c r="DR45" s="3">
        <f>ROUND(0.0,2)</f>
        <v/>
      </c>
      <c r="DS45" s="3">
        <f>ROUND(0.0,2)</f>
        <v/>
      </c>
      <c r="DT45" s="3">
        <f>ROUND(0.0,2)</f>
        <v/>
      </c>
      <c r="DU45" s="3">
        <f>ROUND(0.0,2)</f>
        <v/>
      </c>
      <c r="DV45" s="3">
        <f>ROUND(0.0,2)</f>
        <v/>
      </c>
      <c r="DW45" s="4">
        <f>IFERROR((DQ45/DP45),0)</f>
        <v/>
      </c>
      <c r="DX45" s="4">
        <f>IFERROR(((0+DO11+DO12+DO13+DO14+DO15+DO16+DO17+DO19+DO20+DO21+DO22+DO23+DO24+DO25+DO27+DO28+DO29+DO30+DO31+DO32+DO33+DO35+DO36+DO37+DO38+DO39+DO40+DO41+DO43+DO44+DO45)/T2),0)</f>
        <v/>
      </c>
      <c r="DY45" s="5">
        <f>IFERROR(ROUND(DO45/DQ45,2),0)</f>
        <v/>
      </c>
      <c r="DZ45" s="5">
        <f>IFERROR(ROUND(DO45/DR45,2),0)</f>
        <v/>
      </c>
      <c r="EA45" s="2" t="inlineStr">
        <is>
          <t>2023-10-20</t>
        </is>
      </c>
      <c r="EB45" s="5">
        <f>ROUND(0.0,2)</f>
        <v/>
      </c>
      <c r="EC45" s="3">
        <f>ROUND(0.0,2)</f>
        <v/>
      </c>
      <c r="ED45" s="3">
        <f>ROUND(0.0,2)</f>
        <v/>
      </c>
      <c r="EE45" s="3">
        <f>ROUND(0.0,2)</f>
        <v/>
      </c>
      <c r="EF45" s="3">
        <f>ROUND(0.0,2)</f>
        <v/>
      </c>
      <c r="EG45" s="3">
        <f>ROUND(0.0,2)</f>
        <v/>
      </c>
      <c r="EH45" s="3">
        <f>ROUND(0.0,2)</f>
        <v/>
      </c>
      <c r="EI45" s="3">
        <f>ROUND(0.0,2)</f>
        <v/>
      </c>
      <c r="EJ45" s="4">
        <f>IFERROR((ED45/EC45),0)</f>
        <v/>
      </c>
      <c r="EK45" s="4">
        <f>IFERROR(((0+EB11+EB12+EB13+EB14+EB15+EB16+EB17+EB19+EB20+EB21+EB22+EB23+EB24+EB25+EB27+EB28+EB29+EB30+EB31+EB32+EB33+EB35+EB36+EB37+EB38+EB39+EB40+EB41+EB43+EB44+EB45)/T2),0)</f>
        <v/>
      </c>
      <c r="EL45" s="5">
        <f>IFERROR(ROUND(EB45/ED45,2),0)</f>
        <v/>
      </c>
      <c r="EM45" s="5">
        <f>IFERROR(ROUND(EB45/EE45,2),0)</f>
        <v/>
      </c>
      <c r="EN45" s="2" t="inlineStr">
        <is>
          <t>2023-10-20</t>
        </is>
      </c>
      <c r="EO45" s="5">
        <f>ROUND(0.0,2)</f>
        <v/>
      </c>
      <c r="EP45" s="3">
        <f>ROUND(0.0,2)</f>
        <v/>
      </c>
      <c r="EQ45" s="3">
        <f>ROUND(0.0,2)</f>
        <v/>
      </c>
      <c r="ER45" s="3">
        <f>ROUND(0.0,2)</f>
        <v/>
      </c>
      <c r="ES45" s="3">
        <f>ROUND(0.0,2)</f>
        <v/>
      </c>
      <c r="ET45" s="3">
        <f>ROUND(0.0,2)</f>
        <v/>
      </c>
      <c r="EU45" s="3">
        <f>ROUND(0.0,2)</f>
        <v/>
      </c>
      <c r="EV45" s="3">
        <f>ROUND(0.0,2)</f>
        <v/>
      </c>
      <c r="EW45" s="4">
        <f>IFERROR((EQ45/EP45),0)</f>
        <v/>
      </c>
      <c r="EX45" s="4">
        <f>IFERROR(((0+EO11+EO12+EO13+EO14+EO15+EO16+EO17+EO19+EO20+EO21+EO22+EO23+EO24+EO25+EO27+EO28+EO29+EO30+EO31+EO32+EO33+EO35+EO36+EO37+EO38+EO39+EO40+EO41+EO43+EO44+EO45)/T2),0)</f>
        <v/>
      </c>
      <c r="EY45" s="5">
        <f>IFERROR(ROUND(EO45/EQ45,2),0)</f>
        <v/>
      </c>
      <c r="EZ45" s="5">
        <f>IFERROR(ROUND(EO45/ER45,2),0)</f>
        <v/>
      </c>
      <c r="FA45" s="2" t="inlineStr">
        <is>
          <t>2023-10-20</t>
        </is>
      </c>
      <c r="FB45" s="5">
        <f>ROUND(0.0,2)</f>
        <v/>
      </c>
      <c r="FC45" s="3">
        <f>ROUND(0.0,2)</f>
        <v/>
      </c>
      <c r="FD45" s="3">
        <f>ROUND(0.0,2)</f>
        <v/>
      </c>
      <c r="FE45" s="3">
        <f>ROUND(0.0,2)</f>
        <v/>
      </c>
      <c r="FF45" s="3">
        <f>ROUND(0.0,2)</f>
        <v/>
      </c>
      <c r="FG45" s="3">
        <f>ROUND(0.0,2)</f>
        <v/>
      </c>
      <c r="FH45" s="3">
        <f>ROUND(0.0,2)</f>
        <v/>
      </c>
      <c r="FI45" s="3">
        <f>ROUND(0.0,2)</f>
        <v/>
      </c>
      <c r="FJ45" s="4">
        <f>IFERROR((FD45/FC45),0)</f>
        <v/>
      </c>
      <c r="FK45" s="4">
        <f>IFERROR(((0+FB11+FB12+FB13+FB14+FB15+FB16+FB17+FB19+FB20+FB21+FB22+FB23+FB24+FB25+FB27+FB28+FB29+FB30+FB31+FB32+FB33+FB35+FB36+FB37+FB38+FB39+FB40+FB41+FB43+FB44+FB45)/T2),0)</f>
        <v/>
      </c>
      <c r="FL45" s="5">
        <f>IFERROR(ROUND(FB45/FD45,2),0)</f>
        <v/>
      </c>
      <c r="FM45" s="5">
        <f>IFERROR(ROUND(FB45/FE45,2),0)</f>
        <v/>
      </c>
      <c r="FN45" s="2" t="inlineStr">
        <is>
          <t>2023-10-20</t>
        </is>
      </c>
      <c r="FO45" s="5">
        <f>ROUND(0.0,2)</f>
        <v/>
      </c>
      <c r="FP45" s="3">
        <f>ROUND(0.0,2)</f>
        <v/>
      </c>
      <c r="FQ45" s="3">
        <f>ROUND(0.0,2)</f>
        <v/>
      </c>
      <c r="FR45" s="3">
        <f>ROUND(0.0,2)</f>
        <v/>
      </c>
      <c r="FS45" s="3">
        <f>ROUND(0.0,2)</f>
        <v/>
      </c>
      <c r="FT45" s="3">
        <f>ROUND(0.0,2)</f>
        <v/>
      </c>
      <c r="FU45" s="3">
        <f>ROUND(0.0,2)</f>
        <v/>
      </c>
      <c r="FV45" s="3">
        <f>ROUND(0.0,2)</f>
        <v/>
      </c>
      <c r="FW45" s="4">
        <f>IFERROR((FQ45/FP45),0)</f>
        <v/>
      </c>
      <c r="FX45" s="4">
        <f>IFERROR(((0+FO11+FO12+FO13+FO14+FO15+FO16+FO17+FO19+FO20+FO21+FO22+FO23+FO24+FO25+FO27+FO28+FO29+FO30+FO31+FO32+FO33+FO35+FO36+FO37+FO38+FO39+FO40+FO41+FO43+FO44+FO45)/T2),0)</f>
        <v/>
      </c>
      <c r="FY45" s="5">
        <f>IFERROR(ROUND(FO45/FQ45,2),0)</f>
        <v/>
      </c>
      <c r="FZ45" s="5">
        <f>IFERROR(ROUND(FO45/FR45,2),0)</f>
        <v/>
      </c>
      <c r="GA45" s="2" t="inlineStr">
        <is>
          <t>2023-10-20</t>
        </is>
      </c>
      <c r="GB45" s="5">
        <f>ROUND(0.0,2)</f>
        <v/>
      </c>
      <c r="GC45" s="3">
        <f>ROUND(0.0,2)</f>
        <v/>
      </c>
      <c r="GD45" s="3">
        <f>ROUND(0.0,2)</f>
        <v/>
      </c>
      <c r="GE45" s="3">
        <f>ROUND(0.0,2)</f>
        <v/>
      </c>
      <c r="GF45" s="3">
        <f>ROUND(0.0,2)</f>
        <v/>
      </c>
      <c r="GG45" s="3">
        <f>ROUND(0.0,2)</f>
        <v/>
      </c>
      <c r="GH45" s="3">
        <f>ROUND(0.0,2)</f>
        <v/>
      </c>
      <c r="GI45" s="3">
        <f>ROUND(0.0,2)</f>
        <v/>
      </c>
      <c r="GJ45" s="4">
        <f>IFERROR((GD45/GC45),0)</f>
        <v/>
      </c>
      <c r="GK45" s="4">
        <f>IFERROR(((0+GB11+GB12+GB13+GB14+GB15+GB16+GB17+GB19+GB20+GB21+GB22+GB23+GB24+GB25+GB27+GB28+GB29+GB30+GB31+GB32+GB33+GB35+GB36+GB37+GB38+GB39+GB40+GB41+GB43+GB44+GB45)/T2),0)</f>
        <v/>
      </c>
      <c r="GL45" s="5">
        <f>IFERROR(ROUND(GB45/GD45,2),0)</f>
        <v/>
      </c>
      <c r="GM45" s="5">
        <f>IFERROR(ROUND(GB45/GE45,2),0)</f>
        <v/>
      </c>
      <c r="GN45" s="2" t="inlineStr">
        <is>
          <t>2023-10-20</t>
        </is>
      </c>
      <c r="GO45" s="5">
        <f>ROUND(0.0,2)</f>
        <v/>
      </c>
      <c r="GP45" s="3">
        <f>ROUND(0.0,2)</f>
        <v/>
      </c>
      <c r="GQ45" s="3">
        <f>ROUND(0.0,2)</f>
        <v/>
      </c>
      <c r="GR45" s="3">
        <f>ROUND(0.0,2)</f>
        <v/>
      </c>
      <c r="GS45" s="3">
        <f>ROUND(0.0,2)</f>
        <v/>
      </c>
      <c r="GT45" s="3">
        <f>ROUND(0.0,2)</f>
        <v/>
      </c>
      <c r="GU45" s="3">
        <f>ROUND(0.0,2)</f>
        <v/>
      </c>
      <c r="GV45" s="3">
        <f>ROUND(0.0,2)</f>
        <v/>
      </c>
      <c r="GW45" s="4">
        <f>IFERROR((GQ45/GP45),0)</f>
        <v/>
      </c>
      <c r="GX45" s="4">
        <f>IFERROR(((0+GO11+GO12+GO13+GO14+GO15+GO16+GO17+GO19+GO20+GO21+GO22+GO23+GO24+GO25+GO27+GO28+GO29+GO30+GO31+GO32+GO33+GO35+GO36+GO37+GO38+GO39+GO40+GO41+GO43+GO44+GO45)/T2),0)</f>
        <v/>
      </c>
      <c r="GY45" s="5">
        <f>IFERROR(ROUND(GO45/GQ45,2),0)</f>
        <v/>
      </c>
      <c r="GZ45" s="5">
        <f>IFERROR(ROUND(GO45/GR45,2),0)</f>
        <v/>
      </c>
      <c r="HA45" s="2" t="inlineStr">
        <is>
          <t>2023-10-20</t>
        </is>
      </c>
      <c r="HB45" s="5">
        <f>ROUND(0.0,2)</f>
        <v/>
      </c>
      <c r="HC45" s="3">
        <f>ROUND(0.0,2)</f>
        <v/>
      </c>
      <c r="HD45" s="3">
        <f>ROUND(0.0,2)</f>
        <v/>
      </c>
      <c r="HE45" s="3">
        <f>ROUND(0.0,2)</f>
        <v/>
      </c>
      <c r="HF45" s="3">
        <f>ROUND(0.0,2)</f>
        <v/>
      </c>
      <c r="HG45" s="3">
        <f>ROUND(0.0,2)</f>
        <v/>
      </c>
      <c r="HH45" s="3">
        <f>ROUND(0.0,2)</f>
        <v/>
      </c>
      <c r="HI45" s="3">
        <f>ROUND(0.0,2)</f>
        <v/>
      </c>
      <c r="HJ45" s="4">
        <f>IFERROR((HD45/HC45),0)</f>
        <v/>
      </c>
      <c r="HK45" s="4">
        <f>IFERROR(((0+HB11+HB12+HB13+HB14+HB15+HB16+HB17+HB19+HB20+HB21+HB22+HB23+HB24+HB25+HB27+HB28+HB29+HB30+HB31+HB32+HB33+HB35+HB36+HB37+HB38+HB39+HB40+HB41+HB43+HB44+HB45)/T2),0)</f>
        <v/>
      </c>
      <c r="HL45" s="5">
        <f>IFERROR(ROUND(HB45/HD45,2),0)</f>
        <v/>
      </c>
      <c r="HM45" s="5">
        <f>IFERROR(ROUND(HB45/HE45,2),0)</f>
        <v/>
      </c>
      <c r="HN45" s="2" t="inlineStr">
        <is>
          <t>2023-10-20</t>
        </is>
      </c>
      <c r="HO45" s="5">
        <f>ROUND(0.0,2)</f>
        <v/>
      </c>
      <c r="HP45" s="3">
        <f>ROUND(0.0,2)</f>
        <v/>
      </c>
      <c r="HQ45" s="3">
        <f>ROUND(0.0,2)</f>
        <v/>
      </c>
      <c r="HR45" s="3">
        <f>ROUND(0.0,2)</f>
        <v/>
      </c>
      <c r="HS45" s="3">
        <f>ROUND(0.0,2)</f>
        <v/>
      </c>
      <c r="HT45" s="3">
        <f>ROUND(0.0,2)</f>
        <v/>
      </c>
      <c r="HU45" s="3">
        <f>ROUND(0.0,2)</f>
        <v/>
      </c>
      <c r="HV45" s="3">
        <f>ROUND(0.0,2)</f>
        <v/>
      </c>
      <c r="HW45" s="4">
        <f>IFERROR((HQ45/HP45),0)</f>
        <v/>
      </c>
      <c r="HX45" s="4">
        <f>IFERROR(((0+HO11+HO12+HO13+HO14+HO15+HO16+HO17+HO19+HO20+HO21+HO22+HO23+HO24+HO25+HO27+HO28+HO29+HO30+HO31+HO32+HO33+HO35+HO36+HO37+HO38+HO39+HO40+HO41+HO43+HO44+HO45)/T2),0)</f>
        <v/>
      </c>
      <c r="HY45" s="5">
        <f>IFERROR(ROUND(HO45/HQ45,2),0)</f>
        <v/>
      </c>
      <c r="HZ45" s="5">
        <f>IFERROR(ROUND(HO45/HR45,2),0)</f>
        <v/>
      </c>
      <c r="IA45" s="2" t="inlineStr">
        <is>
          <t>2023-10-20</t>
        </is>
      </c>
      <c r="IB45" s="5">
        <f>ROUND(0.0,2)</f>
        <v/>
      </c>
      <c r="IC45" s="3">
        <f>ROUND(0.0,2)</f>
        <v/>
      </c>
      <c r="ID45" s="3">
        <f>ROUND(0.0,2)</f>
        <v/>
      </c>
      <c r="IE45" s="3">
        <f>ROUND(0.0,2)</f>
        <v/>
      </c>
      <c r="IF45" s="3">
        <f>ROUND(0.0,2)</f>
        <v/>
      </c>
      <c r="IG45" s="3">
        <f>ROUND(0.0,2)</f>
        <v/>
      </c>
      <c r="IH45" s="3">
        <f>ROUND(0.0,2)</f>
        <v/>
      </c>
      <c r="II45" s="3">
        <f>ROUND(0.0,2)</f>
        <v/>
      </c>
      <c r="IJ45" s="4">
        <f>IFERROR((ID45/IC45),0)</f>
        <v/>
      </c>
      <c r="IK45" s="4">
        <f>IFERROR(((0+IB11+IB12+IB13+IB14+IB15+IB16+IB17+IB19+IB20+IB21+IB22+IB23+IB24+IB25+IB27+IB28+IB29+IB30+IB31+IB32+IB33+IB35+IB36+IB37+IB38+IB39+IB40+IB41+IB43+IB44+IB45)/T2),0)</f>
        <v/>
      </c>
      <c r="IL45" s="5">
        <f>IFERROR(ROUND(IB45/ID45,2),0)</f>
        <v/>
      </c>
      <c r="IM45" s="5">
        <f>IFERROR(ROUND(IB45/IE45,2),0)</f>
        <v/>
      </c>
      <c r="IN45" s="2" t="inlineStr">
        <is>
          <t>2023-10-20</t>
        </is>
      </c>
      <c r="IO45" s="5">
        <f>ROUND(0.0,2)</f>
        <v/>
      </c>
      <c r="IP45" s="3">
        <f>ROUND(0.0,2)</f>
        <v/>
      </c>
      <c r="IQ45" s="3">
        <f>ROUND(0.0,2)</f>
        <v/>
      </c>
      <c r="IR45" s="3">
        <f>ROUND(0.0,2)</f>
        <v/>
      </c>
      <c r="IS45" s="3">
        <f>ROUND(0.0,2)</f>
        <v/>
      </c>
      <c r="IT45" s="3">
        <f>ROUND(0.0,2)</f>
        <v/>
      </c>
      <c r="IU45" s="3">
        <f>ROUND(0.0,2)</f>
        <v/>
      </c>
      <c r="IV45" s="3">
        <f>ROUND(0.0,2)</f>
        <v/>
      </c>
      <c r="IW45" s="4">
        <f>IFERROR((IQ45/IP45),0)</f>
        <v/>
      </c>
      <c r="IX45" s="4">
        <f>IFERROR(((0+IO11+IO12+IO13+IO14+IO15+IO16+IO17+IO19+IO20+IO21+IO22+IO23+IO24+IO25+IO27+IO28+IO29+IO30+IO31+IO32+IO33+IO35+IO36+IO37+IO38+IO39+IO40+IO41+IO43+IO44+IO45)/T2),0)</f>
        <v/>
      </c>
      <c r="IY45" s="5">
        <f>IFERROR(ROUND(IO45/IQ45,2),0)</f>
        <v/>
      </c>
      <c r="IZ45" s="5">
        <f>IFERROR(ROUND(IO45/IR45,2),0)</f>
        <v/>
      </c>
      <c r="JA45" s="2" t="inlineStr">
        <is>
          <t>2023-10-20</t>
        </is>
      </c>
      <c r="JB45" s="5">
        <f>ROUND(0.0,2)</f>
        <v/>
      </c>
      <c r="JC45" s="3">
        <f>ROUND(0.0,2)</f>
        <v/>
      </c>
      <c r="JD45" s="3">
        <f>ROUND(0.0,2)</f>
        <v/>
      </c>
      <c r="JE45" s="3">
        <f>ROUND(0.0,2)</f>
        <v/>
      </c>
      <c r="JF45" s="3">
        <f>ROUND(0.0,2)</f>
        <v/>
      </c>
      <c r="JG45" s="3">
        <f>ROUND(0.0,2)</f>
        <v/>
      </c>
      <c r="JH45" s="3">
        <f>ROUND(0.0,2)</f>
        <v/>
      </c>
      <c r="JI45" s="3">
        <f>ROUND(0.0,2)</f>
        <v/>
      </c>
      <c r="JJ45" s="4">
        <f>IFERROR((JD45/JC45),0)</f>
        <v/>
      </c>
      <c r="JK45" s="4">
        <f>IFERROR(((0+JB11+JB12+JB13+JB14+JB15+JB16+JB17+JB19+JB20+JB21+JB22+JB23+JB24+JB25+JB27+JB28+JB29+JB30+JB31+JB32+JB33+JB35+JB36+JB37+JB38+JB39+JB40+JB41+JB43+JB44+JB45)/T2),0)</f>
        <v/>
      </c>
      <c r="JL45" s="5">
        <f>IFERROR(ROUND(JB45/JD45,2),0)</f>
        <v/>
      </c>
      <c r="JM45" s="5">
        <f>IFERROR(ROUND(JB45/JE45,2),0)</f>
        <v/>
      </c>
    </row>
    <row r="46">
      <c r="A46" s="2" t="inlineStr">
        <is>
          <t>2023-10-21</t>
        </is>
      </c>
      <c r="B46" s="5">
        <f>ROUND(0.0,2)</f>
        <v/>
      </c>
      <c r="C46" s="3">
        <f>ROUND(0.0,2)</f>
        <v/>
      </c>
      <c r="D46" s="3">
        <f>ROUND(0.0,2)</f>
        <v/>
      </c>
      <c r="E46" s="3">
        <f>ROUND(0.0,2)</f>
        <v/>
      </c>
      <c r="F46" s="3">
        <f>ROUND(0.0,2)</f>
        <v/>
      </c>
      <c r="G46" s="3">
        <f>ROUND(0.0,2)</f>
        <v/>
      </c>
      <c r="H46" s="3">
        <f>ROUND(0.0,2)</f>
        <v/>
      </c>
      <c r="I46" s="3">
        <f>ROUND(0.0,2)</f>
        <v/>
      </c>
      <c r="J46" s="4">
        <f>IFERROR((D46/C46),0)</f>
        <v/>
      </c>
      <c r="K46" s="4">
        <f>IFERROR(((0+B11+B12+B13+B14+B15+B16+B17+B19+B20+B21+B22+B23+B24+B25+B27+B28+B29+B30+B31+B32+B33+B35+B36+B37+B38+B39+B40+B41+B43+B44+B45+B46)/T2),0)</f>
        <v/>
      </c>
      <c r="L46" s="5">
        <f>IFERROR(ROUND(B46/D46,2),0)</f>
        <v/>
      </c>
      <c r="M46" s="5">
        <f>IFERROR(ROUND(B46/E46,2),0)</f>
        <v/>
      </c>
      <c r="N46" s="2" t="inlineStr">
        <is>
          <t>2023-10-21</t>
        </is>
      </c>
      <c r="O46" s="5">
        <f>ROUND(0.0,2)</f>
        <v/>
      </c>
      <c r="P46" s="3">
        <f>ROUND(0.0,2)</f>
        <v/>
      </c>
      <c r="Q46" s="3">
        <f>ROUND(0.0,2)</f>
        <v/>
      </c>
      <c r="R46" s="3">
        <f>ROUND(0.0,2)</f>
        <v/>
      </c>
      <c r="S46" s="3">
        <f>ROUND(0.0,2)</f>
        <v/>
      </c>
      <c r="T46" s="3">
        <f>ROUND(0.0,2)</f>
        <v/>
      </c>
      <c r="U46" s="3">
        <f>ROUND(0.0,2)</f>
        <v/>
      </c>
      <c r="V46" s="3">
        <f>ROUND(0.0,2)</f>
        <v/>
      </c>
      <c r="W46" s="4">
        <f>IFERROR((Q46/P46),0)</f>
        <v/>
      </c>
      <c r="X46" s="4">
        <f>IFERROR(((0+O11+O12+O13+O14+O15+O16+O17+O19+O20+O21+O22+O23+O24+O25+O27+O28+O29+O30+O31+O32+O33+O35+O36+O37+O38+O39+O40+O41+O43+O44+O45+O46)/T2),0)</f>
        <v/>
      </c>
      <c r="Y46" s="5">
        <f>IFERROR(ROUND(O46/Q46,2),0)</f>
        <v/>
      </c>
      <c r="Z46" s="5">
        <f>IFERROR(ROUND(O46/R46,2),0)</f>
        <v/>
      </c>
      <c r="AA46" s="2" t="inlineStr">
        <is>
          <t>2023-10-21</t>
        </is>
      </c>
      <c r="AB46" s="5">
        <f>ROUND(0.0,2)</f>
        <v/>
      </c>
      <c r="AC46" s="3">
        <f>ROUND(0.0,2)</f>
        <v/>
      </c>
      <c r="AD46" s="3">
        <f>ROUND(0.0,2)</f>
        <v/>
      </c>
      <c r="AE46" s="3">
        <f>ROUND(0.0,2)</f>
        <v/>
      </c>
      <c r="AF46" s="3">
        <f>ROUND(0.0,2)</f>
        <v/>
      </c>
      <c r="AG46" s="3">
        <f>ROUND(0.0,2)</f>
        <v/>
      </c>
      <c r="AH46" s="3">
        <f>ROUND(0.0,2)</f>
        <v/>
      </c>
      <c r="AI46" s="3">
        <f>ROUND(0.0,2)</f>
        <v/>
      </c>
      <c r="AJ46" s="4">
        <f>IFERROR((AD46/AC46),0)</f>
        <v/>
      </c>
      <c r="AK46" s="4">
        <f>IFERROR(((0+AB11+AB12+AB13+AB14+AB15+AB16+AB17+AB19+AB20+AB21+AB22+AB23+AB24+AB25+AB27+AB28+AB29+AB30+AB31+AB32+AB33+AB35+AB36+AB37+AB38+AB39+AB40+AB41+AB43+AB44+AB45+AB46)/T2),0)</f>
        <v/>
      </c>
      <c r="AL46" s="5">
        <f>IFERROR(ROUND(AB46/AD46,2),0)</f>
        <v/>
      </c>
      <c r="AM46" s="5">
        <f>IFERROR(ROUND(AB46/AE46,2),0)</f>
        <v/>
      </c>
      <c r="AN46" s="2" t="inlineStr">
        <is>
          <t>2023-10-21</t>
        </is>
      </c>
      <c r="AO46" s="5">
        <f>ROUND(0.0,2)</f>
        <v/>
      </c>
      <c r="AP46" s="3">
        <f>ROUND(0.0,2)</f>
        <v/>
      </c>
      <c r="AQ46" s="3">
        <f>ROUND(0.0,2)</f>
        <v/>
      </c>
      <c r="AR46" s="3">
        <f>ROUND(0.0,2)</f>
        <v/>
      </c>
      <c r="AS46" s="3">
        <f>ROUND(0.0,2)</f>
        <v/>
      </c>
      <c r="AT46" s="3">
        <f>ROUND(0.0,2)</f>
        <v/>
      </c>
      <c r="AU46" s="3">
        <f>ROUND(0.0,2)</f>
        <v/>
      </c>
      <c r="AV46" s="3">
        <f>ROUND(0.0,2)</f>
        <v/>
      </c>
      <c r="AW46" s="4">
        <f>IFERROR((AQ46/AP46),0)</f>
        <v/>
      </c>
      <c r="AX46" s="4">
        <f>IFERROR(((0+AO11+AO12+AO13+AO14+AO15+AO16+AO17+AO19+AO20+AO21+AO22+AO23+AO24+AO25+AO27+AO28+AO29+AO30+AO31+AO32+AO33+AO35+AO36+AO37+AO38+AO39+AO40+AO41+AO43+AO44+AO45+AO46)/T2),0)</f>
        <v/>
      </c>
      <c r="AY46" s="5">
        <f>IFERROR(ROUND(AO46/AQ46,2),0)</f>
        <v/>
      </c>
      <c r="AZ46" s="5">
        <f>IFERROR(ROUND(AO46/AR46,2),0)</f>
        <v/>
      </c>
      <c r="BA46" s="2" t="inlineStr">
        <is>
          <t>2023-10-21</t>
        </is>
      </c>
      <c r="BB46" s="5">
        <f>ROUND(0.0,2)</f>
        <v/>
      </c>
      <c r="BC46" s="3">
        <f>ROUND(0.0,2)</f>
        <v/>
      </c>
      <c r="BD46" s="3">
        <f>ROUND(0.0,2)</f>
        <v/>
      </c>
      <c r="BE46" s="3">
        <f>ROUND(0.0,2)</f>
        <v/>
      </c>
      <c r="BF46" s="3">
        <f>ROUND(0.0,2)</f>
        <v/>
      </c>
      <c r="BG46" s="3">
        <f>ROUND(0.0,2)</f>
        <v/>
      </c>
      <c r="BH46" s="3">
        <f>ROUND(0.0,2)</f>
        <v/>
      </c>
      <c r="BI46" s="3">
        <f>ROUND(0.0,2)</f>
        <v/>
      </c>
      <c r="BJ46" s="4">
        <f>IFERROR((BD46/BC46),0)</f>
        <v/>
      </c>
      <c r="BK46" s="4">
        <f>IFERROR(((0+BB11+BB12+BB13+BB14+BB15+BB16+BB17+BB19+BB20+BB21+BB22+BB23+BB24+BB25+BB27+BB28+BB29+BB30+BB31+BB32+BB33+BB35+BB36+BB37+BB38+BB39+BB40+BB41+BB43+BB44+BB45+BB46)/T2),0)</f>
        <v/>
      </c>
      <c r="BL46" s="5">
        <f>IFERROR(ROUND(BB46/BD46,2),0)</f>
        <v/>
      </c>
      <c r="BM46" s="5">
        <f>IFERROR(ROUND(BB46/BE46,2),0)</f>
        <v/>
      </c>
      <c r="BN46" s="2" t="inlineStr">
        <is>
          <t>2023-10-21</t>
        </is>
      </c>
      <c r="BO46" s="5">
        <f>ROUND(0.0,2)</f>
        <v/>
      </c>
      <c r="BP46" s="3">
        <f>ROUND(0.0,2)</f>
        <v/>
      </c>
      <c r="BQ46" s="3">
        <f>ROUND(0.0,2)</f>
        <v/>
      </c>
      <c r="BR46" s="3">
        <f>ROUND(0.0,2)</f>
        <v/>
      </c>
      <c r="BS46" s="3">
        <f>ROUND(0.0,2)</f>
        <v/>
      </c>
      <c r="BT46" s="3">
        <f>ROUND(0.0,2)</f>
        <v/>
      </c>
      <c r="BU46" s="3">
        <f>ROUND(0.0,2)</f>
        <v/>
      </c>
      <c r="BV46" s="3">
        <f>ROUND(0.0,2)</f>
        <v/>
      </c>
      <c r="BW46" s="4">
        <f>IFERROR((BQ46/BP46),0)</f>
        <v/>
      </c>
      <c r="BX46" s="4">
        <f>IFERROR(((0+BO11+BO12+BO13+BO14+BO15+BO16+BO17+BO19+BO20+BO21+BO22+BO23+BO24+BO25+BO27+BO28+BO29+BO30+BO31+BO32+BO33+BO35+BO36+BO37+BO38+BO39+BO40+BO41+BO43+BO44+BO45+BO46)/T2),0)</f>
        <v/>
      </c>
      <c r="BY46" s="5">
        <f>IFERROR(ROUND(BO46/BQ46,2),0)</f>
        <v/>
      </c>
      <c r="BZ46" s="5">
        <f>IFERROR(ROUND(BO46/BR46,2),0)</f>
        <v/>
      </c>
      <c r="CA46" s="2" t="inlineStr">
        <is>
          <t>2023-10-21</t>
        </is>
      </c>
      <c r="CB46" s="5">
        <f>ROUND(0.0,2)</f>
        <v/>
      </c>
      <c r="CC46" s="3">
        <f>ROUND(0.0,2)</f>
        <v/>
      </c>
      <c r="CD46" s="3">
        <f>ROUND(0.0,2)</f>
        <v/>
      </c>
      <c r="CE46" s="3">
        <f>ROUND(0.0,2)</f>
        <v/>
      </c>
      <c r="CF46" s="3">
        <f>ROUND(0.0,2)</f>
        <v/>
      </c>
      <c r="CG46" s="3">
        <f>ROUND(0.0,2)</f>
        <v/>
      </c>
      <c r="CH46" s="3">
        <f>ROUND(0.0,2)</f>
        <v/>
      </c>
      <c r="CI46" s="3">
        <f>ROUND(0.0,2)</f>
        <v/>
      </c>
      <c r="CJ46" s="4">
        <f>IFERROR((CD46/CC46),0)</f>
        <v/>
      </c>
      <c r="CK46" s="4">
        <f>IFERROR(((0+CB11+CB12+CB13+CB14+CB15+CB16+CB17+CB19+CB20+CB21+CB22+CB23+CB24+CB25+CB27+CB28+CB29+CB30+CB31+CB32+CB33+CB35+CB36+CB37+CB38+CB39+CB40+CB41+CB43+CB44+CB45+CB46)/T2),0)</f>
        <v/>
      </c>
      <c r="CL46" s="5">
        <f>IFERROR(ROUND(CB46/CD46,2),0)</f>
        <v/>
      </c>
      <c r="CM46" s="5">
        <f>IFERROR(ROUND(CB46/CE46,2),0)</f>
        <v/>
      </c>
      <c r="CN46" s="2" t="inlineStr">
        <is>
          <t>2023-10-21</t>
        </is>
      </c>
      <c r="CO46" s="5">
        <f>ROUND(0.0,2)</f>
        <v/>
      </c>
      <c r="CP46" s="3">
        <f>ROUND(0.0,2)</f>
        <v/>
      </c>
      <c r="CQ46" s="3">
        <f>ROUND(0.0,2)</f>
        <v/>
      </c>
      <c r="CR46" s="3">
        <f>ROUND(0.0,2)</f>
        <v/>
      </c>
      <c r="CS46" s="3">
        <f>ROUND(0.0,2)</f>
        <v/>
      </c>
      <c r="CT46" s="3">
        <f>ROUND(0.0,2)</f>
        <v/>
      </c>
      <c r="CU46" s="3">
        <f>ROUND(0.0,2)</f>
        <v/>
      </c>
      <c r="CV46" s="3">
        <f>ROUND(0.0,2)</f>
        <v/>
      </c>
      <c r="CW46" s="4">
        <f>IFERROR((CQ46/CP46),0)</f>
        <v/>
      </c>
      <c r="CX46" s="4">
        <f>IFERROR(((0+CO11+CO12+CO13+CO14+CO15+CO16+CO17+CO19+CO20+CO21+CO22+CO23+CO24+CO25+CO27+CO28+CO29+CO30+CO31+CO32+CO33+CO35+CO36+CO37+CO38+CO39+CO40+CO41+CO43+CO44+CO45+CO46)/T2),0)</f>
        <v/>
      </c>
      <c r="CY46" s="5">
        <f>IFERROR(ROUND(CO46/CQ46,2),0)</f>
        <v/>
      </c>
      <c r="CZ46" s="5">
        <f>IFERROR(ROUND(CO46/CR46,2),0)</f>
        <v/>
      </c>
      <c r="DA46" s="2" t="inlineStr">
        <is>
          <t>2023-10-21</t>
        </is>
      </c>
      <c r="DB46" s="5">
        <f>ROUND(0.0,2)</f>
        <v/>
      </c>
      <c r="DC46" s="3">
        <f>ROUND(0.0,2)</f>
        <v/>
      </c>
      <c r="DD46" s="3">
        <f>ROUND(0.0,2)</f>
        <v/>
      </c>
      <c r="DE46" s="3">
        <f>ROUND(0.0,2)</f>
        <v/>
      </c>
      <c r="DF46" s="3">
        <f>ROUND(0.0,2)</f>
        <v/>
      </c>
      <c r="DG46" s="3">
        <f>ROUND(0.0,2)</f>
        <v/>
      </c>
      <c r="DH46" s="3">
        <f>ROUND(0.0,2)</f>
        <v/>
      </c>
      <c r="DI46" s="3">
        <f>ROUND(0.0,2)</f>
        <v/>
      </c>
      <c r="DJ46" s="4">
        <f>IFERROR((DD46/DC46),0)</f>
        <v/>
      </c>
      <c r="DK46" s="4">
        <f>IFERROR(((0+DB11+DB12+DB13+DB14+DB15+DB16+DB17+DB19+DB20+DB21+DB22+DB23+DB24+DB25+DB27+DB28+DB29+DB30+DB31+DB32+DB33+DB35+DB36+DB37+DB38+DB39+DB40+DB41+DB43+DB44+DB45+DB46)/T2),0)</f>
        <v/>
      </c>
      <c r="DL46" s="5">
        <f>IFERROR(ROUND(DB46/DD46,2),0)</f>
        <v/>
      </c>
      <c r="DM46" s="5">
        <f>IFERROR(ROUND(DB46/DE46,2),0)</f>
        <v/>
      </c>
      <c r="DN46" s="2" t="inlineStr">
        <is>
          <t>2023-10-21</t>
        </is>
      </c>
      <c r="DO46" s="5">
        <f>ROUND(0.0,2)</f>
        <v/>
      </c>
      <c r="DP46" s="3">
        <f>ROUND(0.0,2)</f>
        <v/>
      </c>
      <c r="DQ46" s="3">
        <f>ROUND(0.0,2)</f>
        <v/>
      </c>
      <c r="DR46" s="3">
        <f>ROUND(0.0,2)</f>
        <v/>
      </c>
      <c r="DS46" s="3">
        <f>ROUND(0.0,2)</f>
        <v/>
      </c>
      <c r="DT46" s="3">
        <f>ROUND(0.0,2)</f>
        <v/>
      </c>
      <c r="DU46" s="3">
        <f>ROUND(0.0,2)</f>
        <v/>
      </c>
      <c r="DV46" s="3">
        <f>ROUND(0.0,2)</f>
        <v/>
      </c>
      <c r="DW46" s="4">
        <f>IFERROR((DQ46/DP46),0)</f>
        <v/>
      </c>
      <c r="DX46" s="4">
        <f>IFERROR(((0+DO11+DO12+DO13+DO14+DO15+DO16+DO17+DO19+DO20+DO21+DO22+DO23+DO24+DO25+DO27+DO28+DO29+DO30+DO31+DO32+DO33+DO35+DO36+DO37+DO38+DO39+DO40+DO41+DO43+DO44+DO45+DO46)/T2),0)</f>
        <v/>
      </c>
      <c r="DY46" s="5">
        <f>IFERROR(ROUND(DO46/DQ46,2),0)</f>
        <v/>
      </c>
      <c r="DZ46" s="5">
        <f>IFERROR(ROUND(DO46/DR46,2),0)</f>
        <v/>
      </c>
      <c r="EA46" s="2" t="inlineStr">
        <is>
          <t>2023-10-21</t>
        </is>
      </c>
      <c r="EB46" s="5">
        <f>ROUND(0.0,2)</f>
        <v/>
      </c>
      <c r="EC46" s="3">
        <f>ROUND(0.0,2)</f>
        <v/>
      </c>
      <c r="ED46" s="3">
        <f>ROUND(0.0,2)</f>
        <v/>
      </c>
      <c r="EE46" s="3">
        <f>ROUND(0.0,2)</f>
        <v/>
      </c>
      <c r="EF46" s="3">
        <f>ROUND(0.0,2)</f>
        <v/>
      </c>
      <c r="EG46" s="3">
        <f>ROUND(0.0,2)</f>
        <v/>
      </c>
      <c r="EH46" s="3">
        <f>ROUND(0.0,2)</f>
        <v/>
      </c>
      <c r="EI46" s="3">
        <f>ROUND(0.0,2)</f>
        <v/>
      </c>
      <c r="EJ46" s="4">
        <f>IFERROR((ED46/EC46),0)</f>
        <v/>
      </c>
      <c r="EK46" s="4">
        <f>IFERROR(((0+EB11+EB12+EB13+EB14+EB15+EB16+EB17+EB19+EB20+EB21+EB22+EB23+EB24+EB25+EB27+EB28+EB29+EB30+EB31+EB32+EB33+EB35+EB36+EB37+EB38+EB39+EB40+EB41+EB43+EB44+EB45+EB46)/T2),0)</f>
        <v/>
      </c>
      <c r="EL46" s="5">
        <f>IFERROR(ROUND(EB46/ED46,2),0)</f>
        <v/>
      </c>
      <c r="EM46" s="5">
        <f>IFERROR(ROUND(EB46/EE46,2),0)</f>
        <v/>
      </c>
      <c r="EN46" s="2" t="inlineStr">
        <is>
          <t>2023-10-21</t>
        </is>
      </c>
      <c r="EO46" s="5">
        <f>ROUND(0.0,2)</f>
        <v/>
      </c>
      <c r="EP46" s="3">
        <f>ROUND(0.0,2)</f>
        <v/>
      </c>
      <c r="EQ46" s="3">
        <f>ROUND(0.0,2)</f>
        <v/>
      </c>
      <c r="ER46" s="3">
        <f>ROUND(0.0,2)</f>
        <v/>
      </c>
      <c r="ES46" s="3">
        <f>ROUND(0.0,2)</f>
        <v/>
      </c>
      <c r="ET46" s="3">
        <f>ROUND(0.0,2)</f>
        <v/>
      </c>
      <c r="EU46" s="3">
        <f>ROUND(0.0,2)</f>
        <v/>
      </c>
      <c r="EV46" s="3">
        <f>ROUND(0.0,2)</f>
        <v/>
      </c>
      <c r="EW46" s="4">
        <f>IFERROR((EQ46/EP46),0)</f>
        <v/>
      </c>
      <c r="EX46" s="4">
        <f>IFERROR(((0+EO11+EO12+EO13+EO14+EO15+EO16+EO17+EO19+EO20+EO21+EO22+EO23+EO24+EO25+EO27+EO28+EO29+EO30+EO31+EO32+EO33+EO35+EO36+EO37+EO38+EO39+EO40+EO41+EO43+EO44+EO45+EO46)/T2),0)</f>
        <v/>
      </c>
      <c r="EY46" s="5">
        <f>IFERROR(ROUND(EO46/EQ46,2),0)</f>
        <v/>
      </c>
      <c r="EZ46" s="5">
        <f>IFERROR(ROUND(EO46/ER46,2),0)</f>
        <v/>
      </c>
      <c r="FA46" s="2" t="inlineStr">
        <is>
          <t>2023-10-21</t>
        </is>
      </c>
      <c r="FB46" s="5">
        <f>ROUND(0.0,2)</f>
        <v/>
      </c>
      <c r="FC46" s="3">
        <f>ROUND(0.0,2)</f>
        <v/>
      </c>
      <c r="FD46" s="3">
        <f>ROUND(0.0,2)</f>
        <v/>
      </c>
      <c r="FE46" s="3">
        <f>ROUND(0.0,2)</f>
        <v/>
      </c>
      <c r="FF46" s="3">
        <f>ROUND(0.0,2)</f>
        <v/>
      </c>
      <c r="FG46" s="3">
        <f>ROUND(0.0,2)</f>
        <v/>
      </c>
      <c r="FH46" s="3">
        <f>ROUND(0.0,2)</f>
        <v/>
      </c>
      <c r="FI46" s="3">
        <f>ROUND(0.0,2)</f>
        <v/>
      </c>
      <c r="FJ46" s="4">
        <f>IFERROR((FD46/FC46),0)</f>
        <v/>
      </c>
      <c r="FK46" s="4">
        <f>IFERROR(((0+FB11+FB12+FB13+FB14+FB15+FB16+FB17+FB19+FB20+FB21+FB22+FB23+FB24+FB25+FB27+FB28+FB29+FB30+FB31+FB32+FB33+FB35+FB36+FB37+FB38+FB39+FB40+FB41+FB43+FB44+FB45+FB46)/T2),0)</f>
        <v/>
      </c>
      <c r="FL46" s="5">
        <f>IFERROR(ROUND(FB46/FD46,2),0)</f>
        <v/>
      </c>
      <c r="FM46" s="5">
        <f>IFERROR(ROUND(FB46/FE46,2),0)</f>
        <v/>
      </c>
      <c r="FN46" s="2" t="inlineStr">
        <is>
          <t>2023-10-21</t>
        </is>
      </c>
      <c r="FO46" s="5">
        <f>ROUND(0.0,2)</f>
        <v/>
      </c>
      <c r="FP46" s="3">
        <f>ROUND(0.0,2)</f>
        <v/>
      </c>
      <c r="FQ46" s="3">
        <f>ROUND(0.0,2)</f>
        <v/>
      </c>
      <c r="FR46" s="3">
        <f>ROUND(0.0,2)</f>
        <v/>
      </c>
      <c r="FS46" s="3">
        <f>ROUND(0.0,2)</f>
        <v/>
      </c>
      <c r="FT46" s="3">
        <f>ROUND(0.0,2)</f>
        <v/>
      </c>
      <c r="FU46" s="3">
        <f>ROUND(0.0,2)</f>
        <v/>
      </c>
      <c r="FV46" s="3">
        <f>ROUND(0.0,2)</f>
        <v/>
      </c>
      <c r="FW46" s="4">
        <f>IFERROR((FQ46/FP46),0)</f>
        <v/>
      </c>
      <c r="FX46" s="4">
        <f>IFERROR(((0+FO11+FO12+FO13+FO14+FO15+FO16+FO17+FO19+FO20+FO21+FO22+FO23+FO24+FO25+FO27+FO28+FO29+FO30+FO31+FO32+FO33+FO35+FO36+FO37+FO38+FO39+FO40+FO41+FO43+FO44+FO45+FO46)/T2),0)</f>
        <v/>
      </c>
      <c r="FY46" s="5">
        <f>IFERROR(ROUND(FO46/FQ46,2),0)</f>
        <v/>
      </c>
      <c r="FZ46" s="5">
        <f>IFERROR(ROUND(FO46/FR46,2),0)</f>
        <v/>
      </c>
      <c r="GA46" s="2" t="inlineStr">
        <is>
          <t>2023-10-21</t>
        </is>
      </c>
      <c r="GB46" s="5">
        <f>ROUND(0.0,2)</f>
        <v/>
      </c>
      <c r="GC46" s="3">
        <f>ROUND(0.0,2)</f>
        <v/>
      </c>
      <c r="GD46" s="3">
        <f>ROUND(0.0,2)</f>
        <v/>
      </c>
      <c r="GE46" s="3">
        <f>ROUND(0.0,2)</f>
        <v/>
      </c>
      <c r="GF46" s="3">
        <f>ROUND(0.0,2)</f>
        <v/>
      </c>
      <c r="GG46" s="3">
        <f>ROUND(0.0,2)</f>
        <v/>
      </c>
      <c r="GH46" s="3">
        <f>ROUND(0.0,2)</f>
        <v/>
      </c>
      <c r="GI46" s="3">
        <f>ROUND(0.0,2)</f>
        <v/>
      </c>
      <c r="GJ46" s="4">
        <f>IFERROR((GD46/GC46),0)</f>
        <v/>
      </c>
      <c r="GK46" s="4">
        <f>IFERROR(((0+GB11+GB12+GB13+GB14+GB15+GB16+GB17+GB19+GB20+GB21+GB22+GB23+GB24+GB25+GB27+GB28+GB29+GB30+GB31+GB32+GB33+GB35+GB36+GB37+GB38+GB39+GB40+GB41+GB43+GB44+GB45+GB46)/T2),0)</f>
        <v/>
      </c>
      <c r="GL46" s="5">
        <f>IFERROR(ROUND(GB46/GD46,2),0)</f>
        <v/>
      </c>
      <c r="GM46" s="5">
        <f>IFERROR(ROUND(GB46/GE46,2),0)</f>
        <v/>
      </c>
      <c r="GN46" s="2" t="inlineStr">
        <is>
          <t>2023-10-21</t>
        </is>
      </c>
      <c r="GO46" s="5">
        <f>ROUND(0.0,2)</f>
        <v/>
      </c>
      <c r="GP46" s="3">
        <f>ROUND(0.0,2)</f>
        <v/>
      </c>
      <c r="GQ46" s="3">
        <f>ROUND(0.0,2)</f>
        <v/>
      </c>
      <c r="GR46" s="3">
        <f>ROUND(0.0,2)</f>
        <v/>
      </c>
      <c r="GS46" s="3">
        <f>ROUND(0.0,2)</f>
        <v/>
      </c>
      <c r="GT46" s="3">
        <f>ROUND(0.0,2)</f>
        <v/>
      </c>
      <c r="GU46" s="3">
        <f>ROUND(0.0,2)</f>
        <v/>
      </c>
      <c r="GV46" s="3">
        <f>ROUND(0.0,2)</f>
        <v/>
      </c>
      <c r="GW46" s="4">
        <f>IFERROR((GQ46/GP46),0)</f>
        <v/>
      </c>
      <c r="GX46" s="4">
        <f>IFERROR(((0+GO11+GO12+GO13+GO14+GO15+GO16+GO17+GO19+GO20+GO21+GO22+GO23+GO24+GO25+GO27+GO28+GO29+GO30+GO31+GO32+GO33+GO35+GO36+GO37+GO38+GO39+GO40+GO41+GO43+GO44+GO45+GO46)/T2),0)</f>
        <v/>
      </c>
      <c r="GY46" s="5">
        <f>IFERROR(ROUND(GO46/GQ46,2),0)</f>
        <v/>
      </c>
      <c r="GZ46" s="5">
        <f>IFERROR(ROUND(GO46/GR46,2),0)</f>
        <v/>
      </c>
      <c r="HA46" s="2" t="inlineStr">
        <is>
          <t>2023-10-21</t>
        </is>
      </c>
      <c r="HB46" s="5">
        <f>ROUND(0.0,2)</f>
        <v/>
      </c>
      <c r="HC46" s="3">
        <f>ROUND(0.0,2)</f>
        <v/>
      </c>
      <c r="HD46" s="3">
        <f>ROUND(0.0,2)</f>
        <v/>
      </c>
      <c r="HE46" s="3">
        <f>ROUND(0.0,2)</f>
        <v/>
      </c>
      <c r="HF46" s="3">
        <f>ROUND(0.0,2)</f>
        <v/>
      </c>
      <c r="HG46" s="3">
        <f>ROUND(0.0,2)</f>
        <v/>
      </c>
      <c r="HH46" s="3">
        <f>ROUND(0.0,2)</f>
        <v/>
      </c>
      <c r="HI46" s="3">
        <f>ROUND(0.0,2)</f>
        <v/>
      </c>
      <c r="HJ46" s="4">
        <f>IFERROR((HD46/HC46),0)</f>
        <v/>
      </c>
      <c r="HK46" s="4">
        <f>IFERROR(((0+HB11+HB12+HB13+HB14+HB15+HB16+HB17+HB19+HB20+HB21+HB22+HB23+HB24+HB25+HB27+HB28+HB29+HB30+HB31+HB32+HB33+HB35+HB36+HB37+HB38+HB39+HB40+HB41+HB43+HB44+HB45+HB46)/T2),0)</f>
        <v/>
      </c>
      <c r="HL46" s="5">
        <f>IFERROR(ROUND(HB46/HD46,2),0)</f>
        <v/>
      </c>
      <c r="HM46" s="5">
        <f>IFERROR(ROUND(HB46/HE46,2),0)</f>
        <v/>
      </c>
      <c r="HN46" s="2" t="inlineStr">
        <is>
          <t>2023-10-21</t>
        </is>
      </c>
      <c r="HO46" s="5">
        <f>ROUND(0.0,2)</f>
        <v/>
      </c>
      <c r="HP46" s="3">
        <f>ROUND(0.0,2)</f>
        <v/>
      </c>
      <c r="HQ46" s="3">
        <f>ROUND(0.0,2)</f>
        <v/>
      </c>
      <c r="HR46" s="3">
        <f>ROUND(0.0,2)</f>
        <v/>
      </c>
      <c r="HS46" s="3">
        <f>ROUND(0.0,2)</f>
        <v/>
      </c>
      <c r="HT46" s="3">
        <f>ROUND(0.0,2)</f>
        <v/>
      </c>
      <c r="HU46" s="3">
        <f>ROUND(0.0,2)</f>
        <v/>
      </c>
      <c r="HV46" s="3">
        <f>ROUND(0.0,2)</f>
        <v/>
      </c>
      <c r="HW46" s="4">
        <f>IFERROR((HQ46/HP46),0)</f>
        <v/>
      </c>
      <c r="HX46" s="4">
        <f>IFERROR(((0+HO11+HO12+HO13+HO14+HO15+HO16+HO17+HO19+HO20+HO21+HO22+HO23+HO24+HO25+HO27+HO28+HO29+HO30+HO31+HO32+HO33+HO35+HO36+HO37+HO38+HO39+HO40+HO41+HO43+HO44+HO45+HO46)/T2),0)</f>
        <v/>
      </c>
      <c r="HY46" s="5">
        <f>IFERROR(ROUND(HO46/HQ46,2),0)</f>
        <v/>
      </c>
      <c r="HZ46" s="5">
        <f>IFERROR(ROUND(HO46/HR46,2),0)</f>
        <v/>
      </c>
      <c r="IA46" s="2" t="inlineStr">
        <is>
          <t>2023-10-21</t>
        </is>
      </c>
      <c r="IB46" s="5">
        <f>ROUND(0.0,2)</f>
        <v/>
      </c>
      <c r="IC46" s="3">
        <f>ROUND(0.0,2)</f>
        <v/>
      </c>
      <c r="ID46" s="3">
        <f>ROUND(0.0,2)</f>
        <v/>
      </c>
      <c r="IE46" s="3">
        <f>ROUND(0.0,2)</f>
        <v/>
      </c>
      <c r="IF46" s="3">
        <f>ROUND(0.0,2)</f>
        <v/>
      </c>
      <c r="IG46" s="3">
        <f>ROUND(0.0,2)</f>
        <v/>
      </c>
      <c r="IH46" s="3">
        <f>ROUND(0.0,2)</f>
        <v/>
      </c>
      <c r="II46" s="3">
        <f>ROUND(0.0,2)</f>
        <v/>
      </c>
      <c r="IJ46" s="4">
        <f>IFERROR((ID46/IC46),0)</f>
        <v/>
      </c>
      <c r="IK46" s="4">
        <f>IFERROR(((0+IB11+IB12+IB13+IB14+IB15+IB16+IB17+IB19+IB20+IB21+IB22+IB23+IB24+IB25+IB27+IB28+IB29+IB30+IB31+IB32+IB33+IB35+IB36+IB37+IB38+IB39+IB40+IB41+IB43+IB44+IB45+IB46)/T2),0)</f>
        <v/>
      </c>
      <c r="IL46" s="5">
        <f>IFERROR(ROUND(IB46/ID46,2),0)</f>
        <v/>
      </c>
      <c r="IM46" s="5">
        <f>IFERROR(ROUND(IB46/IE46,2),0)</f>
        <v/>
      </c>
      <c r="IN46" s="2" t="inlineStr">
        <is>
          <t>2023-10-21</t>
        </is>
      </c>
      <c r="IO46" s="5">
        <f>ROUND(0.0,2)</f>
        <v/>
      </c>
      <c r="IP46" s="3">
        <f>ROUND(0.0,2)</f>
        <v/>
      </c>
      <c r="IQ46" s="3">
        <f>ROUND(0.0,2)</f>
        <v/>
      </c>
      <c r="IR46" s="3">
        <f>ROUND(0.0,2)</f>
        <v/>
      </c>
      <c r="IS46" s="3">
        <f>ROUND(0.0,2)</f>
        <v/>
      </c>
      <c r="IT46" s="3">
        <f>ROUND(0.0,2)</f>
        <v/>
      </c>
      <c r="IU46" s="3">
        <f>ROUND(0.0,2)</f>
        <v/>
      </c>
      <c r="IV46" s="3">
        <f>ROUND(0.0,2)</f>
        <v/>
      </c>
      <c r="IW46" s="4">
        <f>IFERROR((IQ46/IP46),0)</f>
        <v/>
      </c>
      <c r="IX46" s="4">
        <f>IFERROR(((0+IO11+IO12+IO13+IO14+IO15+IO16+IO17+IO19+IO20+IO21+IO22+IO23+IO24+IO25+IO27+IO28+IO29+IO30+IO31+IO32+IO33+IO35+IO36+IO37+IO38+IO39+IO40+IO41+IO43+IO44+IO45+IO46)/T2),0)</f>
        <v/>
      </c>
      <c r="IY46" s="5">
        <f>IFERROR(ROUND(IO46/IQ46,2),0)</f>
        <v/>
      </c>
      <c r="IZ46" s="5">
        <f>IFERROR(ROUND(IO46/IR46,2),0)</f>
        <v/>
      </c>
      <c r="JA46" s="2" t="inlineStr">
        <is>
          <t>2023-10-21</t>
        </is>
      </c>
      <c r="JB46" s="5">
        <f>ROUND(0.0,2)</f>
        <v/>
      </c>
      <c r="JC46" s="3">
        <f>ROUND(0.0,2)</f>
        <v/>
      </c>
      <c r="JD46" s="3">
        <f>ROUND(0.0,2)</f>
        <v/>
      </c>
      <c r="JE46" s="3">
        <f>ROUND(0.0,2)</f>
        <v/>
      </c>
      <c r="JF46" s="3">
        <f>ROUND(0.0,2)</f>
        <v/>
      </c>
      <c r="JG46" s="3">
        <f>ROUND(0.0,2)</f>
        <v/>
      </c>
      <c r="JH46" s="3">
        <f>ROUND(0.0,2)</f>
        <v/>
      </c>
      <c r="JI46" s="3">
        <f>ROUND(0.0,2)</f>
        <v/>
      </c>
      <c r="JJ46" s="4">
        <f>IFERROR((JD46/JC46),0)</f>
        <v/>
      </c>
      <c r="JK46" s="4">
        <f>IFERROR(((0+JB11+JB12+JB13+JB14+JB15+JB16+JB17+JB19+JB20+JB21+JB22+JB23+JB24+JB25+JB27+JB28+JB29+JB30+JB31+JB32+JB33+JB35+JB36+JB37+JB38+JB39+JB40+JB41+JB43+JB44+JB45+JB46)/T2),0)</f>
        <v/>
      </c>
      <c r="JL46" s="5">
        <f>IFERROR(ROUND(JB46/JD46,2),0)</f>
        <v/>
      </c>
      <c r="JM46" s="5">
        <f>IFERROR(ROUND(JB46/JE46,2),0)</f>
        <v/>
      </c>
    </row>
    <row r="47">
      <c r="A47" s="2" t="inlineStr">
        <is>
          <t>2023-10-22</t>
        </is>
      </c>
      <c r="B47" s="5">
        <f>ROUND(0.0,2)</f>
        <v/>
      </c>
      <c r="C47" s="3">
        <f>ROUND(0.0,2)</f>
        <v/>
      </c>
      <c r="D47" s="3">
        <f>ROUND(0.0,2)</f>
        <v/>
      </c>
      <c r="E47" s="3">
        <f>ROUND(0.0,2)</f>
        <v/>
      </c>
      <c r="F47" s="3">
        <f>ROUND(0.0,2)</f>
        <v/>
      </c>
      <c r="G47" s="3">
        <f>ROUND(0.0,2)</f>
        <v/>
      </c>
      <c r="H47" s="3">
        <f>ROUND(0.0,2)</f>
        <v/>
      </c>
      <c r="I47" s="3">
        <f>ROUND(0.0,2)</f>
        <v/>
      </c>
      <c r="J47" s="4">
        <f>IFERROR((D47/C47),0)</f>
        <v/>
      </c>
      <c r="K47" s="4">
        <f>IFERROR(((0+B11+B12+B13+B14+B15+B16+B17+B19+B20+B21+B22+B23+B24+B25+B27+B28+B29+B30+B31+B32+B33+B35+B36+B37+B38+B39+B40+B41+B43+B44+B45+B46+B47)/T2),0)</f>
        <v/>
      </c>
      <c r="L47" s="5">
        <f>IFERROR(ROUND(B47/D47,2),0)</f>
        <v/>
      </c>
      <c r="M47" s="5">
        <f>IFERROR(ROUND(B47/E47,2),0)</f>
        <v/>
      </c>
      <c r="N47" s="2" t="inlineStr">
        <is>
          <t>2023-10-22</t>
        </is>
      </c>
      <c r="O47" s="5">
        <f>ROUND(0.0,2)</f>
        <v/>
      </c>
      <c r="P47" s="3">
        <f>ROUND(0.0,2)</f>
        <v/>
      </c>
      <c r="Q47" s="3">
        <f>ROUND(0.0,2)</f>
        <v/>
      </c>
      <c r="R47" s="3">
        <f>ROUND(0.0,2)</f>
        <v/>
      </c>
      <c r="S47" s="3">
        <f>ROUND(0.0,2)</f>
        <v/>
      </c>
      <c r="T47" s="3">
        <f>ROUND(0.0,2)</f>
        <v/>
      </c>
      <c r="U47" s="3">
        <f>ROUND(0.0,2)</f>
        <v/>
      </c>
      <c r="V47" s="3">
        <f>ROUND(0.0,2)</f>
        <v/>
      </c>
      <c r="W47" s="4">
        <f>IFERROR((Q47/P47),0)</f>
        <v/>
      </c>
      <c r="X47" s="4">
        <f>IFERROR(((0+O11+O12+O13+O14+O15+O16+O17+O19+O20+O21+O22+O23+O24+O25+O27+O28+O29+O30+O31+O32+O33+O35+O36+O37+O38+O39+O40+O41+O43+O44+O45+O46+O47)/T2),0)</f>
        <v/>
      </c>
      <c r="Y47" s="5">
        <f>IFERROR(ROUND(O47/Q47,2),0)</f>
        <v/>
      </c>
      <c r="Z47" s="5">
        <f>IFERROR(ROUND(O47/R47,2),0)</f>
        <v/>
      </c>
      <c r="AA47" s="2" t="inlineStr">
        <is>
          <t>2023-10-22</t>
        </is>
      </c>
      <c r="AB47" s="5">
        <f>ROUND(0.0,2)</f>
        <v/>
      </c>
      <c r="AC47" s="3">
        <f>ROUND(0.0,2)</f>
        <v/>
      </c>
      <c r="AD47" s="3">
        <f>ROUND(0.0,2)</f>
        <v/>
      </c>
      <c r="AE47" s="3">
        <f>ROUND(0.0,2)</f>
        <v/>
      </c>
      <c r="AF47" s="3">
        <f>ROUND(0.0,2)</f>
        <v/>
      </c>
      <c r="AG47" s="3">
        <f>ROUND(0.0,2)</f>
        <v/>
      </c>
      <c r="AH47" s="3">
        <f>ROUND(0.0,2)</f>
        <v/>
      </c>
      <c r="AI47" s="3">
        <f>ROUND(0.0,2)</f>
        <v/>
      </c>
      <c r="AJ47" s="4">
        <f>IFERROR((AD47/AC47),0)</f>
        <v/>
      </c>
      <c r="AK47" s="4">
        <f>IFERROR(((0+AB11+AB12+AB13+AB14+AB15+AB16+AB17+AB19+AB20+AB21+AB22+AB23+AB24+AB25+AB27+AB28+AB29+AB30+AB31+AB32+AB33+AB35+AB36+AB37+AB38+AB39+AB40+AB41+AB43+AB44+AB45+AB46+AB47)/T2),0)</f>
        <v/>
      </c>
      <c r="AL47" s="5">
        <f>IFERROR(ROUND(AB47/AD47,2),0)</f>
        <v/>
      </c>
      <c r="AM47" s="5">
        <f>IFERROR(ROUND(AB47/AE47,2),0)</f>
        <v/>
      </c>
      <c r="AN47" s="2" t="inlineStr">
        <is>
          <t>2023-10-22</t>
        </is>
      </c>
      <c r="AO47" s="5">
        <f>ROUND(0.0,2)</f>
        <v/>
      </c>
      <c r="AP47" s="3">
        <f>ROUND(0.0,2)</f>
        <v/>
      </c>
      <c r="AQ47" s="3">
        <f>ROUND(0.0,2)</f>
        <v/>
      </c>
      <c r="AR47" s="3">
        <f>ROUND(0.0,2)</f>
        <v/>
      </c>
      <c r="AS47" s="3">
        <f>ROUND(0.0,2)</f>
        <v/>
      </c>
      <c r="AT47" s="3">
        <f>ROUND(0.0,2)</f>
        <v/>
      </c>
      <c r="AU47" s="3">
        <f>ROUND(0.0,2)</f>
        <v/>
      </c>
      <c r="AV47" s="3">
        <f>ROUND(0.0,2)</f>
        <v/>
      </c>
      <c r="AW47" s="4">
        <f>IFERROR((AQ47/AP47),0)</f>
        <v/>
      </c>
      <c r="AX47" s="4">
        <f>IFERROR(((0+AO11+AO12+AO13+AO14+AO15+AO16+AO17+AO19+AO20+AO21+AO22+AO23+AO24+AO25+AO27+AO28+AO29+AO30+AO31+AO32+AO33+AO35+AO36+AO37+AO38+AO39+AO40+AO41+AO43+AO44+AO45+AO46+AO47)/T2),0)</f>
        <v/>
      </c>
      <c r="AY47" s="5">
        <f>IFERROR(ROUND(AO47/AQ47,2),0)</f>
        <v/>
      </c>
      <c r="AZ47" s="5">
        <f>IFERROR(ROUND(AO47/AR47,2),0)</f>
        <v/>
      </c>
      <c r="BA47" s="2" t="inlineStr">
        <is>
          <t>2023-10-22</t>
        </is>
      </c>
      <c r="BB47" s="5">
        <f>ROUND(0.0,2)</f>
        <v/>
      </c>
      <c r="BC47" s="3">
        <f>ROUND(0.0,2)</f>
        <v/>
      </c>
      <c r="BD47" s="3">
        <f>ROUND(0.0,2)</f>
        <v/>
      </c>
      <c r="BE47" s="3">
        <f>ROUND(0.0,2)</f>
        <v/>
      </c>
      <c r="BF47" s="3">
        <f>ROUND(0.0,2)</f>
        <v/>
      </c>
      <c r="BG47" s="3">
        <f>ROUND(0.0,2)</f>
        <v/>
      </c>
      <c r="BH47" s="3">
        <f>ROUND(0.0,2)</f>
        <v/>
      </c>
      <c r="BI47" s="3">
        <f>ROUND(0.0,2)</f>
        <v/>
      </c>
      <c r="BJ47" s="4">
        <f>IFERROR((BD47/BC47),0)</f>
        <v/>
      </c>
      <c r="BK47" s="4">
        <f>IFERROR(((0+BB11+BB12+BB13+BB14+BB15+BB16+BB17+BB19+BB20+BB21+BB22+BB23+BB24+BB25+BB27+BB28+BB29+BB30+BB31+BB32+BB33+BB35+BB36+BB37+BB38+BB39+BB40+BB41+BB43+BB44+BB45+BB46+BB47)/T2),0)</f>
        <v/>
      </c>
      <c r="BL47" s="5">
        <f>IFERROR(ROUND(BB47/BD47,2),0)</f>
        <v/>
      </c>
      <c r="BM47" s="5">
        <f>IFERROR(ROUND(BB47/BE47,2),0)</f>
        <v/>
      </c>
      <c r="BN47" s="2" t="inlineStr">
        <is>
          <t>2023-10-22</t>
        </is>
      </c>
      <c r="BO47" s="5">
        <f>ROUND(0.0,2)</f>
        <v/>
      </c>
      <c r="BP47" s="3">
        <f>ROUND(0.0,2)</f>
        <v/>
      </c>
      <c r="BQ47" s="3">
        <f>ROUND(0.0,2)</f>
        <v/>
      </c>
      <c r="BR47" s="3">
        <f>ROUND(0.0,2)</f>
        <v/>
      </c>
      <c r="BS47" s="3">
        <f>ROUND(0.0,2)</f>
        <v/>
      </c>
      <c r="BT47" s="3">
        <f>ROUND(0.0,2)</f>
        <v/>
      </c>
      <c r="BU47" s="3">
        <f>ROUND(0.0,2)</f>
        <v/>
      </c>
      <c r="BV47" s="3">
        <f>ROUND(0.0,2)</f>
        <v/>
      </c>
      <c r="BW47" s="4">
        <f>IFERROR((BQ47/BP47),0)</f>
        <v/>
      </c>
      <c r="BX47" s="4">
        <f>IFERROR(((0+BO11+BO12+BO13+BO14+BO15+BO16+BO17+BO19+BO20+BO21+BO22+BO23+BO24+BO25+BO27+BO28+BO29+BO30+BO31+BO32+BO33+BO35+BO36+BO37+BO38+BO39+BO40+BO41+BO43+BO44+BO45+BO46+BO47)/T2),0)</f>
        <v/>
      </c>
      <c r="BY47" s="5">
        <f>IFERROR(ROUND(BO47/BQ47,2),0)</f>
        <v/>
      </c>
      <c r="BZ47" s="5">
        <f>IFERROR(ROUND(BO47/BR47,2),0)</f>
        <v/>
      </c>
      <c r="CA47" s="2" t="inlineStr">
        <is>
          <t>2023-10-22</t>
        </is>
      </c>
      <c r="CB47" s="5">
        <f>ROUND(0.0,2)</f>
        <v/>
      </c>
      <c r="CC47" s="3">
        <f>ROUND(0.0,2)</f>
        <v/>
      </c>
      <c r="CD47" s="3">
        <f>ROUND(0.0,2)</f>
        <v/>
      </c>
      <c r="CE47" s="3">
        <f>ROUND(0.0,2)</f>
        <v/>
      </c>
      <c r="CF47" s="3">
        <f>ROUND(0.0,2)</f>
        <v/>
      </c>
      <c r="CG47" s="3">
        <f>ROUND(0.0,2)</f>
        <v/>
      </c>
      <c r="CH47" s="3">
        <f>ROUND(0.0,2)</f>
        <v/>
      </c>
      <c r="CI47" s="3">
        <f>ROUND(0.0,2)</f>
        <v/>
      </c>
      <c r="CJ47" s="4">
        <f>IFERROR((CD47/CC47),0)</f>
        <v/>
      </c>
      <c r="CK47" s="4">
        <f>IFERROR(((0+CB11+CB12+CB13+CB14+CB15+CB16+CB17+CB19+CB20+CB21+CB22+CB23+CB24+CB25+CB27+CB28+CB29+CB30+CB31+CB32+CB33+CB35+CB36+CB37+CB38+CB39+CB40+CB41+CB43+CB44+CB45+CB46+CB47)/T2),0)</f>
        <v/>
      </c>
      <c r="CL47" s="5">
        <f>IFERROR(ROUND(CB47/CD47,2),0)</f>
        <v/>
      </c>
      <c r="CM47" s="5">
        <f>IFERROR(ROUND(CB47/CE47,2),0)</f>
        <v/>
      </c>
      <c r="CN47" s="2" t="inlineStr">
        <is>
          <t>2023-10-22</t>
        </is>
      </c>
      <c r="CO47" s="5">
        <f>ROUND(0.0,2)</f>
        <v/>
      </c>
      <c r="CP47" s="3">
        <f>ROUND(0.0,2)</f>
        <v/>
      </c>
      <c r="CQ47" s="3">
        <f>ROUND(0.0,2)</f>
        <v/>
      </c>
      <c r="CR47" s="3">
        <f>ROUND(0.0,2)</f>
        <v/>
      </c>
      <c r="CS47" s="3">
        <f>ROUND(0.0,2)</f>
        <v/>
      </c>
      <c r="CT47" s="3">
        <f>ROUND(0.0,2)</f>
        <v/>
      </c>
      <c r="CU47" s="3">
        <f>ROUND(0.0,2)</f>
        <v/>
      </c>
      <c r="CV47" s="3">
        <f>ROUND(0.0,2)</f>
        <v/>
      </c>
      <c r="CW47" s="4">
        <f>IFERROR((CQ47/CP47),0)</f>
        <v/>
      </c>
      <c r="CX47" s="4">
        <f>IFERROR(((0+CO11+CO12+CO13+CO14+CO15+CO16+CO17+CO19+CO20+CO21+CO22+CO23+CO24+CO25+CO27+CO28+CO29+CO30+CO31+CO32+CO33+CO35+CO36+CO37+CO38+CO39+CO40+CO41+CO43+CO44+CO45+CO46+CO47)/T2),0)</f>
        <v/>
      </c>
      <c r="CY47" s="5">
        <f>IFERROR(ROUND(CO47/CQ47,2),0)</f>
        <v/>
      </c>
      <c r="CZ47" s="5">
        <f>IFERROR(ROUND(CO47/CR47,2),0)</f>
        <v/>
      </c>
      <c r="DA47" s="2" t="inlineStr">
        <is>
          <t>2023-10-22</t>
        </is>
      </c>
      <c r="DB47" s="5">
        <f>ROUND(0.0,2)</f>
        <v/>
      </c>
      <c r="DC47" s="3">
        <f>ROUND(0.0,2)</f>
        <v/>
      </c>
      <c r="DD47" s="3">
        <f>ROUND(0.0,2)</f>
        <v/>
      </c>
      <c r="DE47" s="3">
        <f>ROUND(0.0,2)</f>
        <v/>
      </c>
      <c r="DF47" s="3">
        <f>ROUND(0.0,2)</f>
        <v/>
      </c>
      <c r="DG47" s="3">
        <f>ROUND(0.0,2)</f>
        <v/>
      </c>
      <c r="DH47" s="3">
        <f>ROUND(0.0,2)</f>
        <v/>
      </c>
      <c r="DI47" s="3">
        <f>ROUND(0.0,2)</f>
        <v/>
      </c>
      <c r="DJ47" s="4">
        <f>IFERROR((DD47/DC47),0)</f>
        <v/>
      </c>
      <c r="DK47" s="4">
        <f>IFERROR(((0+DB11+DB12+DB13+DB14+DB15+DB16+DB17+DB19+DB20+DB21+DB22+DB23+DB24+DB25+DB27+DB28+DB29+DB30+DB31+DB32+DB33+DB35+DB36+DB37+DB38+DB39+DB40+DB41+DB43+DB44+DB45+DB46+DB47)/T2),0)</f>
        <v/>
      </c>
      <c r="DL47" s="5">
        <f>IFERROR(ROUND(DB47/DD47,2),0)</f>
        <v/>
      </c>
      <c r="DM47" s="5">
        <f>IFERROR(ROUND(DB47/DE47,2),0)</f>
        <v/>
      </c>
      <c r="DN47" s="2" t="inlineStr">
        <is>
          <t>2023-10-22</t>
        </is>
      </c>
      <c r="DO47" s="5">
        <f>ROUND(0.0,2)</f>
        <v/>
      </c>
      <c r="DP47" s="3">
        <f>ROUND(0.0,2)</f>
        <v/>
      </c>
      <c r="DQ47" s="3">
        <f>ROUND(0.0,2)</f>
        <v/>
      </c>
      <c r="DR47" s="3">
        <f>ROUND(0.0,2)</f>
        <v/>
      </c>
      <c r="DS47" s="3">
        <f>ROUND(0.0,2)</f>
        <v/>
      </c>
      <c r="DT47" s="3">
        <f>ROUND(0.0,2)</f>
        <v/>
      </c>
      <c r="DU47" s="3">
        <f>ROUND(0.0,2)</f>
        <v/>
      </c>
      <c r="DV47" s="3">
        <f>ROUND(0.0,2)</f>
        <v/>
      </c>
      <c r="DW47" s="4">
        <f>IFERROR((DQ47/DP47),0)</f>
        <v/>
      </c>
      <c r="DX47" s="4">
        <f>IFERROR(((0+DO11+DO12+DO13+DO14+DO15+DO16+DO17+DO19+DO20+DO21+DO22+DO23+DO24+DO25+DO27+DO28+DO29+DO30+DO31+DO32+DO33+DO35+DO36+DO37+DO38+DO39+DO40+DO41+DO43+DO44+DO45+DO46+DO47)/T2),0)</f>
        <v/>
      </c>
      <c r="DY47" s="5">
        <f>IFERROR(ROUND(DO47/DQ47,2),0)</f>
        <v/>
      </c>
      <c r="DZ47" s="5">
        <f>IFERROR(ROUND(DO47/DR47,2),0)</f>
        <v/>
      </c>
      <c r="EA47" s="2" t="inlineStr">
        <is>
          <t>2023-10-22</t>
        </is>
      </c>
      <c r="EB47" s="5">
        <f>ROUND(0.0,2)</f>
        <v/>
      </c>
      <c r="EC47" s="3">
        <f>ROUND(0.0,2)</f>
        <v/>
      </c>
      <c r="ED47" s="3">
        <f>ROUND(0.0,2)</f>
        <v/>
      </c>
      <c r="EE47" s="3">
        <f>ROUND(0.0,2)</f>
        <v/>
      </c>
      <c r="EF47" s="3">
        <f>ROUND(0.0,2)</f>
        <v/>
      </c>
      <c r="EG47" s="3">
        <f>ROUND(0.0,2)</f>
        <v/>
      </c>
      <c r="EH47" s="3">
        <f>ROUND(0.0,2)</f>
        <v/>
      </c>
      <c r="EI47" s="3">
        <f>ROUND(0.0,2)</f>
        <v/>
      </c>
      <c r="EJ47" s="4">
        <f>IFERROR((ED47/EC47),0)</f>
        <v/>
      </c>
      <c r="EK47" s="4">
        <f>IFERROR(((0+EB11+EB12+EB13+EB14+EB15+EB16+EB17+EB19+EB20+EB21+EB22+EB23+EB24+EB25+EB27+EB28+EB29+EB30+EB31+EB32+EB33+EB35+EB36+EB37+EB38+EB39+EB40+EB41+EB43+EB44+EB45+EB46+EB47)/T2),0)</f>
        <v/>
      </c>
      <c r="EL47" s="5">
        <f>IFERROR(ROUND(EB47/ED47,2),0)</f>
        <v/>
      </c>
      <c r="EM47" s="5">
        <f>IFERROR(ROUND(EB47/EE47,2),0)</f>
        <v/>
      </c>
      <c r="EN47" s="2" t="inlineStr">
        <is>
          <t>2023-10-22</t>
        </is>
      </c>
      <c r="EO47" s="5">
        <f>ROUND(0.0,2)</f>
        <v/>
      </c>
      <c r="EP47" s="3">
        <f>ROUND(0.0,2)</f>
        <v/>
      </c>
      <c r="EQ47" s="3">
        <f>ROUND(0.0,2)</f>
        <v/>
      </c>
      <c r="ER47" s="3">
        <f>ROUND(0.0,2)</f>
        <v/>
      </c>
      <c r="ES47" s="3">
        <f>ROUND(0.0,2)</f>
        <v/>
      </c>
      <c r="ET47" s="3">
        <f>ROUND(0.0,2)</f>
        <v/>
      </c>
      <c r="EU47" s="3">
        <f>ROUND(0.0,2)</f>
        <v/>
      </c>
      <c r="EV47" s="3">
        <f>ROUND(0.0,2)</f>
        <v/>
      </c>
      <c r="EW47" s="4">
        <f>IFERROR((EQ47/EP47),0)</f>
        <v/>
      </c>
      <c r="EX47" s="4">
        <f>IFERROR(((0+EO11+EO12+EO13+EO14+EO15+EO16+EO17+EO19+EO20+EO21+EO22+EO23+EO24+EO25+EO27+EO28+EO29+EO30+EO31+EO32+EO33+EO35+EO36+EO37+EO38+EO39+EO40+EO41+EO43+EO44+EO45+EO46+EO47)/T2),0)</f>
        <v/>
      </c>
      <c r="EY47" s="5">
        <f>IFERROR(ROUND(EO47/EQ47,2),0)</f>
        <v/>
      </c>
      <c r="EZ47" s="5">
        <f>IFERROR(ROUND(EO47/ER47,2),0)</f>
        <v/>
      </c>
      <c r="FA47" s="2" t="inlineStr">
        <is>
          <t>2023-10-22</t>
        </is>
      </c>
      <c r="FB47" s="5">
        <f>ROUND(0.0,2)</f>
        <v/>
      </c>
      <c r="FC47" s="3">
        <f>ROUND(0.0,2)</f>
        <v/>
      </c>
      <c r="FD47" s="3">
        <f>ROUND(0.0,2)</f>
        <v/>
      </c>
      <c r="FE47" s="3">
        <f>ROUND(0.0,2)</f>
        <v/>
      </c>
      <c r="FF47" s="3">
        <f>ROUND(0.0,2)</f>
        <v/>
      </c>
      <c r="FG47" s="3">
        <f>ROUND(0.0,2)</f>
        <v/>
      </c>
      <c r="FH47" s="3">
        <f>ROUND(0.0,2)</f>
        <v/>
      </c>
      <c r="FI47" s="3">
        <f>ROUND(0.0,2)</f>
        <v/>
      </c>
      <c r="FJ47" s="4">
        <f>IFERROR((FD47/FC47),0)</f>
        <v/>
      </c>
      <c r="FK47" s="4">
        <f>IFERROR(((0+FB11+FB12+FB13+FB14+FB15+FB16+FB17+FB19+FB20+FB21+FB22+FB23+FB24+FB25+FB27+FB28+FB29+FB30+FB31+FB32+FB33+FB35+FB36+FB37+FB38+FB39+FB40+FB41+FB43+FB44+FB45+FB46+FB47)/T2),0)</f>
        <v/>
      </c>
      <c r="FL47" s="5">
        <f>IFERROR(ROUND(FB47/FD47,2),0)</f>
        <v/>
      </c>
      <c r="FM47" s="5">
        <f>IFERROR(ROUND(FB47/FE47,2),0)</f>
        <v/>
      </c>
      <c r="FN47" s="2" t="inlineStr">
        <is>
          <t>2023-10-22</t>
        </is>
      </c>
      <c r="FO47" s="5">
        <f>ROUND(0.0,2)</f>
        <v/>
      </c>
      <c r="FP47" s="3">
        <f>ROUND(0.0,2)</f>
        <v/>
      </c>
      <c r="FQ47" s="3">
        <f>ROUND(0.0,2)</f>
        <v/>
      </c>
      <c r="FR47" s="3">
        <f>ROUND(0.0,2)</f>
        <v/>
      </c>
      <c r="FS47" s="3">
        <f>ROUND(0.0,2)</f>
        <v/>
      </c>
      <c r="FT47" s="3">
        <f>ROUND(0.0,2)</f>
        <v/>
      </c>
      <c r="FU47" s="3">
        <f>ROUND(0.0,2)</f>
        <v/>
      </c>
      <c r="FV47" s="3">
        <f>ROUND(0.0,2)</f>
        <v/>
      </c>
      <c r="FW47" s="4">
        <f>IFERROR((FQ47/FP47),0)</f>
        <v/>
      </c>
      <c r="FX47" s="4">
        <f>IFERROR(((0+FO11+FO12+FO13+FO14+FO15+FO16+FO17+FO19+FO20+FO21+FO22+FO23+FO24+FO25+FO27+FO28+FO29+FO30+FO31+FO32+FO33+FO35+FO36+FO37+FO38+FO39+FO40+FO41+FO43+FO44+FO45+FO46+FO47)/T2),0)</f>
        <v/>
      </c>
      <c r="FY47" s="5">
        <f>IFERROR(ROUND(FO47/FQ47,2),0)</f>
        <v/>
      </c>
      <c r="FZ47" s="5">
        <f>IFERROR(ROUND(FO47/FR47,2),0)</f>
        <v/>
      </c>
      <c r="GA47" s="2" t="inlineStr">
        <is>
          <t>2023-10-22</t>
        </is>
      </c>
      <c r="GB47" s="5">
        <f>ROUND(0.0,2)</f>
        <v/>
      </c>
      <c r="GC47" s="3">
        <f>ROUND(0.0,2)</f>
        <v/>
      </c>
      <c r="GD47" s="3">
        <f>ROUND(0.0,2)</f>
        <v/>
      </c>
      <c r="GE47" s="3">
        <f>ROUND(0.0,2)</f>
        <v/>
      </c>
      <c r="GF47" s="3">
        <f>ROUND(0.0,2)</f>
        <v/>
      </c>
      <c r="GG47" s="3">
        <f>ROUND(0.0,2)</f>
        <v/>
      </c>
      <c r="GH47" s="3">
        <f>ROUND(0.0,2)</f>
        <v/>
      </c>
      <c r="GI47" s="3">
        <f>ROUND(0.0,2)</f>
        <v/>
      </c>
      <c r="GJ47" s="4">
        <f>IFERROR((GD47/GC47),0)</f>
        <v/>
      </c>
      <c r="GK47" s="4">
        <f>IFERROR(((0+GB11+GB12+GB13+GB14+GB15+GB16+GB17+GB19+GB20+GB21+GB22+GB23+GB24+GB25+GB27+GB28+GB29+GB30+GB31+GB32+GB33+GB35+GB36+GB37+GB38+GB39+GB40+GB41+GB43+GB44+GB45+GB46+GB47)/T2),0)</f>
        <v/>
      </c>
      <c r="GL47" s="5">
        <f>IFERROR(ROUND(GB47/GD47,2),0)</f>
        <v/>
      </c>
      <c r="GM47" s="5">
        <f>IFERROR(ROUND(GB47/GE47,2),0)</f>
        <v/>
      </c>
      <c r="GN47" s="2" t="inlineStr">
        <is>
          <t>2023-10-22</t>
        </is>
      </c>
      <c r="GO47" s="5">
        <f>ROUND(0.0,2)</f>
        <v/>
      </c>
      <c r="GP47" s="3">
        <f>ROUND(0.0,2)</f>
        <v/>
      </c>
      <c r="GQ47" s="3">
        <f>ROUND(0.0,2)</f>
        <v/>
      </c>
      <c r="GR47" s="3">
        <f>ROUND(0.0,2)</f>
        <v/>
      </c>
      <c r="GS47" s="3">
        <f>ROUND(0.0,2)</f>
        <v/>
      </c>
      <c r="GT47" s="3">
        <f>ROUND(0.0,2)</f>
        <v/>
      </c>
      <c r="GU47" s="3">
        <f>ROUND(0.0,2)</f>
        <v/>
      </c>
      <c r="GV47" s="3">
        <f>ROUND(0.0,2)</f>
        <v/>
      </c>
      <c r="GW47" s="4">
        <f>IFERROR((GQ47/GP47),0)</f>
        <v/>
      </c>
      <c r="GX47" s="4">
        <f>IFERROR(((0+GO11+GO12+GO13+GO14+GO15+GO16+GO17+GO19+GO20+GO21+GO22+GO23+GO24+GO25+GO27+GO28+GO29+GO30+GO31+GO32+GO33+GO35+GO36+GO37+GO38+GO39+GO40+GO41+GO43+GO44+GO45+GO46+GO47)/T2),0)</f>
        <v/>
      </c>
      <c r="GY47" s="5">
        <f>IFERROR(ROUND(GO47/GQ47,2),0)</f>
        <v/>
      </c>
      <c r="GZ47" s="5">
        <f>IFERROR(ROUND(GO47/GR47,2),0)</f>
        <v/>
      </c>
      <c r="HA47" s="2" t="inlineStr">
        <is>
          <t>2023-10-22</t>
        </is>
      </c>
      <c r="HB47" s="5">
        <f>ROUND(0.0,2)</f>
        <v/>
      </c>
      <c r="HC47" s="3">
        <f>ROUND(0.0,2)</f>
        <v/>
      </c>
      <c r="HD47" s="3">
        <f>ROUND(0.0,2)</f>
        <v/>
      </c>
      <c r="HE47" s="3">
        <f>ROUND(0.0,2)</f>
        <v/>
      </c>
      <c r="HF47" s="3">
        <f>ROUND(0.0,2)</f>
        <v/>
      </c>
      <c r="HG47" s="3">
        <f>ROUND(0.0,2)</f>
        <v/>
      </c>
      <c r="HH47" s="3">
        <f>ROUND(0.0,2)</f>
        <v/>
      </c>
      <c r="HI47" s="3">
        <f>ROUND(0.0,2)</f>
        <v/>
      </c>
      <c r="HJ47" s="4">
        <f>IFERROR((HD47/HC47),0)</f>
        <v/>
      </c>
      <c r="HK47" s="4">
        <f>IFERROR(((0+HB11+HB12+HB13+HB14+HB15+HB16+HB17+HB19+HB20+HB21+HB22+HB23+HB24+HB25+HB27+HB28+HB29+HB30+HB31+HB32+HB33+HB35+HB36+HB37+HB38+HB39+HB40+HB41+HB43+HB44+HB45+HB46+HB47)/T2),0)</f>
        <v/>
      </c>
      <c r="HL47" s="5">
        <f>IFERROR(ROUND(HB47/HD47,2),0)</f>
        <v/>
      </c>
      <c r="HM47" s="5">
        <f>IFERROR(ROUND(HB47/HE47,2),0)</f>
        <v/>
      </c>
      <c r="HN47" s="2" t="inlineStr">
        <is>
          <t>2023-10-22</t>
        </is>
      </c>
      <c r="HO47" s="5">
        <f>ROUND(0.0,2)</f>
        <v/>
      </c>
      <c r="HP47" s="3">
        <f>ROUND(0.0,2)</f>
        <v/>
      </c>
      <c r="HQ47" s="3">
        <f>ROUND(0.0,2)</f>
        <v/>
      </c>
      <c r="HR47" s="3">
        <f>ROUND(0.0,2)</f>
        <v/>
      </c>
      <c r="HS47" s="3">
        <f>ROUND(0.0,2)</f>
        <v/>
      </c>
      <c r="HT47" s="3">
        <f>ROUND(0.0,2)</f>
        <v/>
      </c>
      <c r="HU47" s="3">
        <f>ROUND(0.0,2)</f>
        <v/>
      </c>
      <c r="HV47" s="3">
        <f>ROUND(0.0,2)</f>
        <v/>
      </c>
      <c r="HW47" s="4">
        <f>IFERROR((HQ47/HP47),0)</f>
        <v/>
      </c>
      <c r="HX47" s="4">
        <f>IFERROR(((0+HO11+HO12+HO13+HO14+HO15+HO16+HO17+HO19+HO20+HO21+HO22+HO23+HO24+HO25+HO27+HO28+HO29+HO30+HO31+HO32+HO33+HO35+HO36+HO37+HO38+HO39+HO40+HO41+HO43+HO44+HO45+HO46+HO47)/T2),0)</f>
        <v/>
      </c>
      <c r="HY47" s="5">
        <f>IFERROR(ROUND(HO47/HQ47,2),0)</f>
        <v/>
      </c>
      <c r="HZ47" s="5">
        <f>IFERROR(ROUND(HO47/HR47,2),0)</f>
        <v/>
      </c>
      <c r="IA47" s="2" t="inlineStr">
        <is>
          <t>2023-10-22</t>
        </is>
      </c>
      <c r="IB47" s="5">
        <f>ROUND(0.0,2)</f>
        <v/>
      </c>
      <c r="IC47" s="3">
        <f>ROUND(0.0,2)</f>
        <v/>
      </c>
      <c r="ID47" s="3">
        <f>ROUND(0.0,2)</f>
        <v/>
      </c>
      <c r="IE47" s="3">
        <f>ROUND(0.0,2)</f>
        <v/>
      </c>
      <c r="IF47" s="3">
        <f>ROUND(0.0,2)</f>
        <v/>
      </c>
      <c r="IG47" s="3">
        <f>ROUND(0.0,2)</f>
        <v/>
      </c>
      <c r="IH47" s="3">
        <f>ROUND(0.0,2)</f>
        <v/>
      </c>
      <c r="II47" s="3">
        <f>ROUND(0.0,2)</f>
        <v/>
      </c>
      <c r="IJ47" s="4">
        <f>IFERROR((ID47/IC47),0)</f>
        <v/>
      </c>
      <c r="IK47" s="4">
        <f>IFERROR(((0+IB11+IB12+IB13+IB14+IB15+IB16+IB17+IB19+IB20+IB21+IB22+IB23+IB24+IB25+IB27+IB28+IB29+IB30+IB31+IB32+IB33+IB35+IB36+IB37+IB38+IB39+IB40+IB41+IB43+IB44+IB45+IB46+IB47)/T2),0)</f>
        <v/>
      </c>
      <c r="IL47" s="5">
        <f>IFERROR(ROUND(IB47/ID47,2),0)</f>
        <v/>
      </c>
      <c r="IM47" s="5">
        <f>IFERROR(ROUND(IB47/IE47,2),0)</f>
        <v/>
      </c>
      <c r="IN47" s="2" t="inlineStr">
        <is>
          <t>2023-10-22</t>
        </is>
      </c>
      <c r="IO47" s="5">
        <f>ROUND(0.0,2)</f>
        <v/>
      </c>
      <c r="IP47" s="3">
        <f>ROUND(0.0,2)</f>
        <v/>
      </c>
      <c r="IQ47" s="3">
        <f>ROUND(0.0,2)</f>
        <v/>
      </c>
      <c r="IR47" s="3">
        <f>ROUND(0.0,2)</f>
        <v/>
      </c>
      <c r="IS47" s="3">
        <f>ROUND(0.0,2)</f>
        <v/>
      </c>
      <c r="IT47" s="3">
        <f>ROUND(0.0,2)</f>
        <v/>
      </c>
      <c r="IU47" s="3">
        <f>ROUND(0.0,2)</f>
        <v/>
      </c>
      <c r="IV47" s="3">
        <f>ROUND(0.0,2)</f>
        <v/>
      </c>
      <c r="IW47" s="4">
        <f>IFERROR((IQ47/IP47),0)</f>
        <v/>
      </c>
      <c r="IX47" s="4">
        <f>IFERROR(((0+IO11+IO12+IO13+IO14+IO15+IO16+IO17+IO19+IO20+IO21+IO22+IO23+IO24+IO25+IO27+IO28+IO29+IO30+IO31+IO32+IO33+IO35+IO36+IO37+IO38+IO39+IO40+IO41+IO43+IO44+IO45+IO46+IO47)/T2),0)</f>
        <v/>
      </c>
      <c r="IY47" s="5">
        <f>IFERROR(ROUND(IO47/IQ47,2),0)</f>
        <v/>
      </c>
      <c r="IZ47" s="5">
        <f>IFERROR(ROUND(IO47/IR47,2),0)</f>
        <v/>
      </c>
      <c r="JA47" s="2" t="inlineStr">
        <is>
          <t>2023-10-22</t>
        </is>
      </c>
      <c r="JB47" s="5">
        <f>ROUND(0.0,2)</f>
        <v/>
      </c>
      <c r="JC47" s="3">
        <f>ROUND(0.0,2)</f>
        <v/>
      </c>
      <c r="JD47" s="3">
        <f>ROUND(0.0,2)</f>
        <v/>
      </c>
      <c r="JE47" s="3">
        <f>ROUND(0.0,2)</f>
        <v/>
      </c>
      <c r="JF47" s="3">
        <f>ROUND(0.0,2)</f>
        <v/>
      </c>
      <c r="JG47" s="3">
        <f>ROUND(0.0,2)</f>
        <v/>
      </c>
      <c r="JH47" s="3">
        <f>ROUND(0.0,2)</f>
        <v/>
      </c>
      <c r="JI47" s="3">
        <f>ROUND(0.0,2)</f>
        <v/>
      </c>
      <c r="JJ47" s="4">
        <f>IFERROR((JD47/JC47),0)</f>
        <v/>
      </c>
      <c r="JK47" s="4">
        <f>IFERROR(((0+JB11+JB12+JB13+JB14+JB15+JB16+JB17+JB19+JB20+JB21+JB22+JB23+JB24+JB25+JB27+JB28+JB29+JB30+JB31+JB32+JB33+JB35+JB36+JB37+JB38+JB39+JB40+JB41+JB43+JB44+JB45+JB46+JB47)/T2),0)</f>
        <v/>
      </c>
      <c r="JL47" s="5">
        <f>IFERROR(ROUND(JB47/JD47,2),0)</f>
        <v/>
      </c>
      <c r="JM47" s="5">
        <f>IFERROR(ROUND(JB47/JE47,2),0)</f>
        <v/>
      </c>
    </row>
    <row r="48">
      <c r="A48" s="2" t="inlineStr">
        <is>
          <t>2023-10-23</t>
        </is>
      </c>
      <c r="B48" s="5">
        <f>ROUND(0.0,2)</f>
        <v/>
      </c>
      <c r="C48" s="3">
        <f>ROUND(0.0,2)</f>
        <v/>
      </c>
      <c r="D48" s="3">
        <f>ROUND(0.0,2)</f>
        <v/>
      </c>
      <c r="E48" s="3">
        <f>ROUND(0.0,2)</f>
        <v/>
      </c>
      <c r="F48" s="3">
        <f>ROUND(0.0,2)</f>
        <v/>
      </c>
      <c r="G48" s="3">
        <f>ROUND(0.0,2)</f>
        <v/>
      </c>
      <c r="H48" s="3">
        <f>ROUND(0.0,2)</f>
        <v/>
      </c>
      <c r="I48" s="3">
        <f>ROUND(0.0,2)</f>
        <v/>
      </c>
      <c r="J48" s="4">
        <f>IFERROR((D48/C48),0)</f>
        <v/>
      </c>
      <c r="K48" s="4">
        <f>IFERROR(((0+B11+B12+B13+B14+B15+B16+B17+B19+B20+B21+B22+B23+B24+B25+B27+B28+B29+B30+B31+B32+B33+B35+B36+B37+B38+B39+B40+B41+B43+B44+B45+B46+B47+B48)/T2),0)</f>
        <v/>
      </c>
      <c r="L48" s="5">
        <f>IFERROR(ROUND(B48/D48,2),0)</f>
        <v/>
      </c>
      <c r="M48" s="5">
        <f>IFERROR(ROUND(B48/E48,2),0)</f>
        <v/>
      </c>
      <c r="N48" s="2" t="inlineStr">
        <is>
          <t>2023-10-23</t>
        </is>
      </c>
      <c r="O48" s="5">
        <f>ROUND(0.0,2)</f>
        <v/>
      </c>
      <c r="P48" s="3">
        <f>ROUND(0.0,2)</f>
        <v/>
      </c>
      <c r="Q48" s="3">
        <f>ROUND(0.0,2)</f>
        <v/>
      </c>
      <c r="R48" s="3">
        <f>ROUND(0.0,2)</f>
        <v/>
      </c>
      <c r="S48" s="3">
        <f>ROUND(0.0,2)</f>
        <v/>
      </c>
      <c r="T48" s="3">
        <f>ROUND(0.0,2)</f>
        <v/>
      </c>
      <c r="U48" s="3">
        <f>ROUND(0.0,2)</f>
        <v/>
      </c>
      <c r="V48" s="3">
        <f>ROUND(0.0,2)</f>
        <v/>
      </c>
      <c r="W48" s="4">
        <f>IFERROR((Q48/P48),0)</f>
        <v/>
      </c>
      <c r="X48" s="4">
        <f>IFERROR(((0+O11+O12+O13+O14+O15+O16+O17+O19+O20+O21+O22+O23+O24+O25+O27+O28+O29+O30+O31+O32+O33+O35+O36+O37+O38+O39+O40+O41+O43+O44+O45+O46+O47+O48)/T2),0)</f>
        <v/>
      </c>
      <c r="Y48" s="5">
        <f>IFERROR(ROUND(O48/Q48,2),0)</f>
        <v/>
      </c>
      <c r="Z48" s="5">
        <f>IFERROR(ROUND(O48/R48,2),0)</f>
        <v/>
      </c>
      <c r="AA48" s="2" t="inlineStr">
        <is>
          <t>2023-10-23</t>
        </is>
      </c>
      <c r="AB48" s="5">
        <f>ROUND(0.0,2)</f>
        <v/>
      </c>
      <c r="AC48" s="3">
        <f>ROUND(0.0,2)</f>
        <v/>
      </c>
      <c r="AD48" s="3">
        <f>ROUND(0.0,2)</f>
        <v/>
      </c>
      <c r="AE48" s="3">
        <f>ROUND(0.0,2)</f>
        <v/>
      </c>
      <c r="AF48" s="3">
        <f>ROUND(0.0,2)</f>
        <v/>
      </c>
      <c r="AG48" s="3">
        <f>ROUND(0.0,2)</f>
        <v/>
      </c>
      <c r="AH48" s="3">
        <f>ROUND(0.0,2)</f>
        <v/>
      </c>
      <c r="AI48" s="3">
        <f>ROUND(0.0,2)</f>
        <v/>
      </c>
      <c r="AJ48" s="4">
        <f>IFERROR((AD48/AC48),0)</f>
        <v/>
      </c>
      <c r="AK48" s="4">
        <f>IFERROR(((0+AB11+AB12+AB13+AB14+AB15+AB16+AB17+AB19+AB20+AB21+AB22+AB23+AB24+AB25+AB27+AB28+AB29+AB30+AB31+AB32+AB33+AB35+AB36+AB37+AB38+AB39+AB40+AB41+AB43+AB44+AB45+AB46+AB47+AB48)/T2),0)</f>
        <v/>
      </c>
      <c r="AL48" s="5">
        <f>IFERROR(ROUND(AB48/AD48,2),0)</f>
        <v/>
      </c>
      <c r="AM48" s="5">
        <f>IFERROR(ROUND(AB48/AE48,2),0)</f>
        <v/>
      </c>
      <c r="AN48" s="2" t="inlineStr">
        <is>
          <t>2023-10-23</t>
        </is>
      </c>
      <c r="AO48" s="5">
        <f>ROUND(0.0,2)</f>
        <v/>
      </c>
      <c r="AP48" s="3">
        <f>ROUND(0.0,2)</f>
        <v/>
      </c>
      <c r="AQ48" s="3">
        <f>ROUND(0.0,2)</f>
        <v/>
      </c>
      <c r="AR48" s="3">
        <f>ROUND(0.0,2)</f>
        <v/>
      </c>
      <c r="AS48" s="3">
        <f>ROUND(0.0,2)</f>
        <v/>
      </c>
      <c r="AT48" s="3">
        <f>ROUND(0.0,2)</f>
        <v/>
      </c>
      <c r="AU48" s="3">
        <f>ROUND(0.0,2)</f>
        <v/>
      </c>
      <c r="AV48" s="3">
        <f>ROUND(0.0,2)</f>
        <v/>
      </c>
      <c r="AW48" s="4">
        <f>IFERROR((AQ48/AP48),0)</f>
        <v/>
      </c>
      <c r="AX48" s="4">
        <f>IFERROR(((0+AO11+AO12+AO13+AO14+AO15+AO16+AO17+AO19+AO20+AO21+AO22+AO23+AO24+AO25+AO27+AO28+AO29+AO30+AO31+AO32+AO33+AO35+AO36+AO37+AO38+AO39+AO40+AO41+AO43+AO44+AO45+AO46+AO47+AO48)/T2),0)</f>
        <v/>
      </c>
      <c r="AY48" s="5">
        <f>IFERROR(ROUND(AO48/AQ48,2),0)</f>
        <v/>
      </c>
      <c r="AZ48" s="5">
        <f>IFERROR(ROUND(AO48/AR48,2),0)</f>
        <v/>
      </c>
      <c r="BA48" s="2" t="inlineStr">
        <is>
          <t>2023-10-23</t>
        </is>
      </c>
      <c r="BB48" s="5">
        <f>ROUND(0.0,2)</f>
        <v/>
      </c>
      <c r="BC48" s="3">
        <f>ROUND(0.0,2)</f>
        <v/>
      </c>
      <c r="BD48" s="3">
        <f>ROUND(0.0,2)</f>
        <v/>
      </c>
      <c r="BE48" s="3">
        <f>ROUND(0.0,2)</f>
        <v/>
      </c>
      <c r="BF48" s="3">
        <f>ROUND(0.0,2)</f>
        <v/>
      </c>
      <c r="BG48" s="3">
        <f>ROUND(0.0,2)</f>
        <v/>
      </c>
      <c r="BH48" s="3">
        <f>ROUND(0.0,2)</f>
        <v/>
      </c>
      <c r="BI48" s="3">
        <f>ROUND(0.0,2)</f>
        <v/>
      </c>
      <c r="BJ48" s="4">
        <f>IFERROR((BD48/BC48),0)</f>
        <v/>
      </c>
      <c r="BK48" s="4">
        <f>IFERROR(((0+BB11+BB12+BB13+BB14+BB15+BB16+BB17+BB19+BB20+BB21+BB22+BB23+BB24+BB25+BB27+BB28+BB29+BB30+BB31+BB32+BB33+BB35+BB36+BB37+BB38+BB39+BB40+BB41+BB43+BB44+BB45+BB46+BB47+BB48)/T2),0)</f>
        <v/>
      </c>
      <c r="BL48" s="5">
        <f>IFERROR(ROUND(BB48/BD48,2),0)</f>
        <v/>
      </c>
      <c r="BM48" s="5">
        <f>IFERROR(ROUND(BB48/BE48,2),0)</f>
        <v/>
      </c>
      <c r="BN48" s="2" t="inlineStr">
        <is>
          <t>2023-10-23</t>
        </is>
      </c>
      <c r="BO48" s="5">
        <f>ROUND(0.0,2)</f>
        <v/>
      </c>
      <c r="BP48" s="3">
        <f>ROUND(0.0,2)</f>
        <v/>
      </c>
      <c r="BQ48" s="3">
        <f>ROUND(0.0,2)</f>
        <v/>
      </c>
      <c r="BR48" s="3">
        <f>ROUND(0.0,2)</f>
        <v/>
      </c>
      <c r="BS48" s="3">
        <f>ROUND(0.0,2)</f>
        <v/>
      </c>
      <c r="BT48" s="3">
        <f>ROUND(0.0,2)</f>
        <v/>
      </c>
      <c r="BU48" s="3">
        <f>ROUND(0.0,2)</f>
        <v/>
      </c>
      <c r="BV48" s="3">
        <f>ROUND(0.0,2)</f>
        <v/>
      </c>
      <c r="BW48" s="4">
        <f>IFERROR((BQ48/BP48),0)</f>
        <v/>
      </c>
      <c r="BX48" s="4">
        <f>IFERROR(((0+BO11+BO12+BO13+BO14+BO15+BO16+BO17+BO19+BO20+BO21+BO22+BO23+BO24+BO25+BO27+BO28+BO29+BO30+BO31+BO32+BO33+BO35+BO36+BO37+BO38+BO39+BO40+BO41+BO43+BO44+BO45+BO46+BO47+BO48)/T2),0)</f>
        <v/>
      </c>
      <c r="BY48" s="5">
        <f>IFERROR(ROUND(BO48/BQ48,2),0)</f>
        <v/>
      </c>
      <c r="BZ48" s="5">
        <f>IFERROR(ROUND(BO48/BR48,2),0)</f>
        <v/>
      </c>
      <c r="CA48" s="2" t="inlineStr">
        <is>
          <t>2023-10-23</t>
        </is>
      </c>
      <c r="CB48" s="5">
        <f>ROUND(0.0,2)</f>
        <v/>
      </c>
      <c r="CC48" s="3">
        <f>ROUND(0.0,2)</f>
        <v/>
      </c>
      <c r="CD48" s="3">
        <f>ROUND(0.0,2)</f>
        <v/>
      </c>
      <c r="CE48" s="3">
        <f>ROUND(0.0,2)</f>
        <v/>
      </c>
      <c r="CF48" s="3">
        <f>ROUND(0.0,2)</f>
        <v/>
      </c>
      <c r="CG48" s="3">
        <f>ROUND(0.0,2)</f>
        <v/>
      </c>
      <c r="CH48" s="3">
        <f>ROUND(0.0,2)</f>
        <v/>
      </c>
      <c r="CI48" s="3">
        <f>ROUND(0.0,2)</f>
        <v/>
      </c>
      <c r="CJ48" s="4">
        <f>IFERROR((CD48/CC48),0)</f>
        <v/>
      </c>
      <c r="CK48" s="4">
        <f>IFERROR(((0+CB11+CB12+CB13+CB14+CB15+CB16+CB17+CB19+CB20+CB21+CB22+CB23+CB24+CB25+CB27+CB28+CB29+CB30+CB31+CB32+CB33+CB35+CB36+CB37+CB38+CB39+CB40+CB41+CB43+CB44+CB45+CB46+CB47+CB48)/T2),0)</f>
        <v/>
      </c>
      <c r="CL48" s="5">
        <f>IFERROR(ROUND(CB48/CD48,2),0)</f>
        <v/>
      </c>
      <c r="CM48" s="5">
        <f>IFERROR(ROUND(CB48/CE48,2),0)</f>
        <v/>
      </c>
      <c r="CN48" s="2" t="inlineStr">
        <is>
          <t>2023-10-23</t>
        </is>
      </c>
      <c r="CO48" s="5">
        <f>ROUND(0.0,2)</f>
        <v/>
      </c>
      <c r="CP48" s="3">
        <f>ROUND(0.0,2)</f>
        <v/>
      </c>
      <c r="CQ48" s="3">
        <f>ROUND(0.0,2)</f>
        <v/>
      </c>
      <c r="CR48" s="3">
        <f>ROUND(0.0,2)</f>
        <v/>
      </c>
      <c r="CS48" s="3">
        <f>ROUND(0.0,2)</f>
        <v/>
      </c>
      <c r="CT48" s="3">
        <f>ROUND(0.0,2)</f>
        <v/>
      </c>
      <c r="CU48" s="3">
        <f>ROUND(0.0,2)</f>
        <v/>
      </c>
      <c r="CV48" s="3">
        <f>ROUND(0.0,2)</f>
        <v/>
      </c>
      <c r="CW48" s="4">
        <f>IFERROR((CQ48/CP48),0)</f>
        <v/>
      </c>
      <c r="CX48" s="4">
        <f>IFERROR(((0+CO11+CO12+CO13+CO14+CO15+CO16+CO17+CO19+CO20+CO21+CO22+CO23+CO24+CO25+CO27+CO28+CO29+CO30+CO31+CO32+CO33+CO35+CO36+CO37+CO38+CO39+CO40+CO41+CO43+CO44+CO45+CO46+CO47+CO48)/T2),0)</f>
        <v/>
      </c>
      <c r="CY48" s="5">
        <f>IFERROR(ROUND(CO48/CQ48,2),0)</f>
        <v/>
      </c>
      <c r="CZ48" s="5">
        <f>IFERROR(ROUND(CO48/CR48,2),0)</f>
        <v/>
      </c>
      <c r="DA48" s="2" t="inlineStr">
        <is>
          <t>2023-10-23</t>
        </is>
      </c>
      <c r="DB48" s="5">
        <f>ROUND(0.0,2)</f>
        <v/>
      </c>
      <c r="DC48" s="3">
        <f>ROUND(0.0,2)</f>
        <v/>
      </c>
      <c r="DD48" s="3">
        <f>ROUND(0.0,2)</f>
        <v/>
      </c>
      <c r="DE48" s="3">
        <f>ROUND(0.0,2)</f>
        <v/>
      </c>
      <c r="DF48" s="3">
        <f>ROUND(0.0,2)</f>
        <v/>
      </c>
      <c r="DG48" s="3">
        <f>ROUND(0.0,2)</f>
        <v/>
      </c>
      <c r="DH48" s="3">
        <f>ROUND(0.0,2)</f>
        <v/>
      </c>
      <c r="DI48" s="3">
        <f>ROUND(0.0,2)</f>
        <v/>
      </c>
      <c r="DJ48" s="4">
        <f>IFERROR((DD48/DC48),0)</f>
        <v/>
      </c>
      <c r="DK48" s="4">
        <f>IFERROR(((0+DB11+DB12+DB13+DB14+DB15+DB16+DB17+DB19+DB20+DB21+DB22+DB23+DB24+DB25+DB27+DB28+DB29+DB30+DB31+DB32+DB33+DB35+DB36+DB37+DB38+DB39+DB40+DB41+DB43+DB44+DB45+DB46+DB47+DB48)/T2),0)</f>
        <v/>
      </c>
      <c r="DL48" s="5">
        <f>IFERROR(ROUND(DB48/DD48,2),0)</f>
        <v/>
      </c>
      <c r="DM48" s="5">
        <f>IFERROR(ROUND(DB48/DE48,2),0)</f>
        <v/>
      </c>
      <c r="DN48" s="2" t="inlineStr">
        <is>
          <t>2023-10-23</t>
        </is>
      </c>
      <c r="DO48" s="5">
        <f>ROUND(0.0,2)</f>
        <v/>
      </c>
      <c r="DP48" s="3">
        <f>ROUND(0.0,2)</f>
        <v/>
      </c>
      <c r="DQ48" s="3">
        <f>ROUND(0.0,2)</f>
        <v/>
      </c>
      <c r="DR48" s="3">
        <f>ROUND(0.0,2)</f>
        <v/>
      </c>
      <c r="DS48" s="3">
        <f>ROUND(0.0,2)</f>
        <v/>
      </c>
      <c r="DT48" s="3">
        <f>ROUND(0.0,2)</f>
        <v/>
      </c>
      <c r="DU48" s="3">
        <f>ROUND(0.0,2)</f>
        <v/>
      </c>
      <c r="DV48" s="3">
        <f>ROUND(0.0,2)</f>
        <v/>
      </c>
      <c r="DW48" s="4">
        <f>IFERROR((DQ48/DP48),0)</f>
        <v/>
      </c>
      <c r="DX48" s="4">
        <f>IFERROR(((0+DO11+DO12+DO13+DO14+DO15+DO16+DO17+DO19+DO20+DO21+DO22+DO23+DO24+DO25+DO27+DO28+DO29+DO30+DO31+DO32+DO33+DO35+DO36+DO37+DO38+DO39+DO40+DO41+DO43+DO44+DO45+DO46+DO47+DO48)/T2),0)</f>
        <v/>
      </c>
      <c r="DY48" s="5">
        <f>IFERROR(ROUND(DO48/DQ48,2),0)</f>
        <v/>
      </c>
      <c r="DZ48" s="5">
        <f>IFERROR(ROUND(DO48/DR48,2),0)</f>
        <v/>
      </c>
      <c r="EA48" s="2" t="inlineStr">
        <is>
          <t>2023-10-23</t>
        </is>
      </c>
      <c r="EB48" s="5">
        <f>ROUND(0.0,2)</f>
        <v/>
      </c>
      <c r="EC48" s="3">
        <f>ROUND(0.0,2)</f>
        <v/>
      </c>
      <c r="ED48" s="3">
        <f>ROUND(0.0,2)</f>
        <v/>
      </c>
      <c r="EE48" s="3">
        <f>ROUND(0.0,2)</f>
        <v/>
      </c>
      <c r="EF48" s="3">
        <f>ROUND(0.0,2)</f>
        <v/>
      </c>
      <c r="EG48" s="3">
        <f>ROUND(0.0,2)</f>
        <v/>
      </c>
      <c r="EH48" s="3">
        <f>ROUND(0.0,2)</f>
        <v/>
      </c>
      <c r="EI48" s="3">
        <f>ROUND(0.0,2)</f>
        <v/>
      </c>
      <c r="EJ48" s="4">
        <f>IFERROR((ED48/EC48),0)</f>
        <v/>
      </c>
      <c r="EK48" s="4">
        <f>IFERROR(((0+EB11+EB12+EB13+EB14+EB15+EB16+EB17+EB19+EB20+EB21+EB22+EB23+EB24+EB25+EB27+EB28+EB29+EB30+EB31+EB32+EB33+EB35+EB36+EB37+EB38+EB39+EB40+EB41+EB43+EB44+EB45+EB46+EB47+EB48)/T2),0)</f>
        <v/>
      </c>
      <c r="EL48" s="5">
        <f>IFERROR(ROUND(EB48/ED48,2),0)</f>
        <v/>
      </c>
      <c r="EM48" s="5">
        <f>IFERROR(ROUND(EB48/EE48,2),0)</f>
        <v/>
      </c>
      <c r="EN48" s="2" t="inlineStr">
        <is>
          <t>2023-10-23</t>
        </is>
      </c>
      <c r="EO48" s="5">
        <f>ROUND(0.0,2)</f>
        <v/>
      </c>
      <c r="EP48" s="3">
        <f>ROUND(0.0,2)</f>
        <v/>
      </c>
      <c r="EQ48" s="3">
        <f>ROUND(0.0,2)</f>
        <v/>
      </c>
      <c r="ER48" s="3">
        <f>ROUND(0.0,2)</f>
        <v/>
      </c>
      <c r="ES48" s="3">
        <f>ROUND(0.0,2)</f>
        <v/>
      </c>
      <c r="ET48" s="3">
        <f>ROUND(0.0,2)</f>
        <v/>
      </c>
      <c r="EU48" s="3">
        <f>ROUND(0.0,2)</f>
        <v/>
      </c>
      <c r="EV48" s="3">
        <f>ROUND(0.0,2)</f>
        <v/>
      </c>
      <c r="EW48" s="4">
        <f>IFERROR((EQ48/EP48),0)</f>
        <v/>
      </c>
      <c r="EX48" s="4">
        <f>IFERROR(((0+EO11+EO12+EO13+EO14+EO15+EO16+EO17+EO19+EO20+EO21+EO22+EO23+EO24+EO25+EO27+EO28+EO29+EO30+EO31+EO32+EO33+EO35+EO36+EO37+EO38+EO39+EO40+EO41+EO43+EO44+EO45+EO46+EO47+EO48)/T2),0)</f>
        <v/>
      </c>
      <c r="EY48" s="5">
        <f>IFERROR(ROUND(EO48/EQ48,2),0)</f>
        <v/>
      </c>
      <c r="EZ48" s="5">
        <f>IFERROR(ROUND(EO48/ER48,2),0)</f>
        <v/>
      </c>
      <c r="FA48" s="2" t="inlineStr">
        <is>
          <t>2023-10-23</t>
        </is>
      </c>
      <c r="FB48" s="5">
        <f>ROUND(0.0,2)</f>
        <v/>
      </c>
      <c r="FC48" s="3">
        <f>ROUND(0.0,2)</f>
        <v/>
      </c>
      <c r="FD48" s="3">
        <f>ROUND(0.0,2)</f>
        <v/>
      </c>
      <c r="FE48" s="3">
        <f>ROUND(0.0,2)</f>
        <v/>
      </c>
      <c r="FF48" s="3">
        <f>ROUND(0.0,2)</f>
        <v/>
      </c>
      <c r="FG48" s="3">
        <f>ROUND(0.0,2)</f>
        <v/>
      </c>
      <c r="FH48" s="3">
        <f>ROUND(0.0,2)</f>
        <v/>
      </c>
      <c r="FI48" s="3">
        <f>ROUND(0.0,2)</f>
        <v/>
      </c>
      <c r="FJ48" s="4">
        <f>IFERROR((FD48/FC48),0)</f>
        <v/>
      </c>
      <c r="FK48" s="4">
        <f>IFERROR(((0+FB11+FB12+FB13+FB14+FB15+FB16+FB17+FB19+FB20+FB21+FB22+FB23+FB24+FB25+FB27+FB28+FB29+FB30+FB31+FB32+FB33+FB35+FB36+FB37+FB38+FB39+FB40+FB41+FB43+FB44+FB45+FB46+FB47+FB48)/T2),0)</f>
        <v/>
      </c>
      <c r="FL48" s="5">
        <f>IFERROR(ROUND(FB48/FD48,2),0)</f>
        <v/>
      </c>
      <c r="FM48" s="5">
        <f>IFERROR(ROUND(FB48/FE48,2),0)</f>
        <v/>
      </c>
      <c r="FN48" s="2" t="inlineStr">
        <is>
          <t>2023-10-23</t>
        </is>
      </c>
      <c r="FO48" s="5">
        <f>ROUND(0.0,2)</f>
        <v/>
      </c>
      <c r="FP48" s="3">
        <f>ROUND(0.0,2)</f>
        <v/>
      </c>
      <c r="FQ48" s="3">
        <f>ROUND(0.0,2)</f>
        <v/>
      </c>
      <c r="FR48" s="3">
        <f>ROUND(0.0,2)</f>
        <v/>
      </c>
      <c r="FS48" s="3">
        <f>ROUND(0.0,2)</f>
        <v/>
      </c>
      <c r="FT48" s="3">
        <f>ROUND(0.0,2)</f>
        <v/>
      </c>
      <c r="FU48" s="3">
        <f>ROUND(0.0,2)</f>
        <v/>
      </c>
      <c r="FV48" s="3">
        <f>ROUND(0.0,2)</f>
        <v/>
      </c>
      <c r="FW48" s="4">
        <f>IFERROR((FQ48/FP48),0)</f>
        <v/>
      </c>
      <c r="FX48" s="4">
        <f>IFERROR(((0+FO11+FO12+FO13+FO14+FO15+FO16+FO17+FO19+FO20+FO21+FO22+FO23+FO24+FO25+FO27+FO28+FO29+FO30+FO31+FO32+FO33+FO35+FO36+FO37+FO38+FO39+FO40+FO41+FO43+FO44+FO45+FO46+FO47+FO48)/T2),0)</f>
        <v/>
      </c>
      <c r="FY48" s="5">
        <f>IFERROR(ROUND(FO48/FQ48,2),0)</f>
        <v/>
      </c>
      <c r="FZ48" s="5">
        <f>IFERROR(ROUND(FO48/FR48,2),0)</f>
        <v/>
      </c>
      <c r="GA48" s="2" t="inlineStr">
        <is>
          <t>2023-10-23</t>
        </is>
      </c>
      <c r="GB48" s="5">
        <f>ROUND(0.0,2)</f>
        <v/>
      </c>
      <c r="GC48" s="3">
        <f>ROUND(0.0,2)</f>
        <v/>
      </c>
      <c r="GD48" s="3">
        <f>ROUND(0.0,2)</f>
        <v/>
      </c>
      <c r="GE48" s="3">
        <f>ROUND(0.0,2)</f>
        <v/>
      </c>
      <c r="GF48" s="3">
        <f>ROUND(0.0,2)</f>
        <v/>
      </c>
      <c r="GG48" s="3">
        <f>ROUND(0.0,2)</f>
        <v/>
      </c>
      <c r="GH48" s="3">
        <f>ROUND(0.0,2)</f>
        <v/>
      </c>
      <c r="GI48" s="3">
        <f>ROUND(0.0,2)</f>
        <v/>
      </c>
      <c r="GJ48" s="4">
        <f>IFERROR((GD48/GC48),0)</f>
        <v/>
      </c>
      <c r="GK48" s="4">
        <f>IFERROR(((0+GB11+GB12+GB13+GB14+GB15+GB16+GB17+GB19+GB20+GB21+GB22+GB23+GB24+GB25+GB27+GB28+GB29+GB30+GB31+GB32+GB33+GB35+GB36+GB37+GB38+GB39+GB40+GB41+GB43+GB44+GB45+GB46+GB47+GB48)/T2),0)</f>
        <v/>
      </c>
      <c r="GL48" s="5">
        <f>IFERROR(ROUND(GB48/GD48,2),0)</f>
        <v/>
      </c>
      <c r="GM48" s="5">
        <f>IFERROR(ROUND(GB48/GE48,2),0)</f>
        <v/>
      </c>
      <c r="GN48" s="2" t="inlineStr">
        <is>
          <t>2023-10-23</t>
        </is>
      </c>
      <c r="GO48" s="5">
        <f>ROUND(0.0,2)</f>
        <v/>
      </c>
      <c r="GP48" s="3">
        <f>ROUND(0.0,2)</f>
        <v/>
      </c>
      <c r="GQ48" s="3">
        <f>ROUND(0.0,2)</f>
        <v/>
      </c>
      <c r="GR48" s="3">
        <f>ROUND(0.0,2)</f>
        <v/>
      </c>
      <c r="GS48" s="3">
        <f>ROUND(0.0,2)</f>
        <v/>
      </c>
      <c r="GT48" s="3">
        <f>ROUND(0.0,2)</f>
        <v/>
      </c>
      <c r="GU48" s="3">
        <f>ROUND(0.0,2)</f>
        <v/>
      </c>
      <c r="GV48" s="3">
        <f>ROUND(0.0,2)</f>
        <v/>
      </c>
      <c r="GW48" s="4">
        <f>IFERROR((GQ48/GP48),0)</f>
        <v/>
      </c>
      <c r="GX48" s="4">
        <f>IFERROR(((0+GO11+GO12+GO13+GO14+GO15+GO16+GO17+GO19+GO20+GO21+GO22+GO23+GO24+GO25+GO27+GO28+GO29+GO30+GO31+GO32+GO33+GO35+GO36+GO37+GO38+GO39+GO40+GO41+GO43+GO44+GO45+GO46+GO47+GO48)/T2),0)</f>
        <v/>
      </c>
      <c r="GY48" s="5">
        <f>IFERROR(ROUND(GO48/GQ48,2),0)</f>
        <v/>
      </c>
      <c r="GZ48" s="5">
        <f>IFERROR(ROUND(GO48/GR48,2),0)</f>
        <v/>
      </c>
      <c r="HA48" s="2" t="inlineStr">
        <is>
          <t>2023-10-23</t>
        </is>
      </c>
      <c r="HB48" s="5">
        <f>ROUND(0.0,2)</f>
        <v/>
      </c>
      <c r="HC48" s="3">
        <f>ROUND(0.0,2)</f>
        <v/>
      </c>
      <c r="HD48" s="3">
        <f>ROUND(0.0,2)</f>
        <v/>
      </c>
      <c r="HE48" s="3">
        <f>ROUND(0.0,2)</f>
        <v/>
      </c>
      <c r="HF48" s="3">
        <f>ROUND(0.0,2)</f>
        <v/>
      </c>
      <c r="HG48" s="3">
        <f>ROUND(0.0,2)</f>
        <v/>
      </c>
      <c r="HH48" s="3">
        <f>ROUND(0.0,2)</f>
        <v/>
      </c>
      <c r="HI48" s="3">
        <f>ROUND(0.0,2)</f>
        <v/>
      </c>
      <c r="HJ48" s="4">
        <f>IFERROR((HD48/HC48),0)</f>
        <v/>
      </c>
      <c r="HK48" s="4">
        <f>IFERROR(((0+HB11+HB12+HB13+HB14+HB15+HB16+HB17+HB19+HB20+HB21+HB22+HB23+HB24+HB25+HB27+HB28+HB29+HB30+HB31+HB32+HB33+HB35+HB36+HB37+HB38+HB39+HB40+HB41+HB43+HB44+HB45+HB46+HB47+HB48)/T2),0)</f>
        <v/>
      </c>
      <c r="HL48" s="5">
        <f>IFERROR(ROUND(HB48/HD48,2),0)</f>
        <v/>
      </c>
      <c r="HM48" s="5">
        <f>IFERROR(ROUND(HB48/HE48,2),0)</f>
        <v/>
      </c>
      <c r="HN48" s="2" t="inlineStr">
        <is>
          <t>2023-10-23</t>
        </is>
      </c>
      <c r="HO48" s="5">
        <f>ROUND(0.0,2)</f>
        <v/>
      </c>
      <c r="HP48" s="3">
        <f>ROUND(0.0,2)</f>
        <v/>
      </c>
      <c r="HQ48" s="3">
        <f>ROUND(0.0,2)</f>
        <v/>
      </c>
      <c r="HR48" s="3">
        <f>ROUND(0.0,2)</f>
        <v/>
      </c>
      <c r="HS48" s="3">
        <f>ROUND(0.0,2)</f>
        <v/>
      </c>
      <c r="HT48" s="3">
        <f>ROUND(0.0,2)</f>
        <v/>
      </c>
      <c r="HU48" s="3">
        <f>ROUND(0.0,2)</f>
        <v/>
      </c>
      <c r="HV48" s="3">
        <f>ROUND(0.0,2)</f>
        <v/>
      </c>
      <c r="HW48" s="4">
        <f>IFERROR((HQ48/HP48),0)</f>
        <v/>
      </c>
      <c r="HX48" s="4">
        <f>IFERROR(((0+HO11+HO12+HO13+HO14+HO15+HO16+HO17+HO19+HO20+HO21+HO22+HO23+HO24+HO25+HO27+HO28+HO29+HO30+HO31+HO32+HO33+HO35+HO36+HO37+HO38+HO39+HO40+HO41+HO43+HO44+HO45+HO46+HO47+HO48)/T2),0)</f>
        <v/>
      </c>
      <c r="HY48" s="5">
        <f>IFERROR(ROUND(HO48/HQ48,2),0)</f>
        <v/>
      </c>
      <c r="HZ48" s="5">
        <f>IFERROR(ROUND(HO48/HR48,2),0)</f>
        <v/>
      </c>
      <c r="IA48" s="2" t="inlineStr">
        <is>
          <t>2023-10-23</t>
        </is>
      </c>
      <c r="IB48" s="5">
        <f>ROUND(0.0,2)</f>
        <v/>
      </c>
      <c r="IC48" s="3">
        <f>ROUND(0.0,2)</f>
        <v/>
      </c>
      <c r="ID48" s="3">
        <f>ROUND(0.0,2)</f>
        <v/>
      </c>
      <c r="IE48" s="3">
        <f>ROUND(0.0,2)</f>
        <v/>
      </c>
      <c r="IF48" s="3">
        <f>ROUND(0.0,2)</f>
        <v/>
      </c>
      <c r="IG48" s="3">
        <f>ROUND(0.0,2)</f>
        <v/>
      </c>
      <c r="IH48" s="3">
        <f>ROUND(0.0,2)</f>
        <v/>
      </c>
      <c r="II48" s="3">
        <f>ROUND(0.0,2)</f>
        <v/>
      </c>
      <c r="IJ48" s="4">
        <f>IFERROR((ID48/IC48),0)</f>
        <v/>
      </c>
      <c r="IK48" s="4">
        <f>IFERROR(((0+IB11+IB12+IB13+IB14+IB15+IB16+IB17+IB19+IB20+IB21+IB22+IB23+IB24+IB25+IB27+IB28+IB29+IB30+IB31+IB32+IB33+IB35+IB36+IB37+IB38+IB39+IB40+IB41+IB43+IB44+IB45+IB46+IB47+IB48)/T2),0)</f>
        <v/>
      </c>
      <c r="IL48" s="5">
        <f>IFERROR(ROUND(IB48/ID48,2),0)</f>
        <v/>
      </c>
      <c r="IM48" s="5">
        <f>IFERROR(ROUND(IB48/IE48,2),0)</f>
        <v/>
      </c>
      <c r="IN48" s="2" t="inlineStr">
        <is>
          <t>2023-10-23</t>
        </is>
      </c>
      <c r="IO48" s="5">
        <f>ROUND(0.0,2)</f>
        <v/>
      </c>
      <c r="IP48" s="3">
        <f>ROUND(0.0,2)</f>
        <v/>
      </c>
      <c r="IQ48" s="3">
        <f>ROUND(0.0,2)</f>
        <v/>
      </c>
      <c r="IR48" s="3">
        <f>ROUND(0.0,2)</f>
        <v/>
      </c>
      <c r="IS48" s="3">
        <f>ROUND(0.0,2)</f>
        <v/>
      </c>
      <c r="IT48" s="3">
        <f>ROUND(0.0,2)</f>
        <v/>
      </c>
      <c r="IU48" s="3">
        <f>ROUND(0.0,2)</f>
        <v/>
      </c>
      <c r="IV48" s="3">
        <f>ROUND(0.0,2)</f>
        <v/>
      </c>
      <c r="IW48" s="4">
        <f>IFERROR((IQ48/IP48),0)</f>
        <v/>
      </c>
      <c r="IX48" s="4">
        <f>IFERROR(((0+IO11+IO12+IO13+IO14+IO15+IO16+IO17+IO19+IO20+IO21+IO22+IO23+IO24+IO25+IO27+IO28+IO29+IO30+IO31+IO32+IO33+IO35+IO36+IO37+IO38+IO39+IO40+IO41+IO43+IO44+IO45+IO46+IO47+IO48)/T2),0)</f>
        <v/>
      </c>
      <c r="IY48" s="5">
        <f>IFERROR(ROUND(IO48/IQ48,2),0)</f>
        <v/>
      </c>
      <c r="IZ48" s="5">
        <f>IFERROR(ROUND(IO48/IR48,2),0)</f>
        <v/>
      </c>
      <c r="JA48" s="2" t="inlineStr">
        <is>
          <t>2023-10-23</t>
        </is>
      </c>
      <c r="JB48" s="5">
        <f>ROUND(0.0,2)</f>
        <v/>
      </c>
      <c r="JC48" s="3">
        <f>ROUND(0.0,2)</f>
        <v/>
      </c>
      <c r="JD48" s="3">
        <f>ROUND(0.0,2)</f>
        <v/>
      </c>
      <c r="JE48" s="3">
        <f>ROUND(0.0,2)</f>
        <v/>
      </c>
      <c r="JF48" s="3">
        <f>ROUND(0.0,2)</f>
        <v/>
      </c>
      <c r="JG48" s="3">
        <f>ROUND(0.0,2)</f>
        <v/>
      </c>
      <c r="JH48" s="3">
        <f>ROUND(0.0,2)</f>
        <v/>
      </c>
      <c r="JI48" s="3">
        <f>ROUND(0.0,2)</f>
        <v/>
      </c>
      <c r="JJ48" s="4">
        <f>IFERROR((JD48/JC48),0)</f>
        <v/>
      </c>
      <c r="JK48" s="4">
        <f>IFERROR(((0+JB11+JB12+JB13+JB14+JB15+JB16+JB17+JB19+JB20+JB21+JB22+JB23+JB24+JB25+JB27+JB28+JB29+JB30+JB31+JB32+JB33+JB35+JB36+JB37+JB38+JB39+JB40+JB41+JB43+JB44+JB45+JB46+JB47+JB48)/T2),0)</f>
        <v/>
      </c>
      <c r="JL48" s="5">
        <f>IFERROR(ROUND(JB48/JD48,2),0)</f>
        <v/>
      </c>
      <c r="JM48" s="5">
        <f>IFERROR(ROUND(JB48/JE48,2),0)</f>
        <v/>
      </c>
    </row>
    <row r="49">
      <c r="A49" s="2" t="inlineStr">
        <is>
          <t>2023-10-24</t>
        </is>
      </c>
      <c r="B49" s="5">
        <f>ROUND(0.0,2)</f>
        <v/>
      </c>
      <c r="C49" s="3">
        <f>ROUND(0.0,2)</f>
        <v/>
      </c>
      <c r="D49" s="3">
        <f>ROUND(0.0,2)</f>
        <v/>
      </c>
      <c r="E49" s="3">
        <f>ROUND(0.0,2)</f>
        <v/>
      </c>
      <c r="F49" s="3">
        <f>ROUND(0.0,2)</f>
        <v/>
      </c>
      <c r="G49" s="3">
        <f>ROUND(0.0,2)</f>
        <v/>
      </c>
      <c r="H49" s="3">
        <f>ROUND(0.0,2)</f>
        <v/>
      </c>
      <c r="I49" s="3">
        <f>ROUND(0.0,2)</f>
        <v/>
      </c>
      <c r="J49" s="4">
        <f>IFERROR((D49/C49),0)</f>
        <v/>
      </c>
      <c r="K49" s="4">
        <f>IFERROR(((0+B11+B12+B13+B14+B15+B16+B17+B19+B20+B21+B22+B23+B24+B25+B27+B28+B29+B30+B31+B32+B33+B35+B36+B37+B38+B39+B40+B41+B43+B44+B45+B46+B47+B48+B49)/T2),0)</f>
        <v/>
      </c>
      <c r="L49" s="5">
        <f>IFERROR(ROUND(B49/D49,2),0)</f>
        <v/>
      </c>
      <c r="M49" s="5">
        <f>IFERROR(ROUND(B49/E49,2),0)</f>
        <v/>
      </c>
      <c r="N49" s="2" t="inlineStr">
        <is>
          <t>2023-10-24</t>
        </is>
      </c>
      <c r="O49" s="5">
        <f>ROUND(0.0,2)</f>
        <v/>
      </c>
      <c r="P49" s="3">
        <f>ROUND(0.0,2)</f>
        <v/>
      </c>
      <c r="Q49" s="3">
        <f>ROUND(0.0,2)</f>
        <v/>
      </c>
      <c r="R49" s="3">
        <f>ROUND(0.0,2)</f>
        <v/>
      </c>
      <c r="S49" s="3">
        <f>ROUND(0.0,2)</f>
        <v/>
      </c>
      <c r="T49" s="3">
        <f>ROUND(0.0,2)</f>
        <v/>
      </c>
      <c r="U49" s="3">
        <f>ROUND(0.0,2)</f>
        <v/>
      </c>
      <c r="V49" s="3">
        <f>ROUND(0.0,2)</f>
        <v/>
      </c>
      <c r="W49" s="4">
        <f>IFERROR((Q49/P49),0)</f>
        <v/>
      </c>
      <c r="X49" s="4">
        <f>IFERROR(((0+O11+O12+O13+O14+O15+O16+O17+O19+O20+O21+O22+O23+O24+O25+O27+O28+O29+O30+O31+O32+O33+O35+O36+O37+O38+O39+O40+O41+O43+O44+O45+O46+O47+O48+O49)/T2),0)</f>
        <v/>
      </c>
      <c r="Y49" s="5">
        <f>IFERROR(ROUND(O49/Q49,2),0)</f>
        <v/>
      </c>
      <c r="Z49" s="5">
        <f>IFERROR(ROUND(O49/R49,2),0)</f>
        <v/>
      </c>
      <c r="AA49" s="2" t="inlineStr">
        <is>
          <t>2023-10-24</t>
        </is>
      </c>
      <c r="AB49" s="5">
        <f>ROUND(0.0,2)</f>
        <v/>
      </c>
      <c r="AC49" s="3">
        <f>ROUND(0.0,2)</f>
        <v/>
      </c>
      <c r="AD49" s="3">
        <f>ROUND(0.0,2)</f>
        <v/>
      </c>
      <c r="AE49" s="3">
        <f>ROUND(0.0,2)</f>
        <v/>
      </c>
      <c r="AF49" s="3">
        <f>ROUND(0.0,2)</f>
        <v/>
      </c>
      <c r="AG49" s="3">
        <f>ROUND(0.0,2)</f>
        <v/>
      </c>
      <c r="AH49" s="3">
        <f>ROUND(0.0,2)</f>
        <v/>
      </c>
      <c r="AI49" s="3">
        <f>ROUND(0.0,2)</f>
        <v/>
      </c>
      <c r="AJ49" s="4">
        <f>IFERROR((AD49/AC49),0)</f>
        <v/>
      </c>
      <c r="AK49" s="4">
        <f>IFERROR(((0+AB11+AB12+AB13+AB14+AB15+AB16+AB17+AB19+AB20+AB21+AB22+AB23+AB24+AB25+AB27+AB28+AB29+AB30+AB31+AB32+AB33+AB35+AB36+AB37+AB38+AB39+AB40+AB41+AB43+AB44+AB45+AB46+AB47+AB48+AB49)/T2),0)</f>
        <v/>
      </c>
      <c r="AL49" s="5">
        <f>IFERROR(ROUND(AB49/AD49,2),0)</f>
        <v/>
      </c>
      <c r="AM49" s="5">
        <f>IFERROR(ROUND(AB49/AE49,2),0)</f>
        <v/>
      </c>
      <c r="AN49" s="2" t="inlineStr">
        <is>
          <t>2023-10-24</t>
        </is>
      </c>
      <c r="AO49" s="5">
        <f>ROUND(0.0,2)</f>
        <v/>
      </c>
      <c r="AP49" s="3">
        <f>ROUND(0.0,2)</f>
        <v/>
      </c>
      <c r="AQ49" s="3">
        <f>ROUND(0.0,2)</f>
        <v/>
      </c>
      <c r="AR49" s="3">
        <f>ROUND(0.0,2)</f>
        <v/>
      </c>
      <c r="AS49" s="3">
        <f>ROUND(0.0,2)</f>
        <v/>
      </c>
      <c r="AT49" s="3">
        <f>ROUND(0.0,2)</f>
        <v/>
      </c>
      <c r="AU49" s="3">
        <f>ROUND(0.0,2)</f>
        <v/>
      </c>
      <c r="AV49" s="3">
        <f>ROUND(0.0,2)</f>
        <v/>
      </c>
      <c r="AW49" s="4">
        <f>IFERROR((AQ49/AP49),0)</f>
        <v/>
      </c>
      <c r="AX49" s="4">
        <f>IFERROR(((0+AO11+AO12+AO13+AO14+AO15+AO16+AO17+AO19+AO20+AO21+AO22+AO23+AO24+AO25+AO27+AO28+AO29+AO30+AO31+AO32+AO33+AO35+AO36+AO37+AO38+AO39+AO40+AO41+AO43+AO44+AO45+AO46+AO47+AO48+AO49)/T2),0)</f>
        <v/>
      </c>
      <c r="AY49" s="5">
        <f>IFERROR(ROUND(AO49/AQ49,2),0)</f>
        <v/>
      </c>
      <c r="AZ49" s="5">
        <f>IFERROR(ROUND(AO49/AR49,2),0)</f>
        <v/>
      </c>
      <c r="BA49" s="2" t="inlineStr">
        <is>
          <t>2023-10-24</t>
        </is>
      </c>
      <c r="BB49" s="5">
        <f>ROUND(0.0,2)</f>
        <v/>
      </c>
      <c r="BC49" s="3">
        <f>ROUND(0.0,2)</f>
        <v/>
      </c>
      <c r="BD49" s="3">
        <f>ROUND(0.0,2)</f>
        <v/>
      </c>
      <c r="BE49" s="3">
        <f>ROUND(0.0,2)</f>
        <v/>
      </c>
      <c r="BF49" s="3">
        <f>ROUND(0.0,2)</f>
        <v/>
      </c>
      <c r="BG49" s="3">
        <f>ROUND(0.0,2)</f>
        <v/>
      </c>
      <c r="BH49" s="3">
        <f>ROUND(0.0,2)</f>
        <v/>
      </c>
      <c r="BI49" s="3">
        <f>ROUND(0.0,2)</f>
        <v/>
      </c>
      <c r="BJ49" s="4">
        <f>IFERROR((BD49/BC49),0)</f>
        <v/>
      </c>
      <c r="BK49" s="4">
        <f>IFERROR(((0+BB11+BB12+BB13+BB14+BB15+BB16+BB17+BB19+BB20+BB21+BB22+BB23+BB24+BB25+BB27+BB28+BB29+BB30+BB31+BB32+BB33+BB35+BB36+BB37+BB38+BB39+BB40+BB41+BB43+BB44+BB45+BB46+BB47+BB48+BB49)/T2),0)</f>
        <v/>
      </c>
      <c r="BL49" s="5">
        <f>IFERROR(ROUND(BB49/BD49,2),0)</f>
        <v/>
      </c>
      <c r="BM49" s="5">
        <f>IFERROR(ROUND(BB49/BE49,2),0)</f>
        <v/>
      </c>
      <c r="BN49" s="2" t="inlineStr">
        <is>
          <t>2023-10-24</t>
        </is>
      </c>
      <c r="BO49" s="5">
        <f>ROUND(0.0,2)</f>
        <v/>
      </c>
      <c r="BP49" s="3">
        <f>ROUND(0.0,2)</f>
        <v/>
      </c>
      <c r="BQ49" s="3">
        <f>ROUND(0.0,2)</f>
        <v/>
      </c>
      <c r="BR49" s="3">
        <f>ROUND(0.0,2)</f>
        <v/>
      </c>
      <c r="BS49" s="3">
        <f>ROUND(0.0,2)</f>
        <v/>
      </c>
      <c r="BT49" s="3">
        <f>ROUND(0.0,2)</f>
        <v/>
      </c>
      <c r="BU49" s="3">
        <f>ROUND(0.0,2)</f>
        <v/>
      </c>
      <c r="BV49" s="3">
        <f>ROUND(0.0,2)</f>
        <v/>
      </c>
      <c r="BW49" s="4">
        <f>IFERROR((BQ49/BP49),0)</f>
        <v/>
      </c>
      <c r="BX49" s="4">
        <f>IFERROR(((0+BO11+BO12+BO13+BO14+BO15+BO16+BO17+BO19+BO20+BO21+BO22+BO23+BO24+BO25+BO27+BO28+BO29+BO30+BO31+BO32+BO33+BO35+BO36+BO37+BO38+BO39+BO40+BO41+BO43+BO44+BO45+BO46+BO47+BO48+BO49)/T2),0)</f>
        <v/>
      </c>
      <c r="BY49" s="5">
        <f>IFERROR(ROUND(BO49/BQ49,2),0)</f>
        <v/>
      </c>
      <c r="BZ49" s="5">
        <f>IFERROR(ROUND(BO49/BR49,2),0)</f>
        <v/>
      </c>
      <c r="CA49" s="2" t="inlineStr">
        <is>
          <t>2023-10-24</t>
        </is>
      </c>
      <c r="CB49" s="5">
        <f>ROUND(0.0,2)</f>
        <v/>
      </c>
      <c r="CC49" s="3">
        <f>ROUND(0.0,2)</f>
        <v/>
      </c>
      <c r="CD49" s="3">
        <f>ROUND(0.0,2)</f>
        <v/>
      </c>
      <c r="CE49" s="3">
        <f>ROUND(0.0,2)</f>
        <v/>
      </c>
      <c r="CF49" s="3">
        <f>ROUND(0.0,2)</f>
        <v/>
      </c>
      <c r="CG49" s="3">
        <f>ROUND(0.0,2)</f>
        <v/>
      </c>
      <c r="CH49" s="3">
        <f>ROUND(0.0,2)</f>
        <v/>
      </c>
      <c r="CI49" s="3">
        <f>ROUND(0.0,2)</f>
        <v/>
      </c>
      <c r="CJ49" s="4">
        <f>IFERROR((CD49/CC49),0)</f>
        <v/>
      </c>
      <c r="CK49" s="4">
        <f>IFERROR(((0+CB11+CB12+CB13+CB14+CB15+CB16+CB17+CB19+CB20+CB21+CB22+CB23+CB24+CB25+CB27+CB28+CB29+CB30+CB31+CB32+CB33+CB35+CB36+CB37+CB38+CB39+CB40+CB41+CB43+CB44+CB45+CB46+CB47+CB48+CB49)/T2),0)</f>
        <v/>
      </c>
      <c r="CL49" s="5">
        <f>IFERROR(ROUND(CB49/CD49,2),0)</f>
        <v/>
      </c>
      <c r="CM49" s="5">
        <f>IFERROR(ROUND(CB49/CE49,2),0)</f>
        <v/>
      </c>
      <c r="CN49" s="2" t="inlineStr">
        <is>
          <t>2023-10-24</t>
        </is>
      </c>
      <c r="CO49" s="5">
        <f>ROUND(0.0,2)</f>
        <v/>
      </c>
      <c r="CP49" s="3">
        <f>ROUND(0.0,2)</f>
        <v/>
      </c>
      <c r="CQ49" s="3">
        <f>ROUND(0.0,2)</f>
        <v/>
      </c>
      <c r="CR49" s="3">
        <f>ROUND(0.0,2)</f>
        <v/>
      </c>
      <c r="CS49" s="3">
        <f>ROUND(0.0,2)</f>
        <v/>
      </c>
      <c r="CT49" s="3">
        <f>ROUND(0.0,2)</f>
        <v/>
      </c>
      <c r="CU49" s="3">
        <f>ROUND(0.0,2)</f>
        <v/>
      </c>
      <c r="CV49" s="3">
        <f>ROUND(0.0,2)</f>
        <v/>
      </c>
      <c r="CW49" s="4">
        <f>IFERROR((CQ49/CP49),0)</f>
        <v/>
      </c>
      <c r="CX49" s="4">
        <f>IFERROR(((0+CO11+CO12+CO13+CO14+CO15+CO16+CO17+CO19+CO20+CO21+CO22+CO23+CO24+CO25+CO27+CO28+CO29+CO30+CO31+CO32+CO33+CO35+CO36+CO37+CO38+CO39+CO40+CO41+CO43+CO44+CO45+CO46+CO47+CO48+CO49)/T2),0)</f>
        <v/>
      </c>
      <c r="CY49" s="5">
        <f>IFERROR(ROUND(CO49/CQ49,2),0)</f>
        <v/>
      </c>
      <c r="CZ49" s="5">
        <f>IFERROR(ROUND(CO49/CR49,2),0)</f>
        <v/>
      </c>
      <c r="DA49" s="2" t="inlineStr">
        <is>
          <t>2023-10-24</t>
        </is>
      </c>
      <c r="DB49" s="5">
        <f>ROUND(0.0,2)</f>
        <v/>
      </c>
      <c r="DC49" s="3">
        <f>ROUND(0.0,2)</f>
        <v/>
      </c>
      <c r="DD49" s="3">
        <f>ROUND(0.0,2)</f>
        <v/>
      </c>
      <c r="DE49" s="3">
        <f>ROUND(0.0,2)</f>
        <v/>
      </c>
      <c r="DF49" s="3">
        <f>ROUND(0.0,2)</f>
        <v/>
      </c>
      <c r="DG49" s="3">
        <f>ROUND(0.0,2)</f>
        <v/>
      </c>
      <c r="DH49" s="3">
        <f>ROUND(0.0,2)</f>
        <v/>
      </c>
      <c r="DI49" s="3">
        <f>ROUND(0.0,2)</f>
        <v/>
      </c>
      <c r="DJ49" s="4">
        <f>IFERROR((DD49/DC49),0)</f>
        <v/>
      </c>
      <c r="DK49" s="4">
        <f>IFERROR(((0+DB11+DB12+DB13+DB14+DB15+DB16+DB17+DB19+DB20+DB21+DB22+DB23+DB24+DB25+DB27+DB28+DB29+DB30+DB31+DB32+DB33+DB35+DB36+DB37+DB38+DB39+DB40+DB41+DB43+DB44+DB45+DB46+DB47+DB48+DB49)/T2),0)</f>
        <v/>
      </c>
      <c r="DL49" s="5">
        <f>IFERROR(ROUND(DB49/DD49,2),0)</f>
        <v/>
      </c>
      <c r="DM49" s="5">
        <f>IFERROR(ROUND(DB49/DE49,2),0)</f>
        <v/>
      </c>
      <c r="DN49" s="2" t="inlineStr">
        <is>
          <t>2023-10-24</t>
        </is>
      </c>
      <c r="DO49" s="5">
        <f>ROUND(0.0,2)</f>
        <v/>
      </c>
      <c r="DP49" s="3">
        <f>ROUND(0.0,2)</f>
        <v/>
      </c>
      <c r="DQ49" s="3">
        <f>ROUND(0.0,2)</f>
        <v/>
      </c>
      <c r="DR49" s="3">
        <f>ROUND(0.0,2)</f>
        <v/>
      </c>
      <c r="DS49" s="3">
        <f>ROUND(0.0,2)</f>
        <v/>
      </c>
      <c r="DT49" s="3">
        <f>ROUND(0.0,2)</f>
        <v/>
      </c>
      <c r="DU49" s="3">
        <f>ROUND(0.0,2)</f>
        <v/>
      </c>
      <c r="DV49" s="3">
        <f>ROUND(0.0,2)</f>
        <v/>
      </c>
      <c r="DW49" s="4">
        <f>IFERROR((DQ49/DP49),0)</f>
        <v/>
      </c>
      <c r="DX49" s="4">
        <f>IFERROR(((0+DO11+DO12+DO13+DO14+DO15+DO16+DO17+DO19+DO20+DO21+DO22+DO23+DO24+DO25+DO27+DO28+DO29+DO30+DO31+DO32+DO33+DO35+DO36+DO37+DO38+DO39+DO40+DO41+DO43+DO44+DO45+DO46+DO47+DO48+DO49)/T2),0)</f>
        <v/>
      </c>
      <c r="DY49" s="5">
        <f>IFERROR(ROUND(DO49/DQ49,2),0)</f>
        <v/>
      </c>
      <c r="DZ49" s="5">
        <f>IFERROR(ROUND(DO49/DR49,2),0)</f>
        <v/>
      </c>
      <c r="EA49" s="2" t="inlineStr">
        <is>
          <t>2023-10-24</t>
        </is>
      </c>
      <c r="EB49" s="5">
        <f>ROUND(0.0,2)</f>
        <v/>
      </c>
      <c r="EC49" s="3">
        <f>ROUND(0.0,2)</f>
        <v/>
      </c>
      <c r="ED49" s="3">
        <f>ROUND(0.0,2)</f>
        <v/>
      </c>
      <c r="EE49" s="3">
        <f>ROUND(0.0,2)</f>
        <v/>
      </c>
      <c r="EF49" s="3">
        <f>ROUND(0.0,2)</f>
        <v/>
      </c>
      <c r="EG49" s="3">
        <f>ROUND(0.0,2)</f>
        <v/>
      </c>
      <c r="EH49" s="3">
        <f>ROUND(0.0,2)</f>
        <v/>
      </c>
      <c r="EI49" s="3">
        <f>ROUND(0.0,2)</f>
        <v/>
      </c>
      <c r="EJ49" s="4">
        <f>IFERROR((ED49/EC49),0)</f>
        <v/>
      </c>
      <c r="EK49" s="4">
        <f>IFERROR(((0+EB11+EB12+EB13+EB14+EB15+EB16+EB17+EB19+EB20+EB21+EB22+EB23+EB24+EB25+EB27+EB28+EB29+EB30+EB31+EB32+EB33+EB35+EB36+EB37+EB38+EB39+EB40+EB41+EB43+EB44+EB45+EB46+EB47+EB48+EB49)/T2),0)</f>
        <v/>
      </c>
      <c r="EL49" s="5">
        <f>IFERROR(ROUND(EB49/ED49,2),0)</f>
        <v/>
      </c>
      <c r="EM49" s="5">
        <f>IFERROR(ROUND(EB49/EE49,2),0)</f>
        <v/>
      </c>
      <c r="EN49" s="2" t="inlineStr">
        <is>
          <t>2023-10-24</t>
        </is>
      </c>
      <c r="EO49" s="5">
        <f>ROUND(0.0,2)</f>
        <v/>
      </c>
      <c r="EP49" s="3">
        <f>ROUND(0.0,2)</f>
        <v/>
      </c>
      <c r="EQ49" s="3">
        <f>ROUND(0.0,2)</f>
        <v/>
      </c>
      <c r="ER49" s="3">
        <f>ROUND(0.0,2)</f>
        <v/>
      </c>
      <c r="ES49" s="3">
        <f>ROUND(0.0,2)</f>
        <v/>
      </c>
      <c r="ET49" s="3">
        <f>ROUND(0.0,2)</f>
        <v/>
      </c>
      <c r="EU49" s="3">
        <f>ROUND(0.0,2)</f>
        <v/>
      </c>
      <c r="EV49" s="3">
        <f>ROUND(0.0,2)</f>
        <v/>
      </c>
      <c r="EW49" s="4">
        <f>IFERROR((EQ49/EP49),0)</f>
        <v/>
      </c>
      <c r="EX49" s="4">
        <f>IFERROR(((0+EO11+EO12+EO13+EO14+EO15+EO16+EO17+EO19+EO20+EO21+EO22+EO23+EO24+EO25+EO27+EO28+EO29+EO30+EO31+EO32+EO33+EO35+EO36+EO37+EO38+EO39+EO40+EO41+EO43+EO44+EO45+EO46+EO47+EO48+EO49)/T2),0)</f>
        <v/>
      </c>
      <c r="EY49" s="5">
        <f>IFERROR(ROUND(EO49/EQ49,2),0)</f>
        <v/>
      </c>
      <c r="EZ49" s="5">
        <f>IFERROR(ROUND(EO49/ER49,2),0)</f>
        <v/>
      </c>
      <c r="FA49" s="2" t="inlineStr">
        <is>
          <t>2023-10-24</t>
        </is>
      </c>
      <c r="FB49" s="5">
        <f>ROUND(0.0,2)</f>
        <v/>
      </c>
      <c r="FC49" s="3">
        <f>ROUND(0.0,2)</f>
        <v/>
      </c>
      <c r="FD49" s="3">
        <f>ROUND(0.0,2)</f>
        <v/>
      </c>
      <c r="FE49" s="3">
        <f>ROUND(0.0,2)</f>
        <v/>
      </c>
      <c r="FF49" s="3">
        <f>ROUND(0.0,2)</f>
        <v/>
      </c>
      <c r="FG49" s="3">
        <f>ROUND(0.0,2)</f>
        <v/>
      </c>
      <c r="FH49" s="3">
        <f>ROUND(0.0,2)</f>
        <v/>
      </c>
      <c r="FI49" s="3">
        <f>ROUND(0.0,2)</f>
        <v/>
      </c>
      <c r="FJ49" s="4">
        <f>IFERROR((FD49/FC49),0)</f>
        <v/>
      </c>
      <c r="FK49" s="4">
        <f>IFERROR(((0+FB11+FB12+FB13+FB14+FB15+FB16+FB17+FB19+FB20+FB21+FB22+FB23+FB24+FB25+FB27+FB28+FB29+FB30+FB31+FB32+FB33+FB35+FB36+FB37+FB38+FB39+FB40+FB41+FB43+FB44+FB45+FB46+FB47+FB48+FB49)/T2),0)</f>
        <v/>
      </c>
      <c r="FL49" s="5">
        <f>IFERROR(ROUND(FB49/FD49,2),0)</f>
        <v/>
      </c>
      <c r="FM49" s="5">
        <f>IFERROR(ROUND(FB49/FE49,2),0)</f>
        <v/>
      </c>
      <c r="FN49" s="2" t="inlineStr">
        <is>
          <t>2023-10-24</t>
        </is>
      </c>
      <c r="FO49" s="5">
        <f>ROUND(0.0,2)</f>
        <v/>
      </c>
      <c r="FP49" s="3">
        <f>ROUND(0.0,2)</f>
        <v/>
      </c>
      <c r="FQ49" s="3">
        <f>ROUND(0.0,2)</f>
        <v/>
      </c>
      <c r="FR49" s="3">
        <f>ROUND(0.0,2)</f>
        <v/>
      </c>
      <c r="FS49" s="3">
        <f>ROUND(0.0,2)</f>
        <v/>
      </c>
      <c r="FT49" s="3">
        <f>ROUND(0.0,2)</f>
        <v/>
      </c>
      <c r="FU49" s="3">
        <f>ROUND(0.0,2)</f>
        <v/>
      </c>
      <c r="FV49" s="3">
        <f>ROUND(0.0,2)</f>
        <v/>
      </c>
      <c r="FW49" s="4">
        <f>IFERROR((FQ49/FP49),0)</f>
        <v/>
      </c>
      <c r="FX49" s="4">
        <f>IFERROR(((0+FO11+FO12+FO13+FO14+FO15+FO16+FO17+FO19+FO20+FO21+FO22+FO23+FO24+FO25+FO27+FO28+FO29+FO30+FO31+FO32+FO33+FO35+FO36+FO37+FO38+FO39+FO40+FO41+FO43+FO44+FO45+FO46+FO47+FO48+FO49)/T2),0)</f>
        <v/>
      </c>
      <c r="FY49" s="5">
        <f>IFERROR(ROUND(FO49/FQ49,2),0)</f>
        <v/>
      </c>
      <c r="FZ49" s="5">
        <f>IFERROR(ROUND(FO49/FR49,2),0)</f>
        <v/>
      </c>
      <c r="GA49" s="2" t="inlineStr">
        <is>
          <t>2023-10-24</t>
        </is>
      </c>
      <c r="GB49" s="5">
        <f>ROUND(0.0,2)</f>
        <v/>
      </c>
      <c r="GC49" s="3">
        <f>ROUND(0.0,2)</f>
        <v/>
      </c>
      <c r="GD49" s="3">
        <f>ROUND(0.0,2)</f>
        <v/>
      </c>
      <c r="GE49" s="3">
        <f>ROUND(0.0,2)</f>
        <v/>
      </c>
      <c r="GF49" s="3">
        <f>ROUND(0.0,2)</f>
        <v/>
      </c>
      <c r="GG49" s="3">
        <f>ROUND(0.0,2)</f>
        <v/>
      </c>
      <c r="GH49" s="3">
        <f>ROUND(0.0,2)</f>
        <v/>
      </c>
      <c r="GI49" s="3">
        <f>ROUND(0.0,2)</f>
        <v/>
      </c>
      <c r="GJ49" s="4">
        <f>IFERROR((GD49/GC49),0)</f>
        <v/>
      </c>
      <c r="GK49" s="4">
        <f>IFERROR(((0+GB11+GB12+GB13+GB14+GB15+GB16+GB17+GB19+GB20+GB21+GB22+GB23+GB24+GB25+GB27+GB28+GB29+GB30+GB31+GB32+GB33+GB35+GB36+GB37+GB38+GB39+GB40+GB41+GB43+GB44+GB45+GB46+GB47+GB48+GB49)/T2),0)</f>
        <v/>
      </c>
      <c r="GL49" s="5">
        <f>IFERROR(ROUND(GB49/GD49,2),0)</f>
        <v/>
      </c>
      <c r="GM49" s="5">
        <f>IFERROR(ROUND(GB49/GE49,2),0)</f>
        <v/>
      </c>
      <c r="GN49" s="2" t="inlineStr">
        <is>
          <t>2023-10-24</t>
        </is>
      </c>
      <c r="GO49" s="5">
        <f>ROUND(0.0,2)</f>
        <v/>
      </c>
      <c r="GP49" s="3">
        <f>ROUND(0.0,2)</f>
        <v/>
      </c>
      <c r="GQ49" s="3">
        <f>ROUND(0.0,2)</f>
        <v/>
      </c>
      <c r="GR49" s="3">
        <f>ROUND(0.0,2)</f>
        <v/>
      </c>
      <c r="GS49" s="3">
        <f>ROUND(0.0,2)</f>
        <v/>
      </c>
      <c r="GT49" s="3">
        <f>ROUND(0.0,2)</f>
        <v/>
      </c>
      <c r="GU49" s="3">
        <f>ROUND(0.0,2)</f>
        <v/>
      </c>
      <c r="GV49" s="3">
        <f>ROUND(0.0,2)</f>
        <v/>
      </c>
      <c r="GW49" s="4">
        <f>IFERROR((GQ49/GP49),0)</f>
        <v/>
      </c>
      <c r="GX49" s="4">
        <f>IFERROR(((0+GO11+GO12+GO13+GO14+GO15+GO16+GO17+GO19+GO20+GO21+GO22+GO23+GO24+GO25+GO27+GO28+GO29+GO30+GO31+GO32+GO33+GO35+GO36+GO37+GO38+GO39+GO40+GO41+GO43+GO44+GO45+GO46+GO47+GO48+GO49)/T2),0)</f>
        <v/>
      </c>
      <c r="GY49" s="5">
        <f>IFERROR(ROUND(GO49/GQ49,2),0)</f>
        <v/>
      </c>
      <c r="GZ49" s="5">
        <f>IFERROR(ROUND(GO49/GR49,2),0)</f>
        <v/>
      </c>
      <c r="HA49" s="2" t="inlineStr">
        <is>
          <t>2023-10-24</t>
        </is>
      </c>
      <c r="HB49" s="5">
        <f>ROUND(0.0,2)</f>
        <v/>
      </c>
      <c r="HC49" s="3">
        <f>ROUND(0.0,2)</f>
        <v/>
      </c>
      <c r="HD49" s="3">
        <f>ROUND(0.0,2)</f>
        <v/>
      </c>
      <c r="HE49" s="3">
        <f>ROUND(0.0,2)</f>
        <v/>
      </c>
      <c r="HF49" s="3">
        <f>ROUND(0.0,2)</f>
        <v/>
      </c>
      <c r="HG49" s="3">
        <f>ROUND(0.0,2)</f>
        <v/>
      </c>
      <c r="HH49" s="3">
        <f>ROUND(0.0,2)</f>
        <v/>
      </c>
      <c r="HI49" s="3">
        <f>ROUND(0.0,2)</f>
        <v/>
      </c>
      <c r="HJ49" s="4">
        <f>IFERROR((HD49/HC49),0)</f>
        <v/>
      </c>
      <c r="HK49" s="4">
        <f>IFERROR(((0+HB11+HB12+HB13+HB14+HB15+HB16+HB17+HB19+HB20+HB21+HB22+HB23+HB24+HB25+HB27+HB28+HB29+HB30+HB31+HB32+HB33+HB35+HB36+HB37+HB38+HB39+HB40+HB41+HB43+HB44+HB45+HB46+HB47+HB48+HB49)/T2),0)</f>
        <v/>
      </c>
      <c r="HL49" s="5">
        <f>IFERROR(ROUND(HB49/HD49,2),0)</f>
        <v/>
      </c>
      <c r="HM49" s="5">
        <f>IFERROR(ROUND(HB49/HE49,2),0)</f>
        <v/>
      </c>
      <c r="HN49" s="2" t="inlineStr">
        <is>
          <t>2023-10-24</t>
        </is>
      </c>
      <c r="HO49" s="5">
        <f>ROUND(0.0,2)</f>
        <v/>
      </c>
      <c r="HP49" s="3">
        <f>ROUND(0.0,2)</f>
        <v/>
      </c>
      <c r="HQ49" s="3">
        <f>ROUND(0.0,2)</f>
        <v/>
      </c>
      <c r="HR49" s="3">
        <f>ROUND(0.0,2)</f>
        <v/>
      </c>
      <c r="HS49" s="3">
        <f>ROUND(0.0,2)</f>
        <v/>
      </c>
      <c r="HT49" s="3">
        <f>ROUND(0.0,2)</f>
        <v/>
      </c>
      <c r="HU49" s="3">
        <f>ROUND(0.0,2)</f>
        <v/>
      </c>
      <c r="HV49" s="3">
        <f>ROUND(0.0,2)</f>
        <v/>
      </c>
      <c r="HW49" s="4">
        <f>IFERROR((HQ49/HP49),0)</f>
        <v/>
      </c>
      <c r="HX49" s="4">
        <f>IFERROR(((0+HO11+HO12+HO13+HO14+HO15+HO16+HO17+HO19+HO20+HO21+HO22+HO23+HO24+HO25+HO27+HO28+HO29+HO30+HO31+HO32+HO33+HO35+HO36+HO37+HO38+HO39+HO40+HO41+HO43+HO44+HO45+HO46+HO47+HO48+HO49)/T2),0)</f>
        <v/>
      </c>
      <c r="HY49" s="5">
        <f>IFERROR(ROUND(HO49/HQ49,2),0)</f>
        <v/>
      </c>
      <c r="HZ49" s="5">
        <f>IFERROR(ROUND(HO49/HR49,2),0)</f>
        <v/>
      </c>
      <c r="IA49" s="2" t="inlineStr">
        <is>
          <t>2023-10-24</t>
        </is>
      </c>
      <c r="IB49" s="5">
        <f>ROUND(0.0,2)</f>
        <v/>
      </c>
      <c r="IC49" s="3">
        <f>ROUND(0.0,2)</f>
        <v/>
      </c>
      <c r="ID49" s="3">
        <f>ROUND(0.0,2)</f>
        <v/>
      </c>
      <c r="IE49" s="3">
        <f>ROUND(0.0,2)</f>
        <v/>
      </c>
      <c r="IF49" s="3">
        <f>ROUND(0.0,2)</f>
        <v/>
      </c>
      <c r="IG49" s="3">
        <f>ROUND(0.0,2)</f>
        <v/>
      </c>
      <c r="IH49" s="3">
        <f>ROUND(0.0,2)</f>
        <v/>
      </c>
      <c r="II49" s="3">
        <f>ROUND(0.0,2)</f>
        <v/>
      </c>
      <c r="IJ49" s="4">
        <f>IFERROR((ID49/IC49),0)</f>
        <v/>
      </c>
      <c r="IK49" s="4">
        <f>IFERROR(((0+IB11+IB12+IB13+IB14+IB15+IB16+IB17+IB19+IB20+IB21+IB22+IB23+IB24+IB25+IB27+IB28+IB29+IB30+IB31+IB32+IB33+IB35+IB36+IB37+IB38+IB39+IB40+IB41+IB43+IB44+IB45+IB46+IB47+IB48+IB49)/T2),0)</f>
        <v/>
      </c>
      <c r="IL49" s="5">
        <f>IFERROR(ROUND(IB49/ID49,2),0)</f>
        <v/>
      </c>
      <c r="IM49" s="5">
        <f>IFERROR(ROUND(IB49/IE49,2),0)</f>
        <v/>
      </c>
      <c r="IN49" s="2" t="inlineStr">
        <is>
          <t>2023-10-24</t>
        </is>
      </c>
      <c r="IO49" s="5">
        <f>ROUND(0.0,2)</f>
        <v/>
      </c>
      <c r="IP49" s="3">
        <f>ROUND(0.0,2)</f>
        <v/>
      </c>
      <c r="IQ49" s="3">
        <f>ROUND(0.0,2)</f>
        <v/>
      </c>
      <c r="IR49" s="3">
        <f>ROUND(0.0,2)</f>
        <v/>
      </c>
      <c r="IS49" s="3">
        <f>ROUND(0.0,2)</f>
        <v/>
      </c>
      <c r="IT49" s="3">
        <f>ROUND(0.0,2)</f>
        <v/>
      </c>
      <c r="IU49" s="3">
        <f>ROUND(0.0,2)</f>
        <v/>
      </c>
      <c r="IV49" s="3">
        <f>ROUND(0.0,2)</f>
        <v/>
      </c>
      <c r="IW49" s="4">
        <f>IFERROR((IQ49/IP49),0)</f>
        <v/>
      </c>
      <c r="IX49" s="4">
        <f>IFERROR(((0+IO11+IO12+IO13+IO14+IO15+IO16+IO17+IO19+IO20+IO21+IO22+IO23+IO24+IO25+IO27+IO28+IO29+IO30+IO31+IO32+IO33+IO35+IO36+IO37+IO38+IO39+IO40+IO41+IO43+IO44+IO45+IO46+IO47+IO48+IO49)/T2),0)</f>
        <v/>
      </c>
      <c r="IY49" s="5">
        <f>IFERROR(ROUND(IO49/IQ49,2),0)</f>
        <v/>
      </c>
      <c r="IZ49" s="5">
        <f>IFERROR(ROUND(IO49/IR49,2),0)</f>
        <v/>
      </c>
      <c r="JA49" s="2" t="inlineStr">
        <is>
          <t>2023-10-24</t>
        </is>
      </c>
      <c r="JB49" s="5">
        <f>ROUND(0.0,2)</f>
        <v/>
      </c>
      <c r="JC49" s="3">
        <f>ROUND(0.0,2)</f>
        <v/>
      </c>
      <c r="JD49" s="3">
        <f>ROUND(0.0,2)</f>
        <v/>
      </c>
      <c r="JE49" s="3">
        <f>ROUND(0.0,2)</f>
        <v/>
      </c>
      <c r="JF49" s="3">
        <f>ROUND(0.0,2)</f>
        <v/>
      </c>
      <c r="JG49" s="3">
        <f>ROUND(0.0,2)</f>
        <v/>
      </c>
      <c r="JH49" s="3">
        <f>ROUND(0.0,2)</f>
        <v/>
      </c>
      <c r="JI49" s="3">
        <f>ROUND(0.0,2)</f>
        <v/>
      </c>
      <c r="JJ49" s="4">
        <f>IFERROR((JD49/JC49),0)</f>
        <v/>
      </c>
      <c r="JK49" s="4">
        <f>IFERROR(((0+JB11+JB12+JB13+JB14+JB15+JB16+JB17+JB19+JB20+JB21+JB22+JB23+JB24+JB25+JB27+JB28+JB29+JB30+JB31+JB32+JB33+JB35+JB36+JB37+JB38+JB39+JB40+JB41+JB43+JB44+JB45+JB46+JB47+JB48+JB49)/T2),0)</f>
        <v/>
      </c>
      <c r="JL49" s="5">
        <f>IFERROR(ROUND(JB49/JD49,2),0)</f>
        <v/>
      </c>
      <c r="JM49" s="5">
        <f>IFERROR(ROUND(JB49/JE49,2),0)</f>
        <v/>
      </c>
    </row>
    <row r="50">
      <c r="A50" s="2" t="inlineStr">
        <is>
          <t>5 Weekly Total</t>
        </is>
      </c>
      <c r="B50" s="5">
        <f>ROUND(191.21,2)</f>
        <v/>
      </c>
      <c r="C50" s="3">
        <f>ROUND(22386.0,2)</f>
        <v/>
      </c>
      <c r="D50" s="3">
        <f>ROUND(772.0,2)</f>
        <v/>
      </c>
      <c r="E50" s="3">
        <f>ROUND(1771.0,2)</f>
        <v/>
      </c>
      <c r="F50" s="3">
        <f>ROUND(1524.0,2)</f>
        <v/>
      </c>
      <c r="G50" s="3">
        <f>ROUND(629.0,2)</f>
        <v/>
      </c>
      <c r="H50" s="3">
        <f>ROUND(442.0,2)</f>
        <v/>
      </c>
      <c r="I50" s="3">
        <f>ROUND(321.0,2)</f>
        <v/>
      </c>
      <c r="J50" s="4">
        <f>IFERROR((D50/C50),0)</f>
        <v/>
      </c>
      <c r="K50" s="4">
        <f>IFERROR(((0+B11+B12+B13+B14+B15+B16+B17+B19+B20+B21+B22+B23+B24+B25+B27+B28+B29+B30+B31+B32+B33+B35+B36+B37+B38+B39+B40+B41+B43+B44+B45+B46+B47+B48+B49)/T2),0)</f>
        <v/>
      </c>
      <c r="L50" s="5">
        <f>IFERROR(ROUND(B50/D50,2),0)</f>
        <v/>
      </c>
      <c r="M50" s="5">
        <f>IFERROR(ROUND(B50/E50,2),0)</f>
        <v/>
      </c>
      <c r="N50" s="2" t="inlineStr">
        <is>
          <t>5 Weekly Total</t>
        </is>
      </c>
      <c r="O50" s="5">
        <f>ROUND(5.69,2)</f>
        <v/>
      </c>
      <c r="P50" s="3">
        <f>ROUND(616.0,2)</f>
        <v/>
      </c>
      <c r="Q50" s="3">
        <f>ROUND(23.0,2)</f>
        <v/>
      </c>
      <c r="R50" s="3">
        <f>ROUND(25.0,2)</f>
        <v/>
      </c>
      <c r="S50" s="3">
        <f>ROUND(22.0,2)</f>
        <v/>
      </c>
      <c r="T50" s="3">
        <f>ROUND(8.0,2)</f>
        <v/>
      </c>
      <c r="U50" s="3">
        <f>ROUND(6.0,2)</f>
        <v/>
      </c>
      <c r="V50" s="3">
        <f>ROUND(7.0,2)</f>
        <v/>
      </c>
      <c r="W50" s="4">
        <f>IFERROR((Q50/P50),0)</f>
        <v/>
      </c>
      <c r="X50" s="4">
        <f>IFERROR(((0+O11+O12+O13+O14+O15+O16+O17+O19+O20+O21+O22+O23+O24+O25+O27+O28+O29+O30+O31+O32+O33+O35+O36+O37+O38+O39+O40+O41+O43+O44+O45+O46+O47+O48+O49)/T2),0)</f>
        <v/>
      </c>
      <c r="Y50" s="5">
        <f>IFERROR(ROUND(O50/Q50,2),0)</f>
        <v/>
      </c>
      <c r="Z50" s="5">
        <f>IFERROR(ROUND(O50/R50,2),0)</f>
        <v/>
      </c>
      <c r="AA50" s="2" t="inlineStr">
        <is>
          <t>5 Weekly Total</t>
        </is>
      </c>
      <c r="AB50" s="5">
        <f>ROUND(24.7,2)</f>
        <v/>
      </c>
      <c r="AC50" s="3">
        <f>ROUND(2771.0,2)</f>
        <v/>
      </c>
      <c r="AD50" s="3">
        <f>ROUND(95.0,2)</f>
        <v/>
      </c>
      <c r="AE50" s="3">
        <f>ROUND(23.0,2)</f>
        <v/>
      </c>
      <c r="AF50" s="3">
        <f>ROUND(20.0,2)</f>
        <v/>
      </c>
      <c r="AG50" s="3">
        <f>ROUND(11.0,2)</f>
        <v/>
      </c>
      <c r="AH50" s="3">
        <f>ROUND(8.0,2)</f>
        <v/>
      </c>
      <c r="AI50" s="3">
        <f>ROUND(7.0,2)</f>
        <v/>
      </c>
      <c r="AJ50" s="4">
        <f>IFERROR((AD50/AC50),0)</f>
        <v/>
      </c>
      <c r="AK50" s="4">
        <f>IFERROR(((0+AB11+AB12+AB13+AB14+AB15+AB16+AB17+AB19+AB20+AB21+AB22+AB23+AB24+AB25+AB27+AB28+AB29+AB30+AB31+AB32+AB33+AB35+AB36+AB37+AB38+AB39+AB40+AB41+AB43+AB44+AB45+AB46+AB47+AB48+AB49)/T2),0)</f>
        <v/>
      </c>
      <c r="AL50" s="5">
        <f>IFERROR(ROUND(AB50/AD50,2),0)</f>
        <v/>
      </c>
      <c r="AM50" s="5">
        <f>IFERROR(ROUND(AB50/AE50,2),0)</f>
        <v/>
      </c>
      <c r="AN50" s="2" t="inlineStr">
        <is>
          <t>5 Weekly Total</t>
        </is>
      </c>
      <c r="AO50" s="5">
        <f>ROUND(2.5,2)</f>
        <v/>
      </c>
      <c r="AP50" s="3">
        <f>ROUND(389.0,2)</f>
        <v/>
      </c>
      <c r="AQ50" s="3">
        <f>ROUND(10.0,2)</f>
        <v/>
      </c>
      <c r="AR50" s="3">
        <f>ROUND(37.0,2)</f>
        <v/>
      </c>
      <c r="AS50" s="3">
        <f>ROUND(34.0,2)</f>
        <v/>
      </c>
      <c r="AT50" s="3">
        <f>ROUND(21.0,2)</f>
        <v/>
      </c>
      <c r="AU50" s="3">
        <f>ROUND(16.0,2)</f>
        <v/>
      </c>
      <c r="AV50" s="3">
        <f>ROUND(11.0,2)</f>
        <v/>
      </c>
      <c r="AW50" s="4">
        <f>IFERROR((AQ50/AP50),0)</f>
        <v/>
      </c>
      <c r="AX50" s="4">
        <f>IFERROR(((0+AO11+AO12+AO13+AO14+AO15+AO16+AO17+AO19+AO20+AO21+AO22+AO23+AO24+AO25+AO27+AO28+AO29+AO30+AO31+AO32+AO33+AO35+AO36+AO37+AO38+AO39+AO40+AO41+AO43+AO44+AO45+AO46+AO47+AO48+AO49)/T2),0)</f>
        <v/>
      </c>
      <c r="AY50" s="5">
        <f>IFERROR(ROUND(AO50/AQ50,2),0)</f>
        <v/>
      </c>
      <c r="AZ50" s="5">
        <f>IFERROR(ROUND(AO50/AR50,2),0)</f>
        <v/>
      </c>
      <c r="BA50" s="2" t="inlineStr">
        <is>
          <t>5 Weekly Total</t>
        </is>
      </c>
      <c r="BB50" s="5">
        <f>ROUND(10.76,2)</f>
        <v/>
      </c>
      <c r="BC50" s="3">
        <f>ROUND(1100.0,2)</f>
        <v/>
      </c>
      <c r="BD50" s="3">
        <f>ROUND(42.0,2)</f>
        <v/>
      </c>
      <c r="BE50" s="3">
        <f>ROUND(15.0,2)</f>
        <v/>
      </c>
      <c r="BF50" s="3">
        <f>ROUND(14.0,2)</f>
        <v/>
      </c>
      <c r="BG50" s="3">
        <f>ROUND(7.0,2)</f>
        <v/>
      </c>
      <c r="BH50" s="3">
        <f>ROUND(6.0,2)</f>
        <v/>
      </c>
      <c r="BI50" s="3">
        <f>ROUND(5.0,2)</f>
        <v/>
      </c>
      <c r="BJ50" s="4">
        <f>IFERROR((BD50/BC50),0)</f>
        <v/>
      </c>
      <c r="BK50" s="4">
        <f>IFERROR(((0+BB11+BB12+BB13+BB14+BB15+BB16+BB17+BB19+BB20+BB21+BB22+BB23+BB24+BB25+BB27+BB28+BB29+BB30+BB31+BB32+BB33+BB35+BB36+BB37+BB38+BB39+BB40+BB41+BB43+BB44+BB45+BB46+BB47+BB48+BB49)/T2),0)</f>
        <v/>
      </c>
      <c r="BL50" s="5">
        <f>IFERROR(ROUND(BB50/BD50,2),0)</f>
        <v/>
      </c>
      <c r="BM50" s="5">
        <f>IFERROR(ROUND(BB50/BE50,2),0)</f>
        <v/>
      </c>
      <c r="BN50" s="2" t="inlineStr">
        <is>
          <t>5 Weekly Total</t>
        </is>
      </c>
      <c r="BO50" s="5">
        <f>ROUND(59.32,2)</f>
        <v/>
      </c>
      <c r="BP50" s="3">
        <f>ROUND(6328.0,2)</f>
        <v/>
      </c>
      <c r="BQ50" s="3">
        <f>ROUND(244.0,2)</f>
        <v/>
      </c>
      <c r="BR50" s="3">
        <f>ROUND(869.0,2)</f>
        <v/>
      </c>
      <c r="BS50" s="3">
        <f>ROUND(721.0,2)</f>
        <v/>
      </c>
      <c r="BT50" s="3">
        <f>ROUND(258.0,2)</f>
        <v/>
      </c>
      <c r="BU50" s="3">
        <f>ROUND(181.0,2)</f>
        <v/>
      </c>
      <c r="BV50" s="3">
        <f>ROUND(127.0,2)</f>
        <v/>
      </c>
      <c r="BW50" s="4">
        <f>IFERROR((BQ50/BP50),0)</f>
        <v/>
      </c>
      <c r="BX50" s="4">
        <f>IFERROR(((0+BO11+BO12+BO13+BO14+BO15+BO16+BO17+BO19+BO20+BO21+BO22+BO23+BO24+BO25+BO27+BO28+BO29+BO30+BO31+BO32+BO33+BO35+BO36+BO37+BO38+BO39+BO40+BO41+BO43+BO44+BO45+BO46+BO47+BO48+BO49)/T2),0)</f>
        <v/>
      </c>
      <c r="BY50" s="5">
        <f>IFERROR(ROUND(BO50/BQ50,2),0)</f>
        <v/>
      </c>
      <c r="BZ50" s="5">
        <f>IFERROR(ROUND(BO50/BR50,2),0)</f>
        <v/>
      </c>
      <c r="CA50" s="2" t="inlineStr">
        <is>
          <t>5 Weekly Total</t>
        </is>
      </c>
      <c r="CB50" s="5">
        <f>ROUND(11.51,2)</f>
        <v/>
      </c>
      <c r="CC50" s="3">
        <f>ROUND(1948.0,2)</f>
        <v/>
      </c>
      <c r="CD50" s="3">
        <f>ROUND(47.0,2)</f>
        <v/>
      </c>
      <c r="CE50" s="3">
        <f>ROUND(154.0,2)</f>
        <v/>
      </c>
      <c r="CF50" s="3">
        <f>ROUND(137.0,2)</f>
        <v/>
      </c>
      <c r="CG50" s="3">
        <f>ROUND(49.0,2)</f>
        <v/>
      </c>
      <c r="CH50" s="3">
        <f>ROUND(30.0,2)</f>
        <v/>
      </c>
      <c r="CI50" s="3">
        <f>ROUND(21.0,2)</f>
        <v/>
      </c>
      <c r="CJ50" s="4">
        <f>IFERROR((CD50/CC50),0)</f>
        <v/>
      </c>
      <c r="CK50" s="4">
        <f>IFERROR(((0+CB11+CB12+CB13+CB14+CB15+CB16+CB17+CB19+CB20+CB21+CB22+CB23+CB24+CB25+CB27+CB28+CB29+CB30+CB31+CB32+CB33+CB35+CB36+CB37+CB38+CB39+CB40+CB41+CB43+CB44+CB45+CB46+CB47+CB48+CB49)/T2),0)</f>
        <v/>
      </c>
      <c r="CL50" s="5">
        <f>IFERROR(ROUND(CB50/CD50,2),0)</f>
        <v/>
      </c>
      <c r="CM50" s="5">
        <f>IFERROR(ROUND(CB50/CE50,2),0)</f>
        <v/>
      </c>
      <c r="CN50" s="2" t="inlineStr">
        <is>
          <t>5 Weekly Total</t>
        </is>
      </c>
      <c r="CO50" s="5">
        <f>ROUND(29.18,2)</f>
        <v/>
      </c>
      <c r="CP50" s="3">
        <f>ROUND(2858.0,2)</f>
        <v/>
      </c>
      <c r="CQ50" s="3">
        <f>ROUND(116.0,2)</f>
        <v/>
      </c>
      <c r="CR50" s="3">
        <f>ROUND(48.0,2)</f>
        <v/>
      </c>
      <c r="CS50" s="3">
        <f>ROUND(42.0,2)</f>
        <v/>
      </c>
      <c r="CT50" s="3">
        <f>ROUND(29.0,2)</f>
        <v/>
      </c>
      <c r="CU50" s="3">
        <f>ROUND(26.0,2)</f>
        <v/>
      </c>
      <c r="CV50" s="3">
        <f>ROUND(21.0,2)</f>
        <v/>
      </c>
      <c r="CW50" s="4">
        <f>IFERROR((CQ50/CP50),0)</f>
        <v/>
      </c>
      <c r="CX50" s="4">
        <f>IFERROR(((0+CO11+CO12+CO13+CO14+CO15+CO16+CO17+CO19+CO20+CO21+CO22+CO23+CO24+CO25+CO27+CO28+CO29+CO30+CO31+CO32+CO33+CO35+CO36+CO37+CO38+CO39+CO40+CO41+CO43+CO44+CO45+CO46+CO47+CO48+CO49)/T2),0)</f>
        <v/>
      </c>
      <c r="CY50" s="5">
        <f>IFERROR(ROUND(CO50/CQ50,2),0)</f>
        <v/>
      </c>
      <c r="CZ50" s="5">
        <f>IFERROR(ROUND(CO50/CR50,2),0)</f>
        <v/>
      </c>
      <c r="DA50" s="2" t="inlineStr">
        <is>
          <t>5 Weekly Total</t>
        </is>
      </c>
      <c r="DB50" s="5">
        <f>ROUND(5.02,2)</f>
        <v/>
      </c>
      <c r="DC50" s="3">
        <f>ROUND(1236.0,2)</f>
        <v/>
      </c>
      <c r="DD50" s="3">
        <f>ROUND(19.0,2)</f>
        <v/>
      </c>
      <c r="DE50" s="3">
        <f>ROUND(10.0,2)</f>
        <v/>
      </c>
      <c r="DF50" s="3">
        <f>ROUND(9.0,2)</f>
        <v/>
      </c>
      <c r="DG50" s="3">
        <f>ROUND(5.0,2)</f>
        <v/>
      </c>
      <c r="DH50" s="3">
        <f>ROUND(5.0,2)</f>
        <v/>
      </c>
      <c r="DI50" s="3">
        <f>ROUND(5.0,2)</f>
        <v/>
      </c>
      <c r="DJ50" s="4">
        <f>IFERROR((DD50/DC50),0)</f>
        <v/>
      </c>
      <c r="DK50" s="4">
        <f>IFERROR(((0+DB11+DB12+DB13+DB14+DB15+DB16+DB17+DB19+DB20+DB21+DB22+DB23+DB24+DB25+DB27+DB28+DB29+DB30+DB31+DB32+DB33+DB35+DB36+DB37+DB38+DB39+DB40+DB41+DB43+DB44+DB45+DB46+DB47+DB48+DB49)/T2),0)</f>
        <v/>
      </c>
      <c r="DL50" s="5">
        <f>IFERROR(ROUND(DB50/DD50,2),0)</f>
        <v/>
      </c>
      <c r="DM50" s="5">
        <f>IFERROR(ROUND(DB50/DE50,2),0)</f>
        <v/>
      </c>
      <c r="DN50" s="2" t="inlineStr">
        <is>
          <t>5 Weekly Total</t>
        </is>
      </c>
      <c r="DO50" s="5">
        <f>ROUND(2.58,2)</f>
        <v/>
      </c>
      <c r="DP50" s="3">
        <f>ROUND(358.0,2)</f>
        <v/>
      </c>
      <c r="DQ50" s="3">
        <f>ROUND(11.0,2)</f>
        <v/>
      </c>
      <c r="DR50" s="3">
        <f>ROUND(20.0,2)</f>
        <v/>
      </c>
      <c r="DS50" s="3">
        <f>ROUND(19.0,2)</f>
        <v/>
      </c>
      <c r="DT50" s="3">
        <f>ROUND(12.0,2)</f>
        <v/>
      </c>
      <c r="DU50" s="3">
        <f>ROUND(8.0,2)</f>
        <v/>
      </c>
      <c r="DV50" s="3">
        <f>ROUND(8.0,2)</f>
        <v/>
      </c>
      <c r="DW50" s="4">
        <f>IFERROR((DQ50/DP50),0)</f>
        <v/>
      </c>
      <c r="DX50" s="4">
        <f>IFERROR(((0+DO11+DO12+DO13+DO14+DO15+DO16+DO17+DO19+DO20+DO21+DO22+DO23+DO24+DO25+DO27+DO28+DO29+DO30+DO31+DO32+DO33+DO35+DO36+DO37+DO38+DO39+DO40+DO41+DO43+DO44+DO45+DO46+DO47+DO48+DO49)/T2),0)</f>
        <v/>
      </c>
      <c r="DY50" s="5">
        <f>IFERROR(ROUND(DO50/DQ50,2),0)</f>
        <v/>
      </c>
      <c r="DZ50" s="5">
        <f>IFERROR(ROUND(DO50/DR50,2),0)</f>
        <v/>
      </c>
      <c r="EA50" s="2" t="inlineStr">
        <is>
          <t>5 Weekly Total</t>
        </is>
      </c>
      <c r="EB50" s="5">
        <f>ROUND(4.62,2)</f>
        <v/>
      </c>
      <c r="EC50" s="3">
        <f>ROUND(540.0,2)</f>
        <v/>
      </c>
      <c r="ED50" s="3">
        <f>ROUND(19.0,2)</f>
        <v/>
      </c>
      <c r="EE50" s="3">
        <f>ROUND(16.0,2)</f>
        <v/>
      </c>
      <c r="EF50" s="3">
        <f>ROUND(12.0,2)</f>
        <v/>
      </c>
      <c r="EG50" s="3">
        <f>ROUND(7.0,2)</f>
        <v/>
      </c>
      <c r="EH50" s="3">
        <f>ROUND(6.0,2)</f>
        <v/>
      </c>
      <c r="EI50" s="3">
        <f>ROUND(4.0,2)</f>
        <v/>
      </c>
      <c r="EJ50" s="4">
        <f>IFERROR((ED50/EC50),0)</f>
        <v/>
      </c>
      <c r="EK50" s="4">
        <f>IFERROR(((0+EB11+EB12+EB13+EB14+EB15+EB16+EB17+EB19+EB20+EB21+EB22+EB23+EB24+EB25+EB27+EB28+EB29+EB30+EB31+EB32+EB33+EB35+EB36+EB37+EB38+EB39+EB40+EB41+EB43+EB44+EB45+EB46+EB47+EB48+EB49)/T2),0)</f>
        <v/>
      </c>
      <c r="EL50" s="5">
        <f>IFERROR(ROUND(EB50/ED50,2),0)</f>
        <v/>
      </c>
      <c r="EM50" s="5">
        <f>IFERROR(ROUND(EB50/EE50,2),0)</f>
        <v/>
      </c>
      <c r="EN50" s="2" t="inlineStr">
        <is>
          <t>5 Weekly Total</t>
        </is>
      </c>
      <c r="EO50" s="5">
        <f>ROUND(2.32,2)</f>
        <v/>
      </c>
      <c r="EP50" s="3">
        <f>ROUND(251.0,2)</f>
        <v/>
      </c>
      <c r="EQ50" s="3">
        <f>ROUND(9.0,2)</f>
        <v/>
      </c>
      <c r="ER50" s="3">
        <f>ROUND(29.0,2)</f>
        <v/>
      </c>
      <c r="ES50" s="3">
        <f>ROUND(19.0,2)</f>
        <v/>
      </c>
      <c r="ET50" s="3">
        <f>ROUND(12.0,2)</f>
        <v/>
      </c>
      <c r="EU50" s="3">
        <f>ROUND(9.0,2)</f>
        <v/>
      </c>
      <c r="EV50" s="3">
        <f>ROUND(8.0,2)</f>
        <v/>
      </c>
      <c r="EW50" s="4">
        <f>IFERROR((EQ50/EP50),0)</f>
        <v/>
      </c>
      <c r="EX50" s="4">
        <f>IFERROR(((0+EO11+EO12+EO13+EO14+EO15+EO16+EO17+EO19+EO20+EO21+EO22+EO23+EO24+EO25+EO27+EO28+EO29+EO30+EO31+EO32+EO33+EO35+EO36+EO37+EO38+EO39+EO40+EO41+EO43+EO44+EO45+EO46+EO47+EO48+EO49)/T2),0)</f>
        <v/>
      </c>
      <c r="EY50" s="5">
        <f>IFERROR(ROUND(EO50/EQ50,2),0)</f>
        <v/>
      </c>
      <c r="EZ50" s="5">
        <f>IFERROR(ROUND(EO50/ER50,2),0)</f>
        <v/>
      </c>
      <c r="FA50" s="2" t="inlineStr">
        <is>
          <t>5 Weekly Total</t>
        </is>
      </c>
      <c r="FB50" s="5">
        <f>ROUND(15.74,2)</f>
        <v/>
      </c>
      <c r="FC50" s="3">
        <f>ROUND(1375.0,2)</f>
        <v/>
      </c>
      <c r="FD50" s="3">
        <f>ROUND(68.0,2)</f>
        <v/>
      </c>
      <c r="FE50" s="3">
        <f>ROUND(216.0,2)</f>
        <v/>
      </c>
      <c r="FF50" s="3">
        <f>ROUND(191.0,2)</f>
        <v/>
      </c>
      <c r="FG50" s="3">
        <f>ROUND(72.0,2)</f>
        <v/>
      </c>
      <c r="FH50" s="3">
        <f>ROUND(47.0,2)</f>
        <v/>
      </c>
      <c r="FI50" s="3">
        <f>ROUND(31.0,2)</f>
        <v/>
      </c>
      <c r="FJ50" s="4">
        <f>IFERROR((FD50/FC50),0)</f>
        <v/>
      </c>
      <c r="FK50" s="4">
        <f>IFERROR(((0+FB11+FB12+FB13+FB14+FB15+FB16+FB17+FB19+FB20+FB21+FB22+FB23+FB24+FB25+FB27+FB28+FB29+FB30+FB31+FB32+FB33+FB35+FB36+FB37+FB38+FB39+FB40+FB41+FB43+FB44+FB45+FB46+FB47+FB48+FB49)/T2),0)</f>
        <v/>
      </c>
      <c r="FL50" s="5">
        <f>IFERROR(ROUND(FB50/FD50,2),0)</f>
        <v/>
      </c>
      <c r="FM50" s="5">
        <f>IFERROR(ROUND(FB50/FE50,2),0)</f>
        <v/>
      </c>
      <c r="FN50" s="2" t="inlineStr">
        <is>
          <t>5 Weekly Total</t>
        </is>
      </c>
      <c r="FO50" s="5">
        <f>ROUND(1.02,2)</f>
        <v/>
      </c>
      <c r="FP50" s="3">
        <f>ROUND(114.0,2)</f>
        <v/>
      </c>
      <c r="FQ50" s="3">
        <f>ROUND(4.0,2)</f>
        <v/>
      </c>
      <c r="FR50" s="3">
        <f>ROUND(2.0,2)</f>
        <v/>
      </c>
      <c r="FS50" s="3">
        <f>ROUND(2.0,2)</f>
        <v/>
      </c>
      <c r="FT50" s="3">
        <f>ROUND(2.0,2)</f>
        <v/>
      </c>
      <c r="FU50" s="3">
        <f>ROUND(2.0,2)</f>
        <v/>
      </c>
      <c r="FV50" s="3">
        <f>ROUND(1.0,2)</f>
        <v/>
      </c>
      <c r="FW50" s="4">
        <f>IFERROR((FQ50/FP50),0)</f>
        <v/>
      </c>
      <c r="FX50" s="4">
        <f>IFERROR(((0+FO11+FO12+FO13+FO14+FO15+FO16+FO17+FO19+FO20+FO21+FO22+FO23+FO24+FO25+FO27+FO28+FO29+FO30+FO31+FO32+FO33+FO35+FO36+FO37+FO38+FO39+FO40+FO41+FO43+FO44+FO45+FO46+FO47+FO48+FO49)/T2),0)</f>
        <v/>
      </c>
      <c r="FY50" s="5">
        <f>IFERROR(ROUND(FO50/FQ50,2),0)</f>
        <v/>
      </c>
      <c r="FZ50" s="5">
        <f>IFERROR(ROUND(FO50/FR50,2),0)</f>
        <v/>
      </c>
      <c r="GA50" s="2" t="inlineStr">
        <is>
          <t>5 Weekly Total</t>
        </is>
      </c>
      <c r="GB50" s="5">
        <f>ROUND(9.54,2)</f>
        <v/>
      </c>
      <c r="GC50" s="3">
        <f>ROUND(1576.0,2)</f>
        <v/>
      </c>
      <c r="GD50" s="3">
        <f>ROUND(38.0,2)</f>
        <v/>
      </c>
      <c r="GE50" s="3">
        <f>ROUND(268.0,2)</f>
        <v/>
      </c>
      <c r="GF50" s="3">
        <f>ROUND(250.0,2)</f>
        <v/>
      </c>
      <c r="GG50" s="3">
        <f>ROUND(111.0,2)</f>
        <v/>
      </c>
      <c r="GH50" s="3">
        <f>ROUND(72.0,2)</f>
        <v/>
      </c>
      <c r="GI50" s="3">
        <f>ROUND(48.0,2)</f>
        <v/>
      </c>
      <c r="GJ50" s="4">
        <f>IFERROR((GD50/GC50),0)</f>
        <v/>
      </c>
      <c r="GK50" s="4">
        <f>IFERROR(((0+GB11+GB12+GB13+GB14+GB15+GB16+GB17+GB19+GB20+GB21+GB22+GB23+GB24+GB25+GB27+GB28+GB29+GB30+GB31+GB32+GB33+GB35+GB36+GB37+GB38+GB39+GB40+GB41+GB43+GB44+GB45+GB46+GB47+GB48+GB49)/T2),0)</f>
        <v/>
      </c>
      <c r="GL50" s="5">
        <f>IFERROR(ROUND(GB50/GD50,2),0)</f>
        <v/>
      </c>
      <c r="GM50" s="5">
        <f>IFERROR(ROUND(GB50/GE50,2),0)</f>
        <v/>
      </c>
      <c r="GN50" s="2" t="inlineStr">
        <is>
          <t>5 Weekly Total</t>
        </is>
      </c>
      <c r="GO50" s="5">
        <f>ROUND(0.46,2)</f>
        <v/>
      </c>
      <c r="GP50" s="3">
        <f>ROUND(97.0,2)</f>
        <v/>
      </c>
      <c r="GQ50" s="3">
        <f>ROUND(2.0,2)</f>
        <v/>
      </c>
      <c r="GR50" s="3">
        <f>ROUND(20.0,2)</f>
        <v/>
      </c>
      <c r="GS50" s="3">
        <f>ROUND(17.0,2)</f>
        <v/>
      </c>
      <c r="GT50" s="3">
        <f>ROUND(17.0,2)</f>
        <v/>
      </c>
      <c r="GU50" s="3">
        <f>ROUND(12.0,2)</f>
        <v/>
      </c>
      <c r="GV50" s="3">
        <f>ROUND(11.0,2)</f>
        <v/>
      </c>
      <c r="GW50" s="4">
        <f>IFERROR((GQ50/GP50),0)</f>
        <v/>
      </c>
      <c r="GX50" s="4">
        <f>IFERROR(((0+GO11+GO12+GO13+GO14+GO15+GO16+GO17+GO19+GO20+GO21+GO22+GO23+GO24+GO25+GO27+GO28+GO29+GO30+GO31+GO32+GO33+GO35+GO36+GO37+GO38+GO39+GO40+GO41+GO43+GO44+GO45+GO46+GO47+GO48+GO49)/T2),0)</f>
        <v/>
      </c>
      <c r="GY50" s="5">
        <f>IFERROR(ROUND(GO50/GQ50,2),0)</f>
        <v/>
      </c>
      <c r="GZ50" s="5">
        <f>IFERROR(ROUND(GO50/GR50,2),0)</f>
        <v/>
      </c>
      <c r="HA50" s="2" t="inlineStr">
        <is>
          <t>5 Weekly Total</t>
        </is>
      </c>
      <c r="HB50" s="5">
        <f>ROUND(2.93,2)</f>
        <v/>
      </c>
      <c r="HC50" s="3">
        <f>ROUND(395.0,2)</f>
        <v/>
      </c>
      <c r="HD50" s="3">
        <f>ROUND(11.0,2)</f>
        <v/>
      </c>
      <c r="HE50" s="3">
        <f>ROUND(5.0,2)</f>
        <v/>
      </c>
      <c r="HF50" s="3">
        <f>ROUND(4.0,2)</f>
        <v/>
      </c>
      <c r="HG50" s="3">
        <f>ROUND(1.0,2)</f>
        <v/>
      </c>
      <c r="HH50" s="3">
        <f>ROUND(1.0,2)</f>
        <v/>
      </c>
      <c r="HI50" s="3">
        <f>ROUND(1.0,2)</f>
        <v/>
      </c>
      <c r="HJ50" s="4">
        <f>IFERROR((HD50/HC50),0)</f>
        <v/>
      </c>
      <c r="HK50" s="4">
        <f>IFERROR(((0+HB11+HB12+HB13+HB14+HB15+HB16+HB17+HB19+HB20+HB21+HB22+HB23+HB24+HB25+HB27+HB28+HB29+HB30+HB31+HB32+HB33+HB35+HB36+HB37+HB38+HB39+HB40+HB41+HB43+HB44+HB45+HB46+HB47+HB48+HB49)/T2),0)</f>
        <v/>
      </c>
      <c r="HL50" s="5">
        <f>IFERROR(ROUND(HB50/HD50,2),0)</f>
        <v/>
      </c>
      <c r="HM50" s="5">
        <f>IFERROR(ROUND(HB50/HE50,2),0)</f>
        <v/>
      </c>
      <c r="HN50" s="2" t="inlineStr">
        <is>
          <t>5 Weekly Total</t>
        </is>
      </c>
      <c r="HO50" s="5">
        <f>ROUND(0.0,2)</f>
        <v/>
      </c>
      <c r="HP50" s="3">
        <f>ROUND(16.0,2)</f>
        <v/>
      </c>
      <c r="HQ50" s="3">
        <f>ROUND(0.0,2)</f>
        <v/>
      </c>
      <c r="HR50" s="3">
        <f>ROUND(0.0,2)</f>
        <v/>
      </c>
      <c r="HS50" s="3">
        <f>ROUND(0.0,2)</f>
        <v/>
      </c>
      <c r="HT50" s="3">
        <f>ROUND(0.0,2)</f>
        <v/>
      </c>
      <c r="HU50" s="3">
        <f>ROUND(0.0,2)</f>
        <v/>
      </c>
      <c r="HV50" s="3">
        <f>ROUND(0.0,2)</f>
        <v/>
      </c>
      <c r="HW50" s="4">
        <f>IFERROR((HQ50/HP50),0)</f>
        <v/>
      </c>
      <c r="HX50" s="4">
        <f>IFERROR(((0+HO11+HO12+HO13+HO14+HO15+HO16+HO17+HO19+HO20+HO21+HO22+HO23+HO24+HO25+HO27+HO28+HO29+HO30+HO31+HO32+HO33+HO35+HO36+HO37+HO38+HO39+HO40+HO41+HO43+HO44+HO45+HO46+HO47+HO48+HO49)/T2),0)</f>
        <v/>
      </c>
      <c r="HY50" s="5">
        <f>IFERROR(ROUND(HO50/HQ50,2),0)</f>
        <v/>
      </c>
      <c r="HZ50" s="5">
        <f>IFERROR(ROUND(HO50/HR50,2),0)</f>
        <v/>
      </c>
      <c r="IA50" s="2" t="inlineStr">
        <is>
          <t>5 Weekly Total</t>
        </is>
      </c>
      <c r="IB50" s="5">
        <f>ROUND(2.58,2)</f>
        <v/>
      </c>
      <c r="IC50" s="3">
        <f>ROUND(267.0,2)</f>
        <v/>
      </c>
      <c r="ID50" s="3">
        <f>ROUND(11.0,2)</f>
        <v/>
      </c>
      <c r="IE50" s="3">
        <f>ROUND(7.0,2)</f>
        <v/>
      </c>
      <c r="IF50" s="3">
        <f>ROUND(5.0,2)</f>
        <v/>
      </c>
      <c r="IG50" s="3">
        <f>ROUND(3.0,2)</f>
        <v/>
      </c>
      <c r="IH50" s="3">
        <f>ROUND(3.0,2)</f>
        <v/>
      </c>
      <c r="II50" s="3">
        <f>ROUND(2.0,2)</f>
        <v/>
      </c>
      <c r="IJ50" s="4">
        <f>IFERROR((ID50/IC50),0)</f>
        <v/>
      </c>
      <c r="IK50" s="4">
        <f>IFERROR(((0+IB11+IB12+IB13+IB14+IB15+IB16+IB17+IB19+IB20+IB21+IB22+IB23+IB24+IB25+IB27+IB28+IB29+IB30+IB31+IB32+IB33+IB35+IB36+IB37+IB38+IB39+IB40+IB41+IB43+IB44+IB45+IB46+IB47+IB48+IB49)/T2),0)</f>
        <v/>
      </c>
      <c r="IL50" s="5">
        <f>IFERROR(ROUND(IB50/ID50,2),0)</f>
        <v/>
      </c>
      <c r="IM50" s="5">
        <f>IFERROR(ROUND(IB50/IE50,2),0)</f>
        <v/>
      </c>
      <c r="IN50" s="2" t="inlineStr">
        <is>
          <t>5 Weekly Total</t>
        </is>
      </c>
      <c r="IO50" s="5">
        <f>ROUND(0.74,2)</f>
        <v/>
      </c>
      <c r="IP50" s="3">
        <f>ROUND(138.0,2)</f>
        <v/>
      </c>
      <c r="IQ50" s="3">
        <f>ROUND(3.0,2)</f>
        <v/>
      </c>
      <c r="IR50" s="3">
        <f>ROUND(7.0,2)</f>
        <v/>
      </c>
      <c r="IS50" s="3">
        <f>ROUND(6.0,2)</f>
        <v/>
      </c>
      <c r="IT50" s="3">
        <f>ROUND(4.0,2)</f>
        <v/>
      </c>
      <c r="IU50" s="3">
        <f>ROUND(4.0,2)</f>
        <v/>
      </c>
      <c r="IV50" s="3">
        <f>ROUND(3.0,2)</f>
        <v/>
      </c>
      <c r="IW50" s="4">
        <f>IFERROR((IQ50/IP50),0)</f>
        <v/>
      </c>
      <c r="IX50" s="4">
        <f>IFERROR(((0+IO11+IO12+IO13+IO14+IO15+IO16+IO17+IO19+IO20+IO21+IO22+IO23+IO24+IO25+IO27+IO28+IO29+IO30+IO31+IO32+IO33+IO35+IO36+IO37+IO38+IO39+IO40+IO41+IO43+IO44+IO45+IO46+IO47+IO48+IO49)/T2),0)</f>
        <v/>
      </c>
      <c r="IY50" s="5">
        <f>IFERROR(ROUND(IO50/IQ50,2),0)</f>
        <v/>
      </c>
      <c r="IZ50" s="5">
        <f>IFERROR(ROUND(IO50/IR50,2),0)</f>
        <v/>
      </c>
      <c r="JA50" s="2" t="inlineStr">
        <is>
          <t>5 Weekly Total</t>
        </is>
      </c>
      <c r="JB50" s="5">
        <f>ROUND(0.0,2)</f>
        <v/>
      </c>
      <c r="JC50" s="3">
        <f>ROUND(13.0,2)</f>
        <v/>
      </c>
      <c r="JD50" s="3">
        <f>ROUND(0.0,2)</f>
        <v/>
      </c>
      <c r="JE50" s="3">
        <f>ROUND(0.0,2)</f>
        <v/>
      </c>
      <c r="JF50" s="3">
        <f>ROUND(0.0,2)</f>
        <v/>
      </c>
      <c r="JG50" s="3">
        <f>ROUND(0.0,2)</f>
        <v/>
      </c>
      <c r="JH50" s="3">
        <f>ROUND(0.0,2)</f>
        <v/>
      </c>
      <c r="JI50" s="3">
        <f>ROUND(0.0,2)</f>
        <v/>
      </c>
      <c r="JJ50" s="4">
        <f>IFERROR((JD50/JC50),0)</f>
        <v/>
      </c>
      <c r="JK50" s="4">
        <f>IFERROR(((0+JB11+JB12+JB13+JB14+JB15+JB16+JB17+JB19+JB20+JB21+JB22+JB23+JB24+JB25+JB27+JB28+JB29+JB30+JB31+JB32+JB33+JB35+JB36+JB37+JB38+JB39+JB40+JB41+JB43+JB44+JB45+JB46+JB47+JB48+JB49)/T2),0)</f>
        <v/>
      </c>
      <c r="JL50" s="5">
        <f>IFERROR(ROUND(JB50/JD50,2),0)</f>
        <v/>
      </c>
      <c r="JM50" s="5">
        <f>IFERROR(ROUND(JB50/JE50,2),0)</f>
        <v/>
      </c>
    </row>
    <row r="51">
      <c r="A51" s="2" t="inlineStr">
        <is>
          <t>2023-10-25</t>
        </is>
      </c>
      <c r="B51" s="5">
        <f>ROUND(0.0,2)</f>
        <v/>
      </c>
      <c r="C51" s="3">
        <f>ROUND(0.0,2)</f>
        <v/>
      </c>
      <c r="D51" s="3">
        <f>ROUND(0.0,2)</f>
        <v/>
      </c>
      <c r="E51" s="3">
        <f>ROUND(0.0,2)</f>
        <v/>
      </c>
      <c r="F51" s="3">
        <f>ROUND(0.0,2)</f>
        <v/>
      </c>
      <c r="G51" s="3">
        <f>ROUND(0.0,2)</f>
        <v/>
      </c>
      <c r="H51" s="3">
        <f>ROUND(0.0,2)</f>
        <v/>
      </c>
      <c r="I51" s="3">
        <f>ROUND(0.0,2)</f>
        <v/>
      </c>
      <c r="J51" s="4">
        <f>IFERROR((D51/C51),0)</f>
        <v/>
      </c>
      <c r="K51" s="4">
        <f>IFERROR(((0+B11+B12+B13+B14+B15+B16+B17+B19+B20+B21+B22+B23+B24+B25+B27+B28+B29+B30+B31+B32+B33+B35+B36+B37+B38+B39+B40+B41+B43+B44+B45+B46+B47+B48+B49+B51)/T2),0)</f>
        <v/>
      </c>
      <c r="L51" s="5">
        <f>IFERROR(ROUND(B51/D51,2),0)</f>
        <v/>
      </c>
      <c r="M51" s="5">
        <f>IFERROR(ROUND(B51/E51,2),0)</f>
        <v/>
      </c>
      <c r="N51" s="2" t="inlineStr">
        <is>
          <t>2023-10-25</t>
        </is>
      </c>
      <c r="O51" s="5">
        <f>ROUND(0.0,2)</f>
        <v/>
      </c>
      <c r="P51" s="3">
        <f>ROUND(0.0,2)</f>
        <v/>
      </c>
      <c r="Q51" s="3">
        <f>ROUND(0.0,2)</f>
        <v/>
      </c>
      <c r="R51" s="3">
        <f>ROUND(0.0,2)</f>
        <v/>
      </c>
      <c r="S51" s="3">
        <f>ROUND(0.0,2)</f>
        <v/>
      </c>
      <c r="T51" s="3">
        <f>ROUND(0.0,2)</f>
        <v/>
      </c>
      <c r="U51" s="3">
        <f>ROUND(0.0,2)</f>
        <v/>
      </c>
      <c r="V51" s="3">
        <f>ROUND(0.0,2)</f>
        <v/>
      </c>
      <c r="W51" s="4">
        <f>IFERROR((Q51/P51),0)</f>
        <v/>
      </c>
      <c r="X51" s="4">
        <f>IFERROR(((0+O11+O12+O13+O14+O15+O16+O17+O19+O20+O21+O22+O23+O24+O25+O27+O28+O29+O30+O31+O32+O33+O35+O36+O37+O38+O39+O40+O41+O43+O44+O45+O46+O47+O48+O49+O51)/T2),0)</f>
        <v/>
      </c>
      <c r="Y51" s="5">
        <f>IFERROR(ROUND(O51/Q51,2),0)</f>
        <v/>
      </c>
      <c r="Z51" s="5">
        <f>IFERROR(ROUND(O51/R51,2),0)</f>
        <v/>
      </c>
      <c r="AA51" s="2" t="inlineStr">
        <is>
          <t>2023-10-25</t>
        </is>
      </c>
      <c r="AB51" s="5">
        <f>ROUND(0.0,2)</f>
        <v/>
      </c>
      <c r="AC51" s="3">
        <f>ROUND(0.0,2)</f>
        <v/>
      </c>
      <c r="AD51" s="3">
        <f>ROUND(0.0,2)</f>
        <v/>
      </c>
      <c r="AE51" s="3">
        <f>ROUND(0.0,2)</f>
        <v/>
      </c>
      <c r="AF51" s="3">
        <f>ROUND(0.0,2)</f>
        <v/>
      </c>
      <c r="AG51" s="3">
        <f>ROUND(0.0,2)</f>
        <v/>
      </c>
      <c r="AH51" s="3">
        <f>ROUND(0.0,2)</f>
        <v/>
      </c>
      <c r="AI51" s="3">
        <f>ROUND(0.0,2)</f>
        <v/>
      </c>
      <c r="AJ51" s="4">
        <f>IFERROR((AD51/AC51),0)</f>
        <v/>
      </c>
      <c r="AK51" s="4">
        <f>IFERROR(((0+AB11+AB12+AB13+AB14+AB15+AB16+AB17+AB19+AB20+AB21+AB22+AB23+AB24+AB25+AB27+AB28+AB29+AB30+AB31+AB32+AB33+AB35+AB36+AB37+AB38+AB39+AB40+AB41+AB43+AB44+AB45+AB46+AB47+AB48+AB49+AB51)/T2),0)</f>
        <v/>
      </c>
      <c r="AL51" s="5">
        <f>IFERROR(ROUND(AB51/AD51,2),0)</f>
        <v/>
      </c>
      <c r="AM51" s="5">
        <f>IFERROR(ROUND(AB51/AE51,2),0)</f>
        <v/>
      </c>
      <c r="AN51" s="2" t="inlineStr">
        <is>
          <t>2023-10-25</t>
        </is>
      </c>
      <c r="AO51" s="5">
        <f>ROUND(0.0,2)</f>
        <v/>
      </c>
      <c r="AP51" s="3">
        <f>ROUND(0.0,2)</f>
        <v/>
      </c>
      <c r="AQ51" s="3">
        <f>ROUND(0.0,2)</f>
        <v/>
      </c>
      <c r="AR51" s="3">
        <f>ROUND(0.0,2)</f>
        <v/>
      </c>
      <c r="AS51" s="3">
        <f>ROUND(0.0,2)</f>
        <v/>
      </c>
      <c r="AT51" s="3">
        <f>ROUND(0.0,2)</f>
        <v/>
      </c>
      <c r="AU51" s="3">
        <f>ROUND(0.0,2)</f>
        <v/>
      </c>
      <c r="AV51" s="3">
        <f>ROUND(0.0,2)</f>
        <v/>
      </c>
      <c r="AW51" s="4">
        <f>IFERROR((AQ51/AP51),0)</f>
        <v/>
      </c>
      <c r="AX51" s="4">
        <f>IFERROR(((0+AO11+AO12+AO13+AO14+AO15+AO16+AO17+AO19+AO20+AO21+AO22+AO23+AO24+AO25+AO27+AO28+AO29+AO30+AO31+AO32+AO33+AO35+AO36+AO37+AO38+AO39+AO40+AO41+AO43+AO44+AO45+AO46+AO47+AO48+AO49+AO51)/T2),0)</f>
        <v/>
      </c>
      <c r="AY51" s="5">
        <f>IFERROR(ROUND(AO51/AQ51,2),0)</f>
        <v/>
      </c>
      <c r="AZ51" s="5">
        <f>IFERROR(ROUND(AO51/AR51,2),0)</f>
        <v/>
      </c>
      <c r="BA51" s="2" t="inlineStr">
        <is>
          <t>2023-10-25</t>
        </is>
      </c>
      <c r="BB51" s="5">
        <f>ROUND(0.0,2)</f>
        <v/>
      </c>
      <c r="BC51" s="3">
        <f>ROUND(0.0,2)</f>
        <v/>
      </c>
      <c r="BD51" s="3">
        <f>ROUND(0.0,2)</f>
        <v/>
      </c>
      <c r="BE51" s="3">
        <f>ROUND(0.0,2)</f>
        <v/>
      </c>
      <c r="BF51" s="3">
        <f>ROUND(0.0,2)</f>
        <v/>
      </c>
      <c r="BG51" s="3">
        <f>ROUND(0.0,2)</f>
        <v/>
      </c>
      <c r="BH51" s="3">
        <f>ROUND(0.0,2)</f>
        <v/>
      </c>
      <c r="BI51" s="3">
        <f>ROUND(0.0,2)</f>
        <v/>
      </c>
      <c r="BJ51" s="4">
        <f>IFERROR((BD51/BC51),0)</f>
        <v/>
      </c>
      <c r="BK51" s="4">
        <f>IFERROR(((0+BB11+BB12+BB13+BB14+BB15+BB16+BB17+BB19+BB20+BB21+BB22+BB23+BB24+BB25+BB27+BB28+BB29+BB30+BB31+BB32+BB33+BB35+BB36+BB37+BB38+BB39+BB40+BB41+BB43+BB44+BB45+BB46+BB47+BB48+BB49+BB51)/T2),0)</f>
        <v/>
      </c>
      <c r="BL51" s="5">
        <f>IFERROR(ROUND(BB51/BD51,2),0)</f>
        <v/>
      </c>
      <c r="BM51" s="5">
        <f>IFERROR(ROUND(BB51/BE51,2),0)</f>
        <v/>
      </c>
      <c r="BN51" s="2" t="inlineStr">
        <is>
          <t>2023-10-25</t>
        </is>
      </c>
      <c r="BO51" s="5">
        <f>ROUND(0.0,2)</f>
        <v/>
      </c>
      <c r="BP51" s="3">
        <f>ROUND(0.0,2)</f>
        <v/>
      </c>
      <c r="BQ51" s="3">
        <f>ROUND(0.0,2)</f>
        <v/>
      </c>
      <c r="BR51" s="3">
        <f>ROUND(0.0,2)</f>
        <v/>
      </c>
      <c r="BS51" s="3">
        <f>ROUND(0.0,2)</f>
        <v/>
      </c>
      <c r="BT51" s="3">
        <f>ROUND(0.0,2)</f>
        <v/>
      </c>
      <c r="BU51" s="3">
        <f>ROUND(0.0,2)</f>
        <v/>
      </c>
      <c r="BV51" s="3">
        <f>ROUND(0.0,2)</f>
        <v/>
      </c>
      <c r="BW51" s="4">
        <f>IFERROR((BQ51/BP51),0)</f>
        <v/>
      </c>
      <c r="BX51" s="4">
        <f>IFERROR(((0+BO11+BO12+BO13+BO14+BO15+BO16+BO17+BO19+BO20+BO21+BO22+BO23+BO24+BO25+BO27+BO28+BO29+BO30+BO31+BO32+BO33+BO35+BO36+BO37+BO38+BO39+BO40+BO41+BO43+BO44+BO45+BO46+BO47+BO48+BO49+BO51)/T2),0)</f>
        <v/>
      </c>
      <c r="BY51" s="5">
        <f>IFERROR(ROUND(BO51/BQ51,2),0)</f>
        <v/>
      </c>
      <c r="BZ51" s="5">
        <f>IFERROR(ROUND(BO51/BR51,2),0)</f>
        <v/>
      </c>
      <c r="CA51" s="2" t="inlineStr">
        <is>
          <t>2023-10-25</t>
        </is>
      </c>
      <c r="CB51" s="5">
        <f>ROUND(0.0,2)</f>
        <v/>
      </c>
      <c r="CC51" s="3">
        <f>ROUND(0.0,2)</f>
        <v/>
      </c>
      <c r="CD51" s="3">
        <f>ROUND(0.0,2)</f>
        <v/>
      </c>
      <c r="CE51" s="3">
        <f>ROUND(0.0,2)</f>
        <v/>
      </c>
      <c r="CF51" s="3">
        <f>ROUND(0.0,2)</f>
        <v/>
      </c>
      <c r="CG51" s="3">
        <f>ROUND(0.0,2)</f>
        <v/>
      </c>
      <c r="CH51" s="3">
        <f>ROUND(0.0,2)</f>
        <v/>
      </c>
      <c r="CI51" s="3">
        <f>ROUND(0.0,2)</f>
        <v/>
      </c>
      <c r="CJ51" s="4">
        <f>IFERROR((CD51/CC51),0)</f>
        <v/>
      </c>
      <c r="CK51" s="4">
        <f>IFERROR(((0+CB11+CB12+CB13+CB14+CB15+CB16+CB17+CB19+CB20+CB21+CB22+CB23+CB24+CB25+CB27+CB28+CB29+CB30+CB31+CB32+CB33+CB35+CB36+CB37+CB38+CB39+CB40+CB41+CB43+CB44+CB45+CB46+CB47+CB48+CB49+CB51)/T2),0)</f>
        <v/>
      </c>
      <c r="CL51" s="5">
        <f>IFERROR(ROUND(CB51/CD51,2),0)</f>
        <v/>
      </c>
      <c r="CM51" s="5">
        <f>IFERROR(ROUND(CB51/CE51,2),0)</f>
        <v/>
      </c>
      <c r="CN51" s="2" t="inlineStr">
        <is>
          <t>2023-10-25</t>
        </is>
      </c>
      <c r="CO51" s="5">
        <f>ROUND(0.0,2)</f>
        <v/>
      </c>
      <c r="CP51" s="3">
        <f>ROUND(0.0,2)</f>
        <v/>
      </c>
      <c r="CQ51" s="3">
        <f>ROUND(0.0,2)</f>
        <v/>
      </c>
      <c r="CR51" s="3">
        <f>ROUND(0.0,2)</f>
        <v/>
      </c>
      <c r="CS51" s="3">
        <f>ROUND(0.0,2)</f>
        <v/>
      </c>
      <c r="CT51" s="3">
        <f>ROUND(0.0,2)</f>
        <v/>
      </c>
      <c r="CU51" s="3">
        <f>ROUND(0.0,2)</f>
        <v/>
      </c>
      <c r="CV51" s="3">
        <f>ROUND(0.0,2)</f>
        <v/>
      </c>
      <c r="CW51" s="4">
        <f>IFERROR((CQ51/CP51),0)</f>
        <v/>
      </c>
      <c r="CX51" s="4">
        <f>IFERROR(((0+CO11+CO12+CO13+CO14+CO15+CO16+CO17+CO19+CO20+CO21+CO22+CO23+CO24+CO25+CO27+CO28+CO29+CO30+CO31+CO32+CO33+CO35+CO36+CO37+CO38+CO39+CO40+CO41+CO43+CO44+CO45+CO46+CO47+CO48+CO49+CO51)/T2),0)</f>
        <v/>
      </c>
      <c r="CY51" s="5">
        <f>IFERROR(ROUND(CO51/CQ51,2),0)</f>
        <v/>
      </c>
      <c r="CZ51" s="5">
        <f>IFERROR(ROUND(CO51/CR51,2),0)</f>
        <v/>
      </c>
      <c r="DA51" s="2" t="inlineStr">
        <is>
          <t>2023-10-25</t>
        </is>
      </c>
      <c r="DB51" s="5">
        <f>ROUND(0.0,2)</f>
        <v/>
      </c>
      <c r="DC51" s="3">
        <f>ROUND(0.0,2)</f>
        <v/>
      </c>
      <c r="DD51" s="3">
        <f>ROUND(0.0,2)</f>
        <v/>
      </c>
      <c r="DE51" s="3">
        <f>ROUND(0.0,2)</f>
        <v/>
      </c>
      <c r="DF51" s="3">
        <f>ROUND(0.0,2)</f>
        <v/>
      </c>
      <c r="DG51" s="3">
        <f>ROUND(0.0,2)</f>
        <v/>
      </c>
      <c r="DH51" s="3">
        <f>ROUND(0.0,2)</f>
        <v/>
      </c>
      <c r="DI51" s="3">
        <f>ROUND(0.0,2)</f>
        <v/>
      </c>
      <c r="DJ51" s="4">
        <f>IFERROR((DD51/DC51),0)</f>
        <v/>
      </c>
      <c r="DK51" s="4">
        <f>IFERROR(((0+DB11+DB12+DB13+DB14+DB15+DB16+DB17+DB19+DB20+DB21+DB22+DB23+DB24+DB25+DB27+DB28+DB29+DB30+DB31+DB32+DB33+DB35+DB36+DB37+DB38+DB39+DB40+DB41+DB43+DB44+DB45+DB46+DB47+DB48+DB49+DB51)/T2),0)</f>
        <v/>
      </c>
      <c r="DL51" s="5">
        <f>IFERROR(ROUND(DB51/DD51,2),0)</f>
        <v/>
      </c>
      <c r="DM51" s="5">
        <f>IFERROR(ROUND(DB51/DE51,2),0)</f>
        <v/>
      </c>
      <c r="DN51" s="2" t="inlineStr">
        <is>
          <t>2023-10-25</t>
        </is>
      </c>
      <c r="DO51" s="5">
        <f>ROUND(0.0,2)</f>
        <v/>
      </c>
      <c r="DP51" s="3">
        <f>ROUND(0.0,2)</f>
        <v/>
      </c>
      <c r="DQ51" s="3">
        <f>ROUND(0.0,2)</f>
        <v/>
      </c>
      <c r="DR51" s="3">
        <f>ROUND(0.0,2)</f>
        <v/>
      </c>
      <c r="DS51" s="3">
        <f>ROUND(0.0,2)</f>
        <v/>
      </c>
      <c r="DT51" s="3">
        <f>ROUND(0.0,2)</f>
        <v/>
      </c>
      <c r="DU51" s="3">
        <f>ROUND(0.0,2)</f>
        <v/>
      </c>
      <c r="DV51" s="3">
        <f>ROUND(0.0,2)</f>
        <v/>
      </c>
      <c r="DW51" s="4">
        <f>IFERROR((DQ51/DP51),0)</f>
        <v/>
      </c>
      <c r="DX51" s="4">
        <f>IFERROR(((0+DO11+DO12+DO13+DO14+DO15+DO16+DO17+DO19+DO20+DO21+DO22+DO23+DO24+DO25+DO27+DO28+DO29+DO30+DO31+DO32+DO33+DO35+DO36+DO37+DO38+DO39+DO40+DO41+DO43+DO44+DO45+DO46+DO47+DO48+DO49+DO51)/T2),0)</f>
        <v/>
      </c>
      <c r="DY51" s="5">
        <f>IFERROR(ROUND(DO51/DQ51,2),0)</f>
        <v/>
      </c>
      <c r="DZ51" s="5">
        <f>IFERROR(ROUND(DO51/DR51,2),0)</f>
        <v/>
      </c>
      <c r="EA51" s="2" t="inlineStr">
        <is>
          <t>2023-10-25</t>
        </is>
      </c>
      <c r="EB51" s="5">
        <f>ROUND(0.0,2)</f>
        <v/>
      </c>
      <c r="EC51" s="3">
        <f>ROUND(0.0,2)</f>
        <v/>
      </c>
      <c r="ED51" s="3">
        <f>ROUND(0.0,2)</f>
        <v/>
      </c>
      <c r="EE51" s="3">
        <f>ROUND(0.0,2)</f>
        <v/>
      </c>
      <c r="EF51" s="3">
        <f>ROUND(0.0,2)</f>
        <v/>
      </c>
      <c r="EG51" s="3">
        <f>ROUND(0.0,2)</f>
        <v/>
      </c>
      <c r="EH51" s="3">
        <f>ROUND(0.0,2)</f>
        <v/>
      </c>
      <c r="EI51" s="3">
        <f>ROUND(0.0,2)</f>
        <v/>
      </c>
      <c r="EJ51" s="4">
        <f>IFERROR((ED51/EC51),0)</f>
        <v/>
      </c>
      <c r="EK51" s="4">
        <f>IFERROR(((0+EB11+EB12+EB13+EB14+EB15+EB16+EB17+EB19+EB20+EB21+EB22+EB23+EB24+EB25+EB27+EB28+EB29+EB30+EB31+EB32+EB33+EB35+EB36+EB37+EB38+EB39+EB40+EB41+EB43+EB44+EB45+EB46+EB47+EB48+EB49+EB51)/T2),0)</f>
        <v/>
      </c>
      <c r="EL51" s="5">
        <f>IFERROR(ROUND(EB51/ED51,2),0)</f>
        <v/>
      </c>
      <c r="EM51" s="5">
        <f>IFERROR(ROUND(EB51/EE51,2),0)</f>
        <v/>
      </c>
      <c r="EN51" s="2" t="inlineStr">
        <is>
          <t>2023-10-25</t>
        </is>
      </c>
      <c r="EO51" s="5">
        <f>ROUND(0.0,2)</f>
        <v/>
      </c>
      <c r="EP51" s="3">
        <f>ROUND(0.0,2)</f>
        <v/>
      </c>
      <c r="EQ51" s="3">
        <f>ROUND(0.0,2)</f>
        <v/>
      </c>
      <c r="ER51" s="3">
        <f>ROUND(0.0,2)</f>
        <v/>
      </c>
      <c r="ES51" s="3">
        <f>ROUND(0.0,2)</f>
        <v/>
      </c>
      <c r="ET51" s="3">
        <f>ROUND(0.0,2)</f>
        <v/>
      </c>
      <c r="EU51" s="3">
        <f>ROUND(0.0,2)</f>
        <v/>
      </c>
      <c r="EV51" s="3">
        <f>ROUND(0.0,2)</f>
        <v/>
      </c>
      <c r="EW51" s="4">
        <f>IFERROR((EQ51/EP51),0)</f>
        <v/>
      </c>
      <c r="EX51" s="4">
        <f>IFERROR(((0+EO11+EO12+EO13+EO14+EO15+EO16+EO17+EO19+EO20+EO21+EO22+EO23+EO24+EO25+EO27+EO28+EO29+EO30+EO31+EO32+EO33+EO35+EO36+EO37+EO38+EO39+EO40+EO41+EO43+EO44+EO45+EO46+EO47+EO48+EO49+EO51)/T2),0)</f>
        <v/>
      </c>
      <c r="EY51" s="5">
        <f>IFERROR(ROUND(EO51/EQ51,2),0)</f>
        <v/>
      </c>
      <c r="EZ51" s="5">
        <f>IFERROR(ROUND(EO51/ER51,2),0)</f>
        <v/>
      </c>
      <c r="FA51" s="2" t="inlineStr">
        <is>
          <t>2023-10-25</t>
        </is>
      </c>
      <c r="FB51" s="5">
        <f>ROUND(0.0,2)</f>
        <v/>
      </c>
      <c r="FC51" s="3">
        <f>ROUND(0.0,2)</f>
        <v/>
      </c>
      <c r="FD51" s="3">
        <f>ROUND(0.0,2)</f>
        <v/>
      </c>
      <c r="FE51" s="3">
        <f>ROUND(0.0,2)</f>
        <v/>
      </c>
      <c r="FF51" s="3">
        <f>ROUND(0.0,2)</f>
        <v/>
      </c>
      <c r="FG51" s="3">
        <f>ROUND(0.0,2)</f>
        <v/>
      </c>
      <c r="FH51" s="3">
        <f>ROUND(0.0,2)</f>
        <v/>
      </c>
      <c r="FI51" s="3">
        <f>ROUND(0.0,2)</f>
        <v/>
      </c>
      <c r="FJ51" s="4">
        <f>IFERROR((FD51/FC51),0)</f>
        <v/>
      </c>
      <c r="FK51" s="4">
        <f>IFERROR(((0+FB11+FB12+FB13+FB14+FB15+FB16+FB17+FB19+FB20+FB21+FB22+FB23+FB24+FB25+FB27+FB28+FB29+FB30+FB31+FB32+FB33+FB35+FB36+FB37+FB38+FB39+FB40+FB41+FB43+FB44+FB45+FB46+FB47+FB48+FB49+FB51)/T2),0)</f>
        <v/>
      </c>
      <c r="FL51" s="5">
        <f>IFERROR(ROUND(FB51/FD51,2),0)</f>
        <v/>
      </c>
      <c r="FM51" s="5">
        <f>IFERROR(ROUND(FB51/FE51,2),0)</f>
        <v/>
      </c>
      <c r="FN51" s="2" t="inlineStr">
        <is>
          <t>2023-10-25</t>
        </is>
      </c>
      <c r="FO51" s="5">
        <f>ROUND(0.0,2)</f>
        <v/>
      </c>
      <c r="FP51" s="3">
        <f>ROUND(0.0,2)</f>
        <v/>
      </c>
      <c r="FQ51" s="3">
        <f>ROUND(0.0,2)</f>
        <v/>
      </c>
      <c r="FR51" s="3">
        <f>ROUND(0.0,2)</f>
        <v/>
      </c>
      <c r="FS51" s="3">
        <f>ROUND(0.0,2)</f>
        <v/>
      </c>
      <c r="FT51" s="3">
        <f>ROUND(0.0,2)</f>
        <v/>
      </c>
      <c r="FU51" s="3">
        <f>ROUND(0.0,2)</f>
        <v/>
      </c>
      <c r="FV51" s="3">
        <f>ROUND(0.0,2)</f>
        <v/>
      </c>
      <c r="FW51" s="4">
        <f>IFERROR((FQ51/FP51),0)</f>
        <v/>
      </c>
      <c r="FX51" s="4">
        <f>IFERROR(((0+FO11+FO12+FO13+FO14+FO15+FO16+FO17+FO19+FO20+FO21+FO22+FO23+FO24+FO25+FO27+FO28+FO29+FO30+FO31+FO32+FO33+FO35+FO36+FO37+FO38+FO39+FO40+FO41+FO43+FO44+FO45+FO46+FO47+FO48+FO49+FO51)/T2),0)</f>
        <v/>
      </c>
      <c r="FY51" s="5">
        <f>IFERROR(ROUND(FO51/FQ51,2),0)</f>
        <v/>
      </c>
      <c r="FZ51" s="5">
        <f>IFERROR(ROUND(FO51/FR51,2),0)</f>
        <v/>
      </c>
      <c r="GA51" s="2" t="inlineStr">
        <is>
          <t>2023-10-25</t>
        </is>
      </c>
      <c r="GB51" s="5">
        <f>ROUND(0.0,2)</f>
        <v/>
      </c>
      <c r="GC51" s="3">
        <f>ROUND(0.0,2)</f>
        <v/>
      </c>
      <c r="GD51" s="3">
        <f>ROUND(0.0,2)</f>
        <v/>
      </c>
      <c r="GE51" s="3">
        <f>ROUND(0.0,2)</f>
        <v/>
      </c>
      <c r="GF51" s="3">
        <f>ROUND(0.0,2)</f>
        <v/>
      </c>
      <c r="GG51" s="3">
        <f>ROUND(0.0,2)</f>
        <v/>
      </c>
      <c r="GH51" s="3">
        <f>ROUND(0.0,2)</f>
        <v/>
      </c>
      <c r="GI51" s="3">
        <f>ROUND(0.0,2)</f>
        <v/>
      </c>
      <c r="GJ51" s="4">
        <f>IFERROR((GD51/GC51),0)</f>
        <v/>
      </c>
      <c r="GK51" s="4">
        <f>IFERROR(((0+GB11+GB12+GB13+GB14+GB15+GB16+GB17+GB19+GB20+GB21+GB22+GB23+GB24+GB25+GB27+GB28+GB29+GB30+GB31+GB32+GB33+GB35+GB36+GB37+GB38+GB39+GB40+GB41+GB43+GB44+GB45+GB46+GB47+GB48+GB49+GB51)/T2),0)</f>
        <v/>
      </c>
      <c r="GL51" s="5">
        <f>IFERROR(ROUND(GB51/GD51,2),0)</f>
        <v/>
      </c>
      <c r="GM51" s="5">
        <f>IFERROR(ROUND(GB51/GE51,2),0)</f>
        <v/>
      </c>
      <c r="GN51" s="2" t="inlineStr">
        <is>
          <t>2023-10-25</t>
        </is>
      </c>
      <c r="GO51" s="5">
        <f>ROUND(0.0,2)</f>
        <v/>
      </c>
      <c r="GP51" s="3">
        <f>ROUND(0.0,2)</f>
        <v/>
      </c>
      <c r="GQ51" s="3">
        <f>ROUND(0.0,2)</f>
        <v/>
      </c>
      <c r="GR51" s="3">
        <f>ROUND(0.0,2)</f>
        <v/>
      </c>
      <c r="GS51" s="3">
        <f>ROUND(0.0,2)</f>
        <v/>
      </c>
      <c r="GT51" s="3">
        <f>ROUND(0.0,2)</f>
        <v/>
      </c>
      <c r="GU51" s="3">
        <f>ROUND(0.0,2)</f>
        <v/>
      </c>
      <c r="GV51" s="3">
        <f>ROUND(0.0,2)</f>
        <v/>
      </c>
      <c r="GW51" s="4">
        <f>IFERROR((GQ51/GP51),0)</f>
        <v/>
      </c>
      <c r="GX51" s="4">
        <f>IFERROR(((0+GO11+GO12+GO13+GO14+GO15+GO16+GO17+GO19+GO20+GO21+GO22+GO23+GO24+GO25+GO27+GO28+GO29+GO30+GO31+GO32+GO33+GO35+GO36+GO37+GO38+GO39+GO40+GO41+GO43+GO44+GO45+GO46+GO47+GO48+GO49+GO51)/T2),0)</f>
        <v/>
      </c>
      <c r="GY51" s="5">
        <f>IFERROR(ROUND(GO51/GQ51,2),0)</f>
        <v/>
      </c>
      <c r="GZ51" s="5">
        <f>IFERROR(ROUND(GO51/GR51,2),0)</f>
        <v/>
      </c>
      <c r="HA51" s="2" t="inlineStr">
        <is>
          <t>2023-10-25</t>
        </is>
      </c>
      <c r="HB51" s="5">
        <f>ROUND(0.0,2)</f>
        <v/>
      </c>
      <c r="HC51" s="3">
        <f>ROUND(0.0,2)</f>
        <v/>
      </c>
      <c r="HD51" s="3">
        <f>ROUND(0.0,2)</f>
        <v/>
      </c>
      <c r="HE51" s="3">
        <f>ROUND(0.0,2)</f>
        <v/>
      </c>
      <c r="HF51" s="3">
        <f>ROUND(0.0,2)</f>
        <v/>
      </c>
      <c r="HG51" s="3">
        <f>ROUND(0.0,2)</f>
        <v/>
      </c>
      <c r="HH51" s="3">
        <f>ROUND(0.0,2)</f>
        <v/>
      </c>
      <c r="HI51" s="3">
        <f>ROUND(0.0,2)</f>
        <v/>
      </c>
      <c r="HJ51" s="4">
        <f>IFERROR((HD51/HC51),0)</f>
        <v/>
      </c>
      <c r="HK51" s="4">
        <f>IFERROR(((0+HB11+HB12+HB13+HB14+HB15+HB16+HB17+HB19+HB20+HB21+HB22+HB23+HB24+HB25+HB27+HB28+HB29+HB30+HB31+HB32+HB33+HB35+HB36+HB37+HB38+HB39+HB40+HB41+HB43+HB44+HB45+HB46+HB47+HB48+HB49+HB51)/T2),0)</f>
        <v/>
      </c>
      <c r="HL51" s="5">
        <f>IFERROR(ROUND(HB51/HD51,2),0)</f>
        <v/>
      </c>
      <c r="HM51" s="5">
        <f>IFERROR(ROUND(HB51/HE51,2),0)</f>
        <v/>
      </c>
      <c r="HN51" s="2" t="inlineStr">
        <is>
          <t>2023-10-25</t>
        </is>
      </c>
      <c r="HO51" s="5">
        <f>ROUND(0.0,2)</f>
        <v/>
      </c>
      <c r="HP51" s="3">
        <f>ROUND(0.0,2)</f>
        <v/>
      </c>
      <c r="HQ51" s="3">
        <f>ROUND(0.0,2)</f>
        <v/>
      </c>
      <c r="HR51" s="3">
        <f>ROUND(0.0,2)</f>
        <v/>
      </c>
      <c r="HS51" s="3">
        <f>ROUND(0.0,2)</f>
        <v/>
      </c>
      <c r="HT51" s="3">
        <f>ROUND(0.0,2)</f>
        <v/>
      </c>
      <c r="HU51" s="3">
        <f>ROUND(0.0,2)</f>
        <v/>
      </c>
      <c r="HV51" s="3">
        <f>ROUND(0.0,2)</f>
        <v/>
      </c>
      <c r="HW51" s="4">
        <f>IFERROR((HQ51/HP51),0)</f>
        <v/>
      </c>
      <c r="HX51" s="4">
        <f>IFERROR(((0+HO11+HO12+HO13+HO14+HO15+HO16+HO17+HO19+HO20+HO21+HO22+HO23+HO24+HO25+HO27+HO28+HO29+HO30+HO31+HO32+HO33+HO35+HO36+HO37+HO38+HO39+HO40+HO41+HO43+HO44+HO45+HO46+HO47+HO48+HO49+HO51)/T2),0)</f>
        <v/>
      </c>
      <c r="HY51" s="5">
        <f>IFERROR(ROUND(HO51/HQ51,2),0)</f>
        <v/>
      </c>
      <c r="HZ51" s="5">
        <f>IFERROR(ROUND(HO51/HR51,2),0)</f>
        <v/>
      </c>
      <c r="IA51" s="2" t="inlineStr">
        <is>
          <t>2023-10-25</t>
        </is>
      </c>
      <c r="IB51" s="5">
        <f>ROUND(0.0,2)</f>
        <v/>
      </c>
      <c r="IC51" s="3">
        <f>ROUND(0.0,2)</f>
        <v/>
      </c>
      <c r="ID51" s="3">
        <f>ROUND(0.0,2)</f>
        <v/>
      </c>
      <c r="IE51" s="3">
        <f>ROUND(0.0,2)</f>
        <v/>
      </c>
      <c r="IF51" s="3">
        <f>ROUND(0.0,2)</f>
        <v/>
      </c>
      <c r="IG51" s="3">
        <f>ROUND(0.0,2)</f>
        <v/>
      </c>
      <c r="IH51" s="3">
        <f>ROUND(0.0,2)</f>
        <v/>
      </c>
      <c r="II51" s="3">
        <f>ROUND(0.0,2)</f>
        <v/>
      </c>
      <c r="IJ51" s="4">
        <f>IFERROR((ID51/IC51),0)</f>
        <v/>
      </c>
      <c r="IK51" s="4">
        <f>IFERROR(((0+IB11+IB12+IB13+IB14+IB15+IB16+IB17+IB19+IB20+IB21+IB22+IB23+IB24+IB25+IB27+IB28+IB29+IB30+IB31+IB32+IB33+IB35+IB36+IB37+IB38+IB39+IB40+IB41+IB43+IB44+IB45+IB46+IB47+IB48+IB49+IB51)/T2),0)</f>
        <v/>
      </c>
      <c r="IL51" s="5">
        <f>IFERROR(ROUND(IB51/ID51,2),0)</f>
        <v/>
      </c>
      <c r="IM51" s="5">
        <f>IFERROR(ROUND(IB51/IE51,2),0)</f>
        <v/>
      </c>
      <c r="IN51" s="2" t="inlineStr">
        <is>
          <t>2023-10-25</t>
        </is>
      </c>
      <c r="IO51" s="5">
        <f>ROUND(0.0,2)</f>
        <v/>
      </c>
      <c r="IP51" s="3">
        <f>ROUND(0.0,2)</f>
        <v/>
      </c>
      <c r="IQ51" s="3">
        <f>ROUND(0.0,2)</f>
        <v/>
      </c>
      <c r="IR51" s="3">
        <f>ROUND(0.0,2)</f>
        <v/>
      </c>
      <c r="IS51" s="3">
        <f>ROUND(0.0,2)</f>
        <v/>
      </c>
      <c r="IT51" s="3">
        <f>ROUND(0.0,2)</f>
        <v/>
      </c>
      <c r="IU51" s="3">
        <f>ROUND(0.0,2)</f>
        <v/>
      </c>
      <c r="IV51" s="3">
        <f>ROUND(0.0,2)</f>
        <v/>
      </c>
      <c r="IW51" s="4">
        <f>IFERROR((IQ51/IP51),0)</f>
        <v/>
      </c>
      <c r="IX51" s="4">
        <f>IFERROR(((0+IO11+IO12+IO13+IO14+IO15+IO16+IO17+IO19+IO20+IO21+IO22+IO23+IO24+IO25+IO27+IO28+IO29+IO30+IO31+IO32+IO33+IO35+IO36+IO37+IO38+IO39+IO40+IO41+IO43+IO44+IO45+IO46+IO47+IO48+IO49+IO51)/T2),0)</f>
        <v/>
      </c>
      <c r="IY51" s="5">
        <f>IFERROR(ROUND(IO51/IQ51,2),0)</f>
        <v/>
      </c>
      <c r="IZ51" s="5">
        <f>IFERROR(ROUND(IO51/IR51,2),0)</f>
        <v/>
      </c>
      <c r="JA51" s="2" t="inlineStr">
        <is>
          <t>2023-10-25</t>
        </is>
      </c>
      <c r="JB51" s="5">
        <f>ROUND(0.0,2)</f>
        <v/>
      </c>
      <c r="JC51" s="3">
        <f>ROUND(0.0,2)</f>
        <v/>
      </c>
      <c r="JD51" s="3">
        <f>ROUND(0.0,2)</f>
        <v/>
      </c>
      <c r="JE51" s="3">
        <f>ROUND(0.0,2)</f>
        <v/>
      </c>
      <c r="JF51" s="3">
        <f>ROUND(0.0,2)</f>
        <v/>
      </c>
      <c r="JG51" s="3">
        <f>ROUND(0.0,2)</f>
        <v/>
      </c>
      <c r="JH51" s="3">
        <f>ROUND(0.0,2)</f>
        <v/>
      </c>
      <c r="JI51" s="3">
        <f>ROUND(0.0,2)</f>
        <v/>
      </c>
      <c r="JJ51" s="4">
        <f>IFERROR((JD51/JC51),0)</f>
        <v/>
      </c>
      <c r="JK51" s="4">
        <f>IFERROR(((0+JB11+JB12+JB13+JB14+JB15+JB16+JB17+JB19+JB20+JB21+JB22+JB23+JB24+JB25+JB27+JB28+JB29+JB30+JB31+JB32+JB33+JB35+JB36+JB37+JB38+JB39+JB40+JB41+JB43+JB44+JB45+JB46+JB47+JB48+JB49+JB51)/T2),0)</f>
        <v/>
      </c>
      <c r="JL51" s="5">
        <f>IFERROR(ROUND(JB51/JD51,2),0)</f>
        <v/>
      </c>
      <c r="JM51" s="5">
        <f>IFERROR(ROUND(JB51/JE51,2),0)</f>
        <v/>
      </c>
    </row>
    <row r="52">
      <c r="A52" s="2" t="inlineStr">
        <is>
          <t>2023-10-26</t>
        </is>
      </c>
      <c r="B52" s="5">
        <f>ROUND(0.0,2)</f>
        <v/>
      </c>
      <c r="C52" s="3">
        <f>ROUND(0.0,2)</f>
        <v/>
      </c>
      <c r="D52" s="3">
        <f>ROUND(0.0,2)</f>
        <v/>
      </c>
      <c r="E52" s="3">
        <f>ROUND(0.0,2)</f>
        <v/>
      </c>
      <c r="F52" s="3">
        <f>ROUND(0.0,2)</f>
        <v/>
      </c>
      <c r="G52" s="3">
        <f>ROUND(0.0,2)</f>
        <v/>
      </c>
      <c r="H52" s="3">
        <f>ROUND(0.0,2)</f>
        <v/>
      </c>
      <c r="I52" s="3">
        <f>ROUND(0.0,2)</f>
        <v/>
      </c>
      <c r="J52" s="4">
        <f>IFERROR((D52/C52),0)</f>
        <v/>
      </c>
      <c r="K52" s="4">
        <f>IFERROR(((0+B11+B12+B13+B14+B15+B16+B17+B19+B20+B21+B22+B23+B24+B25+B27+B28+B29+B30+B31+B32+B33+B35+B36+B37+B38+B39+B40+B41+B43+B44+B45+B46+B47+B48+B49+B51+B52)/T2),0)</f>
        <v/>
      </c>
      <c r="L52" s="5">
        <f>IFERROR(ROUND(B52/D52,2),0)</f>
        <v/>
      </c>
      <c r="M52" s="5">
        <f>IFERROR(ROUND(B52/E52,2),0)</f>
        <v/>
      </c>
      <c r="N52" s="2" t="inlineStr">
        <is>
          <t>2023-10-26</t>
        </is>
      </c>
      <c r="O52" s="5">
        <f>ROUND(0.0,2)</f>
        <v/>
      </c>
      <c r="P52" s="3">
        <f>ROUND(0.0,2)</f>
        <v/>
      </c>
      <c r="Q52" s="3">
        <f>ROUND(0.0,2)</f>
        <v/>
      </c>
      <c r="R52" s="3">
        <f>ROUND(0.0,2)</f>
        <v/>
      </c>
      <c r="S52" s="3">
        <f>ROUND(0.0,2)</f>
        <v/>
      </c>
      <c r="T52" s="3">
        <f>ROUND(0.0,2)</f>
        <v/>
      </c>
      <c r="U52" s="3">
        <f>ROUND(0.0,2)</f>
        <v/>
      </c>
      <c r="V52" s="3">
        <f>ROUND(0.0,2)</f>
        <v/>
      </c>
      <c r="W52" s="4">
        <f>IFERROR((Q52/P52),0)</f>
        <v/>
      </c>
      <c r="X52" s="4">
        <f>IFERROR(((0+O11+O12+O13+O14+O15+O16+O17+O19+O20+O21+O22+O23+O24+O25+O27+O28+O29+O30+O31+O32+O33+O35+O36+O37+O38+O39+O40+O41+O43+O44+O45+O46+O47+O48+O49+O51+O52)/T2),0)</f>
        <v/>
      </c>
      <c r="Y52" s="5">
        <f>IFERROR(ROUND(O52/Q52,2),0)</f>
        <v/>
      </c>
      <c r="Z52" s="5">
        <f>IFERROR(ROUND(O52/R52,2),0)</f>
        <v/>
      </c>
      <c r="AA52" s="2" t="inlineStr">
        <is>
          <t>2023-10-26</t>
        </is>
      </c>
      <c r="AB52" s="5">
        <f>ROUND(0.0,2)</f>
        <v/>
      </c>
      <c r="AC52" s="3">
        <f>ROUND(0.0,2)</f>
        <v/>
      </c>
      <c r="AD52" s="3">
        <f>ROUND(0.0,2)</f>
        <v/>
      </c>
      <c r="AE52" s="3">
        <f>ROUND(0.0,2)</f>
        <v/>
      </c>
      <c r="AF52" s="3">
        <f>ROUND(0.0,2)</f>
        <v/>
      </c>
      <c r="AG52" s="3">
        <f>ROUND(0.0,2)</f>
        <v/>
      </c>
      <c r="AH52" s="3">
        <f>ROUND(0.0,2)</f>
        <v/>
      </c>
      <c r="AI52" s="3">
        <f>ROUND(0.0,2)</f>
        <v/>
      </c>
      <c r="AJ52" s="4">
        <f>IFERROR((AD52/AC52),0)</f>
        <v/>
      </c>
      <c r="AK52" s="4">
        <f>IFERROR(((0+AB11+AB12+AB13+AB14+AB15+AB16+AB17+AB19+AB20+AB21+AB22+AB23+AB24+AB25+AB27+AB28+AB29+AB30+AB31+AB32+AB33+AB35+AB36+AB37+AB38+AB39+AB40+AB41+AB43+AB44+AB45+AB46+AB47+AB48+AB49+AB51+AB52)/T2),0)</f>
        <v/>
      </c>
      <c r="AL52" s="5">
        <f>IFERROR(ROUND(AB52/AD52,2),0)</f>
        <v/>
      </c>
      <c r="AM52" s="5">
        <f>IFERROR(ROUND(AB52/AE52,2),0)</f>
        <v/>
      </c>
      <c r="AN52" s="2" t="inlineStr">
        <is>
          <t>2023-10-26</t>
        </is>
      </c>
      <c r="AO52" s="5">
        <f>ROUND(0.0,2)</f>
        <v/>
      </c>
      <c r="AP52" s="3">
        <f>ROUND(0.0,2)</f>
        <v/>
      </c>
      <c r="AQ52" s="3">
        <f>ROUND(0.0,2)</f>
        <v/>
      </c>
      <c r="AR52" s="3">
        <f>ROUND(0.0,2)</f>
        <v/>
      </c>
      <c r="AS52" s="3">
        <f>ROUND(0.0,2)</f>
        <v/>
      </c>
      <c r="AT52" s="3">
        <f>ROUND(0.0,2)</f>
        <v/>
      </c>
      <c r="AU52" s="3">
        <f>ROUND(0.0,2)</f>
        <v/>
      </c>
      <c r="AV52" s="3">
        <f>ROUND(0.0,2)</f>
        <v/>
      </c>
      <c r="AW52" s="4">
        <f>IFERROR((AQ52/AP52),0)</f>
        <v/>
      </c>
      <c r="AX52" s="4">
        <f>IFERROR(((0+AO11+AO12+AO13+AO14+AO15+AO16+AO17+AO19+AO20+AO21+AO22+AO23+AO24+AO25+AO27+AO28+AO29+AO30+AO31+AO32+AO33+AO35+AO36+AO37+AO38+AO39+AO40+AO41+AO43+AO44+AO45+AO46+AO47+AO48+AO49+AO51+AO52)/T2),0)</f>
        <v/>
      </c>
      <c r="AY52" s="5">
        <f>IFERROR(ROUND(AO52/AQ52,2),0)</f>
        <v/>
      </c>
      <c r="AZ52" s="5">
        <f>IFERROR(ROUND(AO52/AR52,2),0)</f>
        <v/>
      </c>
      <c r="BA52" s="2" t="inlineStr">
        <is>
          <t>2023-10-26</t>
        </is>
      </c>
      <c r="BB52" s="5">
        <f>ROUND(0.0,2)</f>
        <v/>
      </c>
      <c r="BC52" s="3">
        <f>ROUND(0.0,2)</f>
        <v/>
      </c>
      <c r="BD52" s="3">
        <f>ROUND(0.0,2)</f>
        <v/>
      </c>
      <c r="BE52" s="3">
        <f>ROUND(0.0,2)</f>
        <v/>
      </c>
      <c r="BF52" s="3">
        <f>ROUND(0.0,2)</f>
        <v/>
      </c>
      <c r="BG52" s="3">
        <f>ROUND(0.0,2)</f>
        <v/>
      </c>
      <c r="BH52" s="3">
        <f>ROUND(0.0,2)</f>
        <v/>
      </c>
      <c r="BI52" s="3">
        <f>ROUND(0.0,2)</f>
        <v/>
      </c>
      <c r="BJ52" s="4">
        <f>IFERROR((BD52/BC52),0)</f>
        <v/>
      </c>
      <c r="BK52" s="4">
        <f>IFERROR(((0+BB11+BB12+BB13+BB14+BB15+BB16+BB17+BB19+BB20+BB21+BB22+BB23+BB24+BB25+BB27+BB28+BB29+BB30+BB31+BB32+BB33+BB35+BB36+BB37+BB38+BB39+BB40+BB41+BB43+BB44+BB45+BB46+BB47+BB48+BB49+BB51+BB52)/T2),0)</f>
        <v/>
      </c>
      <c r="BL52" s="5">
        <f>IFERROR(ROUND(BB52/BD52,2),0)</f>
        <v/>
      </c>
      <c r="BM52" s="5">
        <f>IFERROR(ROUND(BB52/BE52,2),0)</f>
        <v/>
      </c>
      <c r="BN52" s="2" t="inlineStr">
        <is>
          <t>2023-10-26</t>
        </is>
      </c>
      <c r="BO52" s="5">
        <f>ROUND(0.0,2)</f>
        <v/>
      </c>
      <c r="BP52" s="3">
        <f>ROUND(0.0,2)</f>
        <v/>
      </c>
      <c r="BQ52" s="3">
        <f>ROUND(0.0,2)</f>
        <v/>
      </c>
      <c r="BR52" s="3">
        <f>ROUND(0.0,2)</f>
        <v/>
      </c>
      <c r="BS52" s="3">
        <f>ROUND(0.0,2)</f>
        <v/>
      </c>
      <c r="BT52" s="3">
        <f>ROUND(0.0,2)</f>
        <v/>
      </c>
      <c r="BU52" s="3">
        <f>ROUND(0.0,2)</f>
        <v/>
      </c>
      <c r="BV52" s="3">
        <f>ROUND(0.0,2)</f>
        <v/>
      </c>
      <c r="BW52" s="4">
        <f>IFERROR((BQ52/BP52),0)</f>
        <v/>
      </c>
      <c r="BX52" s="4">
        <f>IFERROR(((0+BO11+BO12+BO13+BO14+BO15+BO16+BO17+BO19+BO20+BO21+BO22+BO23+BO24+BO25+BO27+BO28+BO29+BO30+BO31+BO32+BO33+BO35+BO36+BO37+BO38+BO39+BO40+BO41+BO43+BO44+BO45+BO46+BO47+BO48+BO49+BO51+BO52)/T2),0)</f>
        <v/>
      </c>
      <c r="BY52" s="5">
        <f>IFERROR(ROUND(BO52/BQ52,2),0)</f>
        <v/>
      </c>
      <c r="BZ52" s="5">
        <f>IFERROR(ROUND(BO52/BR52,2),0)</f>
        <v/>
      </c>
      <c r="CA52" s="2" t="inlineStr">
        <is>
          <t>2023-10-26</t>
        </is>
      </c>
      <c r="CB52" s="5">
        <f>ROUND(0.0,2)</f>
        <v/>
      </c>
      <c r="CC52" s="3">
        <f>ROUND(0.0,2)</f>
        <v/>
      </c>
      <c r="CD52" s="3">
        <f>ROUND(0.0,2)</f>
        <v/>
      </c>
      <c r="CE52" s="3">
        <f>ROUND(0.0,2)</f>
        <v/>
      </c>
      <c r="CF52" s="3">
        <f>ROUND(0.0,2)</f>
        <v/>
      </c>
      <c r="CG52" s="3">
        <f>ROUND(0.0,2)</f>
        <v/>
      </c>
      <c r="CH52" s="3">
        <f>ROUND(0.0,2)</f>
        <v/>
      </c>
      <c r="CI52" s="3">
        <f>ROUND(0.0,2)</f>
        <v/>
      </c>
      <c r="CJ52" s="4">
        <f>IFERROR((CD52/CC52),0)</f>
        <v/>
      </c>
      <c r="CK52" s="4">
        <f>IFERROR(((0+CB11+CB12+CB13+CB14+CB15+CB16+CB17+CB19+CB20+CB21+CB22+CB23+CB24+CB25+CB27+CB28+CB29+CB30+CB31+CB32+CB33+CB35+CB36+CB37+CB38+CB39+CB40+CB41+CB43+CB44+CB45+CB46+CB47+CB48+CB49+CB51+CB52)/T2),0)</f>
        <v/>
      </c>
      <c r="CL52" s="5">
        <f>IFERROR(ROUND(CB52/CD52,2),0)</f>
        <v/>
      </c>
      <c r="CM52" s="5">
        <f>IFERROR(ROUND(CB52/CE52,2),0)</f>
        <v/>
      </c>
      <c r="CN52" s="2" t="inlineStr">
        <is>
          <t>2023-10-26</t>
        </is>
      </c>
      <c r="CO52" s="5">
        <f>ROUND(0.0,2)</f>
        <v/>
      </c>
      <c r="CP52" s="3">
        <f>ROUND(0.0,2)</f>
        <v/>
      </c>
      <c r="CQ52" s="3">
        <f>ROUND(0.0,2)</f>
        <v/>
      </c>
      <c r="CR52" s="3">
        <f>ROUND(0.0,2)</f>
        <v/>
      </c>
      <c r="CS52" s="3">
        <f>ROUND(0.0,2)</f>
        <v/>
      </c>
      <c r="CT52" s="3">
        <f>ROUND(0.0,2)</f>
        <v/>
      </c>
      <c r="CU52" s="3">
        <f>ROUND(0.0,2)</f>
        <v/>
      </c>
      <c r="CV52" s="3">
        <f>ROUND(0.0,2)</f>
        <v/>
      </c>
      <c r="CW52" s="4">
        <f>IFERROR((CQ52/CP52),0)</f>
        <v/>
      </c>
      <c r="CX52" s="4">
        <f>IFERROR(((0+CO11+CO12+CO13+CO14+CO15+CO16+CO17+CO19+CO20+CO21+CO22+CO23+CO24+CO25+CO27+CO28+CO29+CO30+CO31+CO32+CO33+CO35+CO36+CO37+CO38+CO39+CO40+CO41+CO43+CO44+CO45+CO46+CO47+CO48+CO49+CO51+CO52)/T2),0)</f>
        <v/>
      </c>
      <c r="CY52" s="5">
        <f>IFERROR(ROUND(CO52/CQ52,2),0)</f>
        <v/>
      </c>
      <c r="CZ52" s="5">
        <f>IFERROR(ROUND(CO52/CR52,2),0)</f>
        <v/>
      </c>
      <c r="DA52" s="2" t="inlineStr">
        <is>
          <t>2023-10-26</t>
        </is>
      </c>
      <c r="DB52" s="5">
        <f>ROUND(0.0,2)</f>
        <v/>
      </c>
      <c r="DC52" s="3">
        <f>ROUND(0.0,2)</f>
        <v/>
      </c>
      <c r="DD52" s="3">
        <f>ROUND(0.0,2)</f>
        <v/>
      </c>
      <c r="DE52" s="3">
        <f>ROUND(0.0,2)</f>
        <v/>
      </c>
      <c r="DF52" s="3">
        <f>ROUND(0.0,2)</f>
        <v/>
      </c>
      <c r="DG52" s="3">
        <f>ROUND(0.0,2)</f>
        <v/>
      </c>
      <c r="DH52" s="3">
        <f>ROUND(0.0,2)</f>
        <v/>
      </c>
      <c r="DI52" s="3">
        <f>ROUND(0.0,2)</f>
        <v/>
      </c>
      <c r="DJ52" s="4">
        <f>IFERROR((DD52/DC52),0)</f>
        <v/>
      </c>
      <c r="DK52" s="4">
        <f>IFERROR(((0+DB11+DB12+DB13+DB14+DB15+DB16+DB17+DB19+DB20+DB21+DB22+DB23+DB24+DB25+DB27+DB28+DB29+DB30+DB31+DB32+DB33+DB35+DB36+DB37+DB38+DB39+DB40+DB41+DB43+DB44+DB45+DB46+DB47+DB48+DB49+DB51+DB52)/T2),0)</f>
        <v/>
      </c>
      <c r="DL52" s="5">
        <f>IFERROR(ROUND(DB52/DD52,2),0)</f>
        <v/>
      </c>
      <c r="DM52" s="5">
        <f>IFERROR(ROUND(DB52/DE52,2),0)</f>
        <v/>
      </c>
      <c r="DN52" s="2" t="inlineStr">
        <is>
          <t>2023-10-26</t>
        </is>
      </c>
      <c r="DO52" s="5">
        <f>ROUND(0.0,2)</f>
        <v/>
      </c>
      <c r="DP52" s="3">
        <f>ROUND(0.0,2)</f>
        <v/>
      </c>
      <c r="DQ52" s="3">
        <f>ROUND(0.0,2)</f>
        <v/>
      </c>
      <c r="DR52" s="3">
        <f>ROUND(0.0,2)</f>
        <v/>
      </c>
      <c r="DS52" s="3">
        <f>ROUND(0.0,2)</f>
        <v/>
      </c>
      <c r="DT52" s="3">
        <f>ROUND(0.0,2)</f>
        <v/>
      </c>
      <c r="DU52" s="3">
        <f>ROUND(0.0,2)</f>
        <v/>
      </c>
      <c r="DV52" s="3">
        <f>ROUND(0.0,2)</f>
        <v/>
      </c>
      <c r="DW52" s="4">
        <f>IFERROR((DQ52/DP52),0)</f>
        <v/>
      </c>
      <c r="DX52" s="4">
        <f>IFERROR(((0+DO11+DO12+DO13+DO14+DO15+DO16+DO17+DO19+DO20+DO21+DO22+DO23+DO24+DO25+DO27+DO28+DO29+DO30+DO31+DO32+DO33+DO35+DO36+DO37+DO38+DO39+DO40+DO41+DO43+DO44+DO45+DO46+DO47+DO48+DO49+DO51+DO52)/T2),0)</f>
        <v/>
      </c>
      <c r="DY52" s="5">
        <f>IFERROR(ROUND(DO52/DQ52,2),0)</f>
        <v/>
      </c>
      <c r="DZ52" s="5">
        <f>IFERROR(ROUND(DO52/DR52,2),0)</f>
        <v/>
      </c>
      <c r="EA52" s="2" t="inlineStr">
        <is>
          <t>2023-10-26</t>
        </is>
      </c>
      <c r="EB52" s="5">
        <f>ROUND(0.0,2)</f>
        <v/>
      </c>
      <c r="EC52" s="3">
        <f>ROUND(0.0,2)</f>
        <v/>
      </c>
      <c r="ED52" s="3">
        <f>ROUND(0.0,2)</f>
        <v/>
      </c>
      <c r="EE52" s="3">
        <f>ROUND(0.0,2)</f>
        <v/>
      </c>
      <c r="EF52" s="3">
        <f>ROUND(0.0,2)</f>
        <v/>
      </c>
      <c r="EG52" s="3">
        <f>ROUND(0.0,2)</f>
        <v/>
      </c>
      <c r="EH52" s="3">
        <f>ROUND(0.0,2)</f>
        <v/>
      </c>
      <c r="EI52" s="3">
        <f>ROUND(0.0,2)</f>
        <v/>
      </c>
      <c r="EJ52" s="4">
        <f>IFERROR((ED52/EC52),0)</f>
        <v/>
      </c>
      <c r="EK52" s="4">
        <f>IFERROR(((0+EB11+EB12+EB13+EB14+EB15+EB16+EB17+EB19+EB20+EB21+EB22+EB23+EB24+EB25+EB27+EB28+EB29+EB30+EB31+EB32+EB33+EB35+EB36+EB37+EB38+EB39+EB40+EB41+EB43+EB44+EB45+EB46+EB47+EB48+EB49+EB51+EB52)/T2),0)</f>
        <v/>
      </c>
      <c r="EL52" s="5">
        <f>IFERROR(ROUND(EB52/ED52,2),0)</f>
        <v/>
      </c>
      <c r="EM52" s="5">
        <f>IFERROR(ROUND(EB52/EE52,2),0)</f>
        <v/>
      </c>
      <c r="EN52" s="2" t="inlineStr">
        <is>
          <t>2023-10-26</t>
        </is>
      </c>
      <c r="EO52" s="5">
        <f>ROUND(0.0,2)</f>
        <v/>
      </c>
      <c r="EP52" s="3">
        <f>ROUND(0.0,2)</f>
        <v/>
      </c>
      <c r="EQ52" s="3">
        <f>ROUND(0.0,2)</f>
        <v/>
      </c>
      <c r="ER52" s="3">
        <f>ROUND(0.0,2)</f>
        <v/>
      </c>
      <c r="ES52" s="3">
        <f>ROUND(0.0,2)</f>
        <v/>
      </c>
      <c r="ET52" s="3">
        <f>ROUND(0.0,2)</f>
        <v/>
      </c>
      <c r="EU52" s="3">
        <f>ROUND(0.0,2)</f>
        <v/>
      </c>
      <c r="EV52" s="3">
        <f>ROUND(0.0,2)</f>
        <v/>
      </c>
      <c r="EW52" s="4">
        <f>IFERROR((EQ52/EP52),0)</f>
        <v/>
      </c>
      <c r="EX52" s="4">
        <f>IFERROR(((0+EO11+EO12+EO13+EO14+EO15+EO16+EO17+EO19+EO20+EO21+EO22+EO23+EO24+EO25+EO27+EO28+EO29+EO30+EO31+EO32+EO33+EO35+EO36+EO37+EO38+EO39+EO40+EO41+EO43+EO44+EO45+EO46+EO47+EO48+EO49+EO51+EO52)/T2),0)</f>
        <v/>
      </c>
      <c r="EY52" s="5">
        <f>IFERROR(ROUND(EO52/EQ52,2),0)</f>
        <v/>
      </c>
      <c r="EZ52" s="5">
        <f>IFERROR(ROUND(EO52/ER52,2),0)</f>
        <v/>
      </c>
      <c r="FA52" s="2" t="inlineStr">
        <is>
          <t>2023-10-26</t>
        </is>
      </c>
      <c r="FB52" s="5">
        <f>ROUND(0.0,2)</f>
        <v/>
      </c>
      <c r="FC52" s="3">
        <f>ROUND(0.0,2)</f>
        <v/>
      </c>
      <c r="FD52" s="3">
        <f>ROUND(0.0,2)</f>
        <v/>
      </c>
      <c r="FE52" s="3">
        <f>ROUND(0.0,2)</f>
        <v/>
      </c>
      <c r="FF52" s="3">
        <f>ROUND(0.0,2)</f>
        <v/>
      </c>
      <c r="FG52" s="3">
        <f>ROUND(0.0,2)</f>
        <v/>
      </c>
      <c r="FH52" s="3">
        <f>ROUND(0.0,2)</f>
        <v/>
      </c>
      <c r="FI52" s="3">
        <f>ROUND(0.0,2)</f>
        <v/>
      </c>
      <c r="FJ52" s="4">
        <f>IFERROR((FD52/FC52),0)</f>
        <v/>
      </c>
      <c r="FK52" s="4">
        <f>IFERROR(((0+FB11+FB12+FB13+FB14+FB15+FB16+FB17+FB19+FB20+FB21+FB22+FB23+FB24+FB25+FB27+FB28+FB29+FB30+FB31+FB32+FB33+FB35+FB36+FB37+FB38+FB39+FB40+FB41+FB43+FB44+FB45+FB46+FB47+FB48+FB49+FB51+FB52)/T2),0)</f>
        <v/>
      </c>
      <c r="FL52" s="5">
        <f>IFERROR(ROUND(FB52/FD52,2),0)</f>
        <v/>
      </c>
      <c r="FM52" s="5">
        <f>IFERROR(ROUND(FB52/FE52,2),0)</f>
        <v/>
      </c>
      <c r="FN52" s="2" t="inlineStr">
        <is>
          <t>2023-10-26</t>
        </is>
      </c>
      <c r="FO52" s="5">
        <f>ROUND(0.0,2)</f>
        <v/>
      </c>
      <c r="FP52" s="3">
        <f>ROUND(0.0,2)</f>
        <v/>
      </c>
      <c r="FQ52" s="3">
        <f>ROUND(0.0,2)</f>
        <v/>
      </c>
      <c r="FR52" s="3">
        <f>ROUND(0.0,2)</f>
        <v/>
      </c>
      <c r="FS52" s="3">
        <f>ROUND(0.0,2)</f>
        <v/>
      </c>
      <c r="FT52" s="3">
        <f>ROUND(0.0,2)</f>
        <v/>
      </c>
      <c r="FU52" s="3">
        <f>ROUND(0.0,2)</f>
        <v/>
      </c>
      <c r="FV52" s="3">
        <f>ROUND(0.0,2)</f>
        <v/>
      </c>
      <c r="FW52" s="4">
        <f>IFERROR((FQ52/FP52),0)</f>
        <v/>
      </c>
      <c r="FX52" s="4">
        <f>IFERROR(((0+FO11+FO12+FO13+FO14+FO15+FO16+FO17+FO19+FO20+FO21+FO22+FO23+FO24+FO25+FO27+FO28+FO29+FO30+FO31+FO32+FO33+FO35+FO36+FO37+FO38+FO39+FO40+FO41+FO43+FO44+FO45+FO46+FO47+FO48+FO49+FO51+FO52)/T2),0)</f>
        <v/>
      </c>
      <c r="FY52" s="5">
        <f>IFERROR(ROUND(FO52/FQ52,2),0)</f>
        <v/>
      </c>
      <c r="FZ52" s="5">
        <f>IFERROR(ROUND(FO52/FR52,2),0)</f>
        <v/>
      </c>
      <c r="GA52" s="2" t="inlineStr">
        <is>
          <t>2023-10-26</t>
        </is>
      </c>
      <c r="GB52" s="5">
        <f>ROUND(0.0,2)</f>
        <v/>
      </c>
      <c r="GC52" s="3">
        <f>ROUND(0.0,2)</f>
        <v/>
      </c>
      <c r="GD52" s="3">
        <f>ROUND(0.0,2)</f>
        <v/>
      </c>
      <c r="GE52" s="3">
        <f>ROUND(0.0,2)</f>
        <v/>
      </c>
      <c r="GF52" s="3">
        <f>ROUND(0.0,2)</f>
        <v/>
      </c>
      <c r="GG52" s="3">
        <f>ROUND(0.0,2)</f>
        <v/>
      </c>
      <c r="GH52" s="3">
        <f>ROUND(0.0,2)</f>
        <v/>
      </c>
      <c r="GI52" s="3">
        <f>ROUND(0.0,2)</f>
        <v/>
      </c>
      <c r="GJ52" s="4">
        <f>IFERROR((GD52/GC52),0)</f>
        <v/>
      </c>
      <c r="GK52" s="4">
        <f>IFERROR(((0+GB11+GB12+GB13+GB14+GB15+GB16+GB17+GB19+GB20+GB21+GB22+GB23+GB24+GB25+GB27+GB28+GB29+GB30+GB31+GB32+GB33+GB35+GB36+GB37+GB38+GB39+GB40+GB41+GB43+GB44+GB45+GB46+GB47+GB48+GB49+GB51+GB52)/T2),0)</f>
        <v/>
      </c>
      <c r="GL52" s="5">
        <f>IFERROR(ROUND(GB52/GD52,2),0)</f>
        <v/>
      </c>
      <c r="GM52" s="5">
        <f>IFERROR(ROUND(GB52/GE52,2),0)</f>
        <v/>
      </c>
      <c r="GN52" s="2" t="inlineStr">
        <is>
          <t>2023-10-26</t>
        </is>
      </c>
      <c r="GO52" s="5">
        <f>ROUND(0.0,2)</f>
        <v/>
      </c>
      <c r="GP52" s="3">
        <f>ROUND(0.0,2)</f>
        <v/>
      </c>
      <c r="GQ52" s="3">
        <f>ROUND(0.0,2)</f>
        <v/>
      </c>
      <c r="GR52" s="3">
        <f>ROUND(0.0,2)</f>
        <v/>
      </c>
      <c r="GS52" s="3">
        <f>ROUND(0.0,2)</f>
        <v/>
      </c>
      <c r="GT52" s="3">
        <f>ROUND(0.0,2)</f>
        <v/>
      </c>
      <c r="GU52" s="3">
        <f>ROUND(0.0,2)</f>
        <v/>
      </c>
      <c r="GV52" s="3">
        <f>ROUND(0.0,2)</f>
        <v/>
      </c>
      <c r="GW52" s="4">
        <f>IFERROR((GQ52/GP52),0)</f>
        <v/>
      </c>
      <c r="GX52" s="4">
        <f>IFERROR(((0+GO11+GO12+GO13+GO14+GO15+GO16+GO17+GO19+GO20+GO21+GO22+GO23+GO24+GO25+GO27+GO28+GO29+GO30+GO31+GO32+GO33+GO35+GO36+GO37+GO38+GO39+GO40+GO41+GO43+GO44+GO45+GO46+GO47+GO48+GO49+GO51+GO52)/T2),0)</f>
        <v/>
      </c>
      <c r="GY52" s="5">
        <f>IFERROR(ROUND(GO52/GQ52,2),0)</f>
        <v/>
      </c>
      <c r="GZ52" s="5">
        <f>IFERROR(ROUND(GO52/GR52,2),0)</f>
        <v/>
      </c>
      <c r="HA52" s="2" t="inlineStr">
        <is>
          <t>2023-10-26</t>
        </is>
      </c>
      <c r="HB52" s="5">
        <f>ROUND(0.0,2)</f>
        <v/>
      </c>
      <c r="HC52" s="3">
        <f>ROUND(0.0,2)</f>
        <v/>
      </c>
      <c r="HD52" s="3">
        <f>ROUND(0.0,2)</f>
        <v/>
      </c>
      <c r="HE52" s="3">
        <f>ROUND(0.0,2)</f>
        <v/>
      </c>
      <c r="HF52" s="3">
        <f>ROUND(0.0,2)</f>
        <v/>
      </c>
      <c r="HG52" s="3">
        <f>ROUND(0.0,2)</f>
        <v/>
      </c>
      <c r="HH52" s="3">
        <f>ROUND(0.0,2)</f>
        <v/>
      </c>
      <c r="HI52" s="3">
        <f>ROUND(0.0,2)</f>
        <v/>
      </c>
      <c r="HJ52" s="4">
        <f>IFERROR((HD52/HC52),0)</f>
        <v/>
      </c>
      <c r="HK52" s="4">
        <f>IFERROR(((0+HB11+HB12+HB13+HB14+HB15+HB16+HB17+HB19+HB20+HB21+HB22+HB23+HB24+HB25+HB27+HB28+HB29+HB30+HB31+HB32+HB33+HB35+HB36+HB37+HB38+HB39+HB40+HB41+HB43+HB44+HB45+HB46+HB47+HB48+HB49+HB51+HB52)/T2),0)</f>
        <v/>
      </c>
      <c r="HL52" s="5">
        <f>IFERROR(ROUND(HB52/HD52,2),0)</f>
        <v/>
      </c>
      <c r="HM52" s="5">
        <f>IFERROR(ROUND(HB52/HE52,2),0)</f>
        <v/>
      </c>
      <c r="HN52" s="2" t="inlineStr">
        <is>
          <t>2023-10-26</t>
        </is>
      </c>
      <c r="HO52" s="5">
        <f>ROUND(0.0,2)</f>
        <v/>
      </c>
      <c r="HP52" s="3">
        <f>ROUND(0.0,2)</f>
        <v/>
      </c>
      <c r="HQ52" s="3">
        <f>ROUND(0.0,2)</f>
        <v/>
      </c>
      <c r="HR52" s="3">
        <f>ROUND(0.0,2)</f>
        <v/>
      </c>
      <c r="HS52" s="3">
        <f>ROUND(0.0,2)</f>
        <v/>
      </c>
      <c r="HT52" s="3">
        <f>ROUND(0.0,2)</f>
        <v/>
      </c>
      <c r="HU52" s="3">
        <f>ROUND(0.0,2)</f>
        <v/>
      </c>
      <c r="HV52" s="3">
        <f>ROUND(0.0,2)</f>
        <v/>
      </c>
      <c r="HW52" s="4">
        <f>IFERROR((HQ52/HP52),0)</f>
        <v/>
      </c>
      <c r="HX52" s="4">
        <f>IFERROR(((0+HO11+HO12+HO13+HO14+HO15+HO16+HO17+HO19+HO20+HO21+HO22+HO23+HO24+HO25+HO27+HO28+HO29+HO30+HO31+HO32+HO33+HO35+HO36+HO37+HO38+HO39+HO40+HO41+HO43+HO44+HO45+HO46+HO47+HO48+HO49+HO51+HO52)/T2),0)</f>
        <v/>
      </c>
      <c r="HY52" s="5">
        <f>IFERROR(ROUND(HO52/HQ52,2),0)</f>
        <v/>
      </c>
      <c r="HZ52" s="5">
        <f>IFERROR(ROUND(HO52/HR52,2),0)</f>
        <v/>
      </c>
      <c r="IA52" s="2" t="inlineStr">
        <is>
          <t>2023-10-26</t>
        </is>
      </c>
      <c r="IB52" s="5">
        <f>ROUND(0.0,2)</f>
        <v/>
      </c>
      <c r="IC52" s="3">
        <f>ROUND(0.0,2)</f>
        <v/>
      </c>
      <c r="ID52" s="3">
        <f>ROUND(0.0,2)</f>
        <v/>
      </c>
      <c r="IE52" s="3">
        <f>ROUND(0.0,2)</f>
        <v/>
      </c>
      <c r="IF52" s="3">
        <f>ROUND(0.0,2)</f>
        <v/>
      </c>
      <c r="IG52" s="3">
        <f>ROUND(0.0,2)</f>
        <v/>
      </c>
      <c r="IH52" s="3">
        <f>ROUND(0.0,2)</f>
        <v/>
      </c>
      <c r="II52" s="3">
        <f>ROUND(0.0,2)</f>
        <v/>
      </c>
      <c r="IJ52" s="4">
        <f>IFERROR((ID52/IC52),0)</f>
        <v/>
      </c>
      <c r="IK52" s="4">
        <f>IFERROR(((0+IB11+IB12+IB13+IB14+IB15+IB16+IB17+IB19+IB20+IB21+IB22+IB23+IB24+IB25+IB27+IB28+IB29+IB30+IB31+IB32+IB33+IB35+IB36+IB37+IB38+IB39+IB40+IB41+IB43+IB44+IB45+IB46+IB47+IB48+IB49+IB51+IB52)/T2),0)</f>
        <v/>
      </c>
      <c r="IL52" s="5">
        <f>IFERROR(ROUND(IB52/ID52,2),0)</f>
        <v/>
      </c>
      <c r="IM52" s="5">
        <f>IFERROR(ROUND(IB52/IE52,2),0)</f>
        <v/>
      </c>
      <c r="IN52" s="2" t="inlineStr">
        <is>
          <t>2023-10-26</t>
        </is>
      </c>
      <c r="IO52" s="5">
        <f>ROUND(0.0,2)</f>
        <v/>
      </c>
      <c r="IP52" s="3">
        <f>ROUND(0.0,2)</f>
        <v/>
      </c>
      <c r="IQ52" s="3">
        <f>ROUND(0.0,2)</f>
        <v/>
      </c>
      <c r="IR52" s="3">
        <f>ROUND(0.0,2)</f>
        <v/>
      </c>
      <c r="IS52" s="3">
        <f>ROUND(0.0,2)</f>
        <v/>
      </c>
      <c r="IT52" s="3">
        <f>ROUND(0.0,2)</f>
        <v/>
      </c>
      <c r="IU52" s="3">
        <f>ROUND(0.0,2)</f>
        <v/>
      </c>
      <c r="IV52" s="3">
        <f>ROUND(0.0,2)</f>
        <v/>
      </c>
      <c r="IW52" s="4">
        <f>IFERROR((IQ52/IP52),0)</f>
        <v/>
      </c>
      <c r="IX52" s="4">
        <f>IFERROR(((0+IO11+IO12+IO13+IO14+IO15+IO16+IO17+IO19+IO20+IO21+IO22+IO23+IO24+IO25+IO27+IO28+IO29+IO30+IO31+IO32+IO33+IO35+IO36+IO37+IO38+IO39+IO40+IO41+IO43+IO44+IO45+IO46+IO47+IO48+IO49+IO51+IO52)/T2),0)</f>
        <v/>
      </c>
      <c r="IY52" s="5">
        <f>IFERROR(ROUND(IO52/IQ52,2),0)</f>
        <v/>
      </c>
      <c r="IZ52" s="5">
        <f>IFERROR(ROUND(IO52/IR52,2),0)</f>
        <v/>
      </c>
      <c r="JA52" s="2" t="inlineStr">
        <is>
          <t>2023-10-26</t>
        </is>
      </c>
      <c r="JB52" s="5">
        <f>ROUND(0.0,2)</f>
        <v/>
      </c>
      <c r="JC52" s="3">
        <f>ROUND(0.0,2)</f>
        <v/>
      </c>
      <c r="JD52" s="3">
        <f>ROUND(0.0,2)</f>
        <v/>
      </c>
      <c r="JE52" s="3">
        <f>ROUND(0.0,2)</f>
        <v/>
      </c>
      <c r="JF52" s="3">
        <f>ROUND(0.0,2)</f>
        <v/>
      </c>
      <c r="JG52" s="3">
        <f>ROUND(0.0,2)</f>
        <v/>
      </c>
      <c r="JH52" s="3">
        <f>ROUND(0.0,2)</f>
        <v/>
      </c>
      <c r="JI52" s="3">
        <f>ROUND(0.0,2)</f>
        <v/>
      </c>
      <c r="JJ52" s="4">
        <f>IFERROR((JD52/JC52),0)</f>
        <v/>
      </c>
      <c r="JK52" s="4">
        <f>IFERROR(((0+JB11+JB12+JB13+JB14+JB15+JB16+JB17+JB19+JB20+JB21+JB22+JB23+JB24+JB25+JB27+JB28+JB29+JB30+JB31+JB32+JB33+JB35+JB36+JB37+JB38+JB39+JB40+JB41+JB43+JB44+JB45+JB46+JB47+JB48+JB49+JB51+JB52)/T2),0)</f>
        <v/>
      </c>
      <c r="JL52" s="5">
        <f>IFERROR(ROUND(JB52/JD52,2),0)</f>
        <v/>
      </c>
      <c r="JM52" s="5">
        <f>IFERROR(ROUND(JB52/JE52,2),0)</f>
        <v/>
      </c>
    </row>
    <row r="53">
      <c r="A53" s="2" t="inlineStr">
        <is>
          <t>2023-10-27</t>
        </is>
      </c>
      <c r="B53" s="5">
        <f>ROUND(0.0,2)</f>
        <v/>
      </c>
      <c r="C53" s="3">
        <f>ROUND(0.0,2)</f>
        <v/>
      </c>
      <c r="D53" s="3">
        <f>ROUND(0.0,2)</f>
        <v/>
      </c>
      <c r="E53" s="3">
        <f>ROUND(0.0,2)</f>
        <v/>
      </c>
      <c r="F53" s="3">
        <f>ROUND(0.0,2)</f>
        <v/>
      </c>
      <c r="G53" s="3">
        <f>ROUND(0.0,2)</f>
        <v/>
      </c>
      <c r="H53" s="3">
        <f>ROUND(0.0,2)</f>
        <v/>
      </c>
      <c r="I53" s="3">
        <f>ROUND(0.0,2)</f>
        <v/>
      </c>
      <c r="J53" s="4">
        <f>IFERROR((D53/C53),0)</f>
        <v/>
      </c>
      <c r="K53" s="4">
        <f>IFERROR(((0+B11+B12+B13+B14+B15+B16+B17+B19+B20+B21+B22+B23+B24+B25+B27+B28+B29+B30+B31+B32+B33+B35+B36+B37+B38+B39+B40+B41+B43+B44+B45+B46+B47+B48+B49+B51+B52+B53)/T2),0)</f>
        <v/>
      </c>
      <c r="L53" s="5">
        <f>IFERROR(ROUND(B53/D53,2),0)</f>
        <v/>
      </c>
      <c r="M53" s="5">
        <f>IFERROR(ROUND(B53/E53,2),0)</f>
        <v/>
      </c>
      <c r="N53" s="2" t="inlineStr">
        <is>
          <t>2023-10-27</t>
        </is>
      </c>
      <c r="O53" s="5">
        <f>ROUND(0.0,2)</f>
        <v/>
      </c>
      <c r="P53" s="3">
        <f>ROUND(0.0,2)</f>
        <v/>
      </c>
      <c r="Q53" s="3">
        <f>ROUND(0.0,2)</f>
        <v/>
      </c>
      <c r="R53" s="3">
        <f>ROUND(0.0,2)</f>
        <v/>
      </c>
      <c r="S53" s="3">
        <f>ROUND(0.0,2)</f>
        <v/>
      </c>
      <c r="T53" s="3">
        <f>ROUND(0.0,2)</f>
        <v/>
      </c>
      <c r="U53" s="3">
        <f>ROUND(0.0,2)</f>
        <v/>
      </c>
      <c r="V53" s="3">
        <f>ROUND(0.0,2)</f>
        <v/>
      </c>
      <c r="W53" s="4">
        <f>IFERROR((Q53/P53),0)</f>
        <v/>
      </c>
      <c r="X53" s="4">
        <f>IFERROR(((0+O11+O12+O13+O14+O15+O16+O17+O19+O20+O21+O22+O23+O24+O25+O27+O28+O29+O30+O31+O32+O33+O35+O36+O37+O38+O39+O40+O41+O43+O44+O45+O46+O47+O48+O49+O51+O52+O53)/T2),0)</f>
        <v/>
      </c>
      <c r="Y53" s="5">
        <f>IFERROR(ROUND(O53/Q53,2),0)</f>
        <v/>
      </c>
      <c r="Z53" s="5">
        <f>IFERROR(ROUND(O53/R53,2),0)</f>
        <v/>
      </c>
      <c r="AA53" s="2" t="inlineStr">
        <is>
          <t>2023-10-27</t>
        </is>
      </c>
      <c r="AB53" s="5">
        <f>ROUND(0.0,2)</f>
        <v/>
      </c>
      <c r="AC53" s="3">
        <f>ROUND(0.0,2)</f>
        <v/>
      </c>
      <c r="AD53" s="3">
        <f>ROUND(0.0,2)</f>
        <v/>
      </c>
      <c r="AE53" s="3">
        <f>ROUND(0.0,2)</f>
        <v/>
      </c>
      <c r="AF53" s="3">
        <f>ROUND(0.0,2)</f>
        <v/>
      </c>
      <c r="AG53" s="3">
        <f>ROUND(0.0,2)</f>
        <v/>
      </c>
      <c r="AH53" s="3">
        <f>ROUND(0.0,2)</f>
        <v/>
      </c>
      <c r="AI53" s="3">
        <f>ROUND(0.0,2)</f>
        <v/>
      </c>
      <c r="AJ53" s="4">
        <f>IFERROR((AD53/AC53),0)</f>
        <v/>
      </c>
      <c r="AK53" s="4">
        <f>IFERROR(((0+AB11+AB12+AB13+AB14+AB15+AB16+AB17+AB19+AB20+AB21+AB22+AB23+AB24+AB25+AB27+AB28+AB29+AB30+AB31+AB32+AB33+AB35+AB36+AB37+AB38+AB39+AB40+AB41+AB43+AB44+AB45+AB46+AB47+AB48+AB49+AB51+AB52+AB53)/T2),0)</f>
        <v/>
      </c>
      <c r="AL53" s="5">
        <f>IFERROR(ROUND(AB53/AD53,2),0)</f>
        <v/>
      </c>
      <c r="AM53" s="5">
        <f>IFERROR(ROUND(AB53/AE53,2),0)</f>
        <v/>
      </c>
      <c r="AN53" s="2" t="inlineStr">
        <is>
          <t>2023-10-27</t>
        </is>
      </c>
      <c r="AO53" s="5">
        <f>ROUND(0.0,2)</f>
        <v/>
      </c>
      <c r="AP53" s="3">
        <f>ROUND(0.0,2)</f>
        <v/>
      </c>
      <c r="AQ53" s="3">
        <f>ROUND(0.0,2)</f>
        <v/>
      </c>
      <c r="AR53" s="3">
        <f>ROUND(0.0,2)</f>
        <v/>
      </c>
      <c r="AS53" s="3">
        <f>ROUND(0.0,2)</f>
        <v/>
      </c>
      <c r="AT53" s="3">
        <f>ROUND(0.0,2)</f>
        <v/>
      </c>
      <c r="AU53" s="3">
        <f>ROUND(0.0,2)</f>
        <v/>
      </c>
      <c r="AV53" s="3">
        <f>ROUND(0.0,2)</f>
        <v/>
      </c>
      <c r="AW53" s="4">
        <f>IFERROR((AQ53/AP53),0)</f>
        <v/>
      </c>
      <c r="AX53" s="4">
        <f>IFERROR(((0+AO11+AO12+AO13+AO14+AO15+AO16+AO17+AO19+AO20+AO21+AO22+AO23+AO24+AO25+AO27+AO28+AO29+AO30+AO31+AO32+AO33+AO35+AO36+AO37+AO38+AO39+AO40+AO41+AO43+AO44+AO45+AO46+AO47+AO48+AO49+AO51+AO52+AO53)/T2),0)</f>
        <v/>
      </c>
      <c r="AY53" s="5">
        <f>IFERROR(ROUND(AO53/AQ53,2),0)</f>
        <v/>
      </c>
      <c r="AZ53" s="5">
        <f>IFERROR(ROUND(AO53/AR53,2),0)</f>
        <v/>
      </c>
      <c r="BA53" s="2" t="inlineStr">
        <is>
          <t>2023-10-27</t>
        </is>
      </c>
      <c r="BB53" s="5">
        <f>ROUND(0.0,2)</f>
        <v/>
      </c>
      <c r="BC53" s="3">
        <f>ROUND(0.0,2)</f>
        <v/>
      </c>
      <c r="BD53" s="3">
        <f>ROUND(0.0,2)</f>
        <v/>
      </c>
      <c r="BE53" s="3">
        <f>ROUND(0.0,2)</f>
        <v/>
      </c>
      <c r="BF53" s="3">
        <f>ROUND(0.0,2)</f>
        <v/>
      </c>
      <c r="BG53" s="3">
        <f>ROUND(0.0,2)</f>
        <v/>
      </c>
      <c r="BH53" s="3">
        <f>ROUND(0.0,2)</f>
        <v/>
      </c>
      <c r="BI53" s="3">
        <f>ROUND(0.0,2)</f>
        <v/>
      </c>
      <c r="BJ53" s="4">
        <f>IFERROR((BD53/BC53),0)</f>
        <v/>
      </c>
      <c r="BK53" s="4">
        <f>IFERROR(((0+BB11+BB12+BB13+BB14+BB15+BB16+BB17+BB19+BB20+BB21+BB22+BB23+BB24+BB25+BB27+BB28+BB29+BB30+BB31+BB32+BB33+BB35+BB36+BB37+BB38+BB39+BB40+BB41+BB43+BB44+BB45+BB46+BB47+BB48+BB49+BB51+BB52+BB53)/T2),0)</f>
        <v/>
      </c>
      <c r="BL53" s="5">
        <f>IFERROR(ROUND(BB53/BD53,2),0)</f>
        <v/>
      </c>
      <c r="BM53" s="5">
        <f>IFERROR(ROUND(BB53/BE53,2),0)</f>
        <v/>
      </c>
      <c r="BN53" s="2" t="inlineStr">
        <is>
          <t>2023-10-27</t>
        </is>
      </c>
      <c r="BO53" s="5">
        <f>ROUND(0.0,2)</f>
        <v/>
      </c>
      <c r="BP53" s="3">
        <f>ROUND(0.0,2)</f>
        <v/>
      </c>
      <c r="BQ53" s="3">
        <f>ROUND(0.0,2)</f>
        <v/>
      </c>
      <c r="BR53" s="3">
        <f>ROUND(0.0,2)</f>
        <v/>
      </c>
      <c r="BS53" s="3">
        <f>ROUND(0.0,2)</f>
        <v/>
      </c>
      <c r="BT53" s="3">
        <f>ROUND(0.0,2)</f>
        <v/>
      </c>
      <c r="BU53" s="3">
        <f>ROUND(0.0,2)</f>
        <v/>
      </c>
      <c r="BV53" s="3">
        <f>ROUND(0.0,2)</f>
        <v/>
      </c>
      <c r="BW53" s="4">
        <f>IFERROR((BQ53/BP53),0)</f>
        <v/>
      </c>
      <c r="BX53" s="4">
        <f>IFERROR(((0+BO11+BO12+BO13+BO14+BO15+BO16+BO17+BO19+BO20+BO21+BO22+BO23+BO24+BO25+BO27+BO28+BO29+BO30+BO31+BO32+BO33+BO35+BO36+BO37+BO38+BO39+BO40+BO41+BO43+BO44+BO45+BO46+BO47+BO48+BO49+BO51+BO52+BO53)/T2),0)</f>
        <v/>
      </c>
      <c r="BY53" s="5">
        <f>IFERROR(ROUND(BO53/BQ53,2),0)</f>
        <v/>
      </c>
      <c r="BZ53" s="5">
        <f>IFERROR(ROUND(BO53/BR53,2),0)</f>
        <v/>
      </c>
      <c r="CA53" s="2" t="inlineStr">
        <is>
          <t>2023-10-27</t>
        </is>
      </c>
      <c r="CB53" s="5">
        <f>ROUND(0.0,2)</f>
        <v/>
      </c>
      <c r="CC53" s="3">
        <f>ROUND(0.0,2)</f>
        <v/>
      </c>
      <c r="CD53" s="3">
        <f>ROUND(0.0,2)</f>
        <v/>
      </c>
      <c r="CE53" s="3">
        <f>ROUND(0.0,2)</f>
        <v/>
      </c>
      <c r="CF53" s="3">
        <f>ROUND(0.0,2)</f>
        <v/>
      </c>
      <c r="CG53" s="3">
        <f>ROUND(0.0,2)</f>
        <v/>
      </c>
      <c r="CH53" s="3">
        <f>ROUND(0.0,2)</f>
        <v/>
      </c>
      <c r="CI53" s="3">
        <f>ROUND(0.0,2)</f>
        <v/>
      </c>
      <c r="CJ53" s="4">
        <f>IFERROR((CD53/CC53),0)</f>
        <v/>
      </c>
      <c r="CK53" s="4">
        <f>IFERROR(((0+CB11+CB12+CB13+CB14+CB15+CB16+CB17+CB19+CB20+CB21+CB22+CB23+CB24+CB25+CB27+CB28+CB29+CB30+CB31+CB32+CB33+CB35+CB36+CB37+CB38+CB39+CB40+CB41+CB43+CB44+CB45+CB46+CB47+CB48+CB49+CB51+CB52+CB53)/T2),0)</f>
        <v/>
      </c>
      <c r="CL53" s="5">
        <f>IFERROR(ROUND(CB53/CD53,2),0)</f>
        <v/>
      </c>
      <c r="CM53" s="5">
        <f>IFERROR(ROUND(CB53/CE53,2),0)</f>
        <v/>
      </c>
      <c r="CN53" s="2" t="inlineStr">
        <is>
          <t>2023-10-27</t>
        </is>
      </c>
      <c r="CO53" s="5">
        <f>ROUND(0.0,2)</f>
        <v/>
      </c>
      <c r="CP53" s="3">
        <f>ROUND(0.0,2)</f>
        <v/>
      </c>
      <c r="CQ53" s="3">
        <f>ROUND(0.0,2)</f>
        <v/>
      </c>
      <c r="CR53" s="3">
        <f>ROUND(0.0,2)</f>
        <v/>
      </c>
      <c r="CS53" s="3">
        <f>ROUND(0.0,2)</f>
        <v/>
      </c>
      <c r="CT53" s="3">
        <f>ROUND(0.0,2)</f>
        <v/>
      </c>
      <c r="CU53" s="3">
        <f>ROUND(0.0,2)</f>
        <v/>
      </c>
      <c r="CV53" s="3">
        <f>ROUND(0.0,2)</f>
        <v/>
      </c>
      <c r="CW53" s="4">
        <f>IFERROR((CQ53/CP53),0)</f>
        <v/>
      </c>
      <c r="CX53" s="4">
        <f>IFERROR(((0+CO11+CO12+CO13+CO14+CO15+CO16+CO17+CO19+CO20+CO21+CO22+CO23+CO24+CO25+CO27+CO28+CO29+CO30+CO31+CO32+CO33+CO35+CO36+CO37+CO38+CO39+CO40+CO41+CO43+CO44+CO45+CO46+CO47+CO48+CO49+CO51+CO52+CO53)/T2),0)</f>
        <v/>
      </c>
      <c r="CY53" s="5">
        <f>IFERROR(ROUND(CO53/CQ53,2),0)</f>
        <v/>
      </c>
      <c r="CZ53" s="5">
        <f>IFERROR(ROUND(CO53/CR53,2),0)</f>
        <v/>
      </c>
      <c r="DA53" s="2" t="inlineStr">
        <is>
          <t>2023-10-27</t>
        </is>
      </c>
      <c r="DB53" s="5">
        <f>ROUND(0.0,2)</f>
        <v/>
      </c>
      <c r="DC53" s="3">
        <f>ROUND(0.0,2)</f>
        <v/>
      </c>
      <c r="DD53" s="3">
        <f>ROUND(0.0,2)</f>
        <v/>
      </c>
      <c r="DE53" s="3">
        <f>ROUND(0.0,2)</f>
        <v/>
      </c>
      <c r="DF53" s="3">
        <f>ROUND(0.0,2)</f>
        <v/>
      </c>
      <c r="DG53" s="3">
        <f>ROUND(0.0,2)</f>
        <v/>
      </c>
      <c r="DH53" s="3">
        <f>ROUND(0.0,2)</f>
        <v/>
      </c>
      <c r="DI53" s="3">
        <f>ROUND(0.0,2)</f>
        <v/>
      </c>
      <c r="DJ53" s="4">
        <f>IFERROR((DD53/DC53),0)</f>
        <v/>
      </c>
      <c r="DK53" s="4">
        <f>IFERROR(((0+DB11+DB12+DB13+DB14+DB15+DB16+DB17+DB19+DB20+DB21+DB22+DB23+DB24+DB25+DB27+DB28+DB29+DB30+DB31+DB32+DB33+DB35+DB36+DB37+DB38+DB39+DB40+DB41+DB43+DB44+DB45+DB46+DB47+DB48+DB49+DB51+DB52+DB53)/T2),0)</f>
        <v/>
      </c>
      <c r="DL53" s="5">
        <f>IFERROR(ROUND(DB53/DD53,2),0)</f>
        <v/>
      </c>
      <c r="DM53" s="5">
        <f>IFERROR(ROUND(DB53/DE53,2),0)</f>
        <v/>
      </c>
      <c r="DN53" s="2" t="inlineStr">
        <is>
          <t>2023-10-27</t>
        </is>
      </c>
      <c r="DO53" s="5">
        <f>ROUND(0.0,2)</f>
        <v/>
      </c>
      <c r="DP53" s="3">
        <f>ROUND(0.0,2)</f>
        <v/>
      </c>
      <c r="DQ53" s="3">
        <f>ROUND(0.0,2)</f>
        <v/>
      </c>
      <c r="DR53" s="3">
        <f>ROUND(0.0,2)</f>
        <v/>
      </c>
      <c r="DS53" s="3">
        <f>ROUND(0.0,2)</f>
        <v/>
      </c>
      <c r="DT53" s="3">
        <f>ROUND(0.0,2)</f>
        <v/>
      </c>
      <c r="DU53" s="3">
        <f>ROUND(0.0,2)</f>
        <v/>
      </c>
      <c r="DV53" s="3">
        <f>ROUND(0.0,2)</f>
        <v/>
      </c>
      <c r="DW53" s="4">
        <f>IFERROR((DQ53/DP53),0)</f>
        <v/>
      </c>
      <c r="DX53" s="4">
        <f>IFERROR(((0+DO11+DO12+DO13+DO14+DO15+DO16+DO17+DO19+DO20+DO21+DO22+DO23+DO24+DO25+DO27+DO28+DO29+DO30+DO31+DO32+DO33+DO35+DO36+DO37+DO38+DO39+DO40+DO41+DO43+DO44+DO45+DO46+DO47+DO48+DO49+DO51+DO52+DO53)/T2),0)</f>
        <v/>
      </c>
      <c r="DY53" s="5">
        <f>IFERROR(ROUND(DO53/DQ53,2),0)</f>
        <v/>
      </c>
      <c r="DZ53" s="5">
        <f>IFERROR(ROUND(DO53/DR53,2),0)</f>
        <v/>
      </c>
      <c r="EA53" s="2" t="inlineStr">
        <is>
          <t>2023-10-27</t>
        </is>
      </c>
      <c r="EB53" s="5">
        <f>ROUND(0.0,2)</f>
        <v/>
      </c>
      <c r="EC53" s="3">
        <f>ROUND(0.0,2)</f>
        <v/>
      </c>
      <c r="ED53" s="3">
        <f>ROUND(0.0,2)</f>
        <v/>
      </c>
      <c r="EE53" s="3">
        <f>ROUND(0.0,2)</f>
        <v/>
      </c>
      <c r="EF53" s="3">
        <f>ROUND(0.0,2)</f>
        <v/>
      </c>
      <c r="EG53" s="3">
        <f>ROUND(0.0,2)</f>
        <v/>
      </c>
      <c r="EH53" s="3">
        <f>ROUND(0.0,2)</f>
        <v/>
      </c>
      <c r="EI53" s="3">
        <f>ROUND(0.0,2)</f>
        <v/>
      </c>
      <c r="EJ53" s="4">
        <f>IFERROR((ED53/EC53),0)</f>
        <v/>
      </c>
      <c r="EK53" s="4">
        <f>IFERROR(((0+EB11+EB12+EB13+EB14+EB15+EB16+EB17+EB19+EB20+EB21+EB22+EB23+EB24+EB25+EB27+EB28+EB29+EB30+EB31+EB32+EB33+EB35+EB36+EB37+EB38+EB39+EB40+EB41+EB43+EB44+EB45+EB46+EB47+EB48+EB49+EB51+EB52+EB53)/T2),0)</f>
        <v/>
      </c>
      <c r="EL53" s="5">
        <f>IFERROR(ROUND(EB53/ED53,2),0)</f>
        <v/>
      </c>
      <c r="EM53" s="5">
        <f>IFERROR(ROUND(EB53/EE53,2),0)</f>
        <v/>
      </c>
      <c r="EN53" s="2" t="inlineStr">
        <is>
          <t>2023-10-27</t>
        </is>
      </c>
      <c r="EO53" s="5">
        <f>ROUND(0.0,2)</f>
        <v/>
      </c>
      <c r="EP53" s="3">
        <f>ROUND(0.0,2)</f>
        <v/>
      </c>
      <c r="EQ53" s="3">
        <f>ROUND(0.0,2)</f>
        <v/>
      </c>
      <c r="ER53" s="3">
        <f>ROUND(0.0,2)</f>
        <v/>
      </c>
      <c r="ES53" s="3">
        <f>ROUND(0.0,2)</f>
        <v/>
      </c>
      <c r="ET53" s="3">
        <f>ROUND(0.0,2)</f>
        <v/>
      </c>
      <c r="EU53" s="3">
        <f>ROUND(0.0,2)</f>
        <v/>
      </c>
      <c r="EV53" s="3">
        <f>ROUND(0.0,2)</f>
        <v/>
      </c>
      <c r="EW53" s="4">
        <f>IFERROR((EQ53/EP53),0)</f>
        <v/>
      </c>
      <c r="EX53" s="4">
        <f>IFERROR(((0+EO11+EO12+EO13+EO14+EO15+EO16+EO17+EO19+EO20+EO21+EO22+EO23+EO24+EO25+EO27+EO28+EO29+EO30+EO31+EO32+EO33+EO35+EO36+EO37+EO38+EO39+EO40+EO41+EO43+EO44+EO45+EO46+EO47+EO48+EO49+EO51+EO52+EO53)/T2),0)</f>
        <v/>
      </c>
      <c r="EY53" s="5">
        <f>IFERROR(ROUND(EO53/EQ53,2),0)</f>
        <v/>
      </c>
      <c r="EZ53" s="5">
        <f>IFERROR(ROUND(EO53/ER53,2),0)</f>
        <v/>
      </c>
      <c r="FA53" s="2" t="inlineStr">
        <is>
          <t>2023-10-27</t>
        </is>
      </c>
      <c r="FB53" s="5">
        <f>ROUND(0.0,2)</f>
        <v/>
      </c>
      <c r="FC53" s="3">
        <f>ROUND(0.0,2)</f>
        <v/>
      </c>
      <c r="FD53" s="3">
        <f>ROUND(0.0,2)</f>
        <v/>
      </c>
      <c r="FE53" s="3">
        <f>ROUND(0.0,2)</f>
        <v/>
      </c>
      <c r="FF53" s="3">
        <f>ROUND(0.0,2)</f>
        <v/>
      </c>
      <c r="FG53" s="3">
        <f>ROUND(0.0,2)</f>
        <v/>
      </c>
      <c r="FH53" s="3">
        <f>ROUND(0.0,2)</f>
        <v/>
      </c>
      <c r="FI53" s="3">
        <f>ROUND(0.0,2)</f>
        <v/>
      </c>
      <c r="FJ53" s="4">
        <f>IFERROR((FD53/FC53),0)</f>
        <v/>
      </c>
      <c r="FK53" s="4">
        <f>IFERROR(((0+FB11+FB12+FB13+FB14+FB15+FB16+FB17+FB19+FB20+FB21+FB22+FB23+FB24+FB25+FB27+FB28+FB29+FB30+FB31+FB32+FB33+FB35+FB36+FB37+FB38+FB39+FB40+FB41+FB43+FB44+FB45+FB46+FB47+FB48+FB49+FB51+FB52+FB53)/T2),0)</f>
        <v/>
      </c>
      <c r="FL53" s="5">
        <f>IFERROR(ROUND(FB53/FD53,2),0)</f>
        <v/>
      </c>
      <c r="FM53" s="5">
        <f>IFERROR(ROUND(FB53/FE53,2),0)</f>
        <v/>
      </c>
      <c r="FN53" s="2" t="inlineStr">
        <is>
          <t>2023-10-27</t>
        </is>
      </c>
      <c r="FO53" s="5">
        <f>ROUND(0.0,2)</f>
        <v/>
      </c>
      <c r="FP53" s="3">
        <f>ROUND(0.0,2)</f>
        <v/>
      </c>
      <c r="FQ53" s="3">
        <f>ROUND(0.0,2)</f>
        <v/>
      </c>
      <c r="FR53" s="3">
        <f>ROUND(0.0,2)</f>
        <v/>
      </c>
      <c r="FS53" s="3">
        <f>ROUND(0.0,2)</f>
        <v/>
      </c>
      <c r="FT53" s="3">
        <f>ROUND(0.0,2)</f>
        <v/>
      </c>
      <c r="FU53" s="3">
        <f>ROUND(0.0,2)</f>
        <v/>
      </c>
      <c r="FV53" s="3">
        <f>ROUND(0.0,2)</f>
        <v/>
      </c>
      <c r="FW53" s="4">
        <f>IFERROR((FQ53/FP53),0)</f>
        <v/>
      </c>
      <c r="FX53" s="4">
        <f>IFERROR(((0+FO11+FO12+FO13+FO14+FO15+FO16+FO17+FO19+FO20+FO21+FO22+FO23+FO24+FO25+FO27+FO28+FO29+FO30+FO31+FO32+FO33+FO35+FO36+FO37+FO38+FO39+FO40+FO41+FO43+FO44+FO45+FO46+FO47+FO48+FO49+FO51+FO52+FO53)/T2),0)</f>
        <v/>
      </c>
      <c r="FY53" s="5">
        <f>IFERROR(ROUND(FO53/FQ53,2),0)</f>
        <v/>
      </c>
      <c r="FZ53" s="5">
        <f>IFERROR(ROUND(FO53/FR53,2),0)</f>
        <v/>
      </c>
      <c r="GA53" s="2" t="inlineStr">
        <is>
          <t>2023-10-27</t>
        </is>
      </c>
      <c r="GB53" s="5">
        <f>ROUND(0.0,2)</f>
        <v/>
      </c>
      <c r="GC53" s="3">
        <f>ROUND(0.0,2)</f>
        <v/>
      </c>
      <c r="GD53" s="3">
        <f>ROUND(0.0,2)</f>
        <v/>
      </c>
      <c r="GE53" s="3">
        <f>ROUND(0.0,2)</f>
        <v/>
      </c>
      <c r="GF53" s="3">
        <f>ROUND(0.0,2)</f>
        <v/>
      </c>
      <c r="GG53" s="3">
        <f>ROUND(0.0,2)</f>
        <v/>
      </c>
      <c r="GH53" s="3">
        <f>ROUND(0.0,2)</f>
        <v/>
      </c>
      <c r="GI53" s="3">
        <f>ROUND(0.0,2)</f>
        <v/>
      </c>
      <c r="GJ53" s="4">
        <f>IFERROR((GD53/GC53),0)</f>
        <v/>
      </c>
      <c r="GK53" s="4">
        <f>IFERROR(((0+GB11+GB12+GB13+GB14+GB15+GB16+GB17+GB19+GB20+GB21+GB22+GB23+GB24+GB25+GB27+GB28+GB29+GB30+GB31+GB32+GB33+GB35+GB36+GB37+GB38+GB39+GB40+GB41+GB43+GB44+GB45+GB46+GB47+GB48+GB49+GB51+GB52+GB53)/T2),0)</f>
        <v/>
      </c>
      <c r="GL53" s="5">
        <f>IFERROR(ROUND(GB53/GD53,2),0)</f>
        <v/>
      </c>
      <c r="GM53" s="5">
        <f>IFERROR(ROUND(GB53/GE53,2),0)</f>
        <v/>
      </c>
      <c r="GN53" s="2" t="inlineStr">
        <is>
          <t>2023-10-27</t>
        </is>
      </c>
      <c r="GO53" s="5">
        <f>ROUND(0.0,2)</f>
        <v/>
      </c>
      <c r="GP53" s="3">
        <f>ROUND(0.0,2)</f>
        <v/>
      </c>
      <c r="GQ53" s="3">
        <f>ROUND(0.0,2)</f>
        <v/>
      </c>
      <c r="GR53" s="3">
        <f>ROUND(0.0,2)</f>
        <v/>
      </c>
      <c r="GS53" s="3">
        <f>ROUND(0.0,2)</f>
        <v/>
      </c>
      <c r="GT53" s="3">
        <f>ROUND(0.0,2)</f>
        <v/>
      </c>
      <c r="GU53" s="3">
        <f>ROUND(0.0,2)</f>
        <v/>
      </c>
      <c r="GV53" s="3">
        <f>ROUND(0.0,2)</f>
        <v/>
      </c>
      <c r="GW53" s="4">
        <f>IFERROR((GQ53/GP53),0)</f>
        <v/>
      </c>
      <c r="GX53" s="4">
        <f>IFERROR(((0+GO11+GO12+GO13+GO14+GO15+GO16+GO17+GO19+GO20+GO21+GO22+GO23+GO24+GO25+GO27+GO28+GO29+GO30+GO31+GO32+GO33+GO35+GO36+GO37+GO38+GO39+GO40+GO41+GO43+GO44+GO45+GO46+GO47+GO48+GO49+GO51+GO52+GO53)/T2),0)</f>
        <v/>
      </c>
      <c r="GY53" s="5">
        <f>IFERROR(ROUND(GO53/GQ53,2),0)</f>
        <v/>
      </c>
      <c r="GZ53" s="5">
        <f>IFERROR(ROUND(GO53/GR53,2),0)</f>
        <v/>
      </c>
      <c r="HA53" s="2" t="inlineStr">
        <is>
          <t>2023-10-27</t>
        </is>
      </c>
      <c r="HB53" s="5">
        <f>ROUND(0.0,2)</f>
        <v/>
      </c>
      <c r="HC53" s="3">
        <f>ROUND(0.0,2)</f>
        <v/>
      </c>
      <c r="HD53" s="3">
        <f>ROUND(0.0,2)</f>
        <v/>
      </c>
      <c r="HE53" s="3">
        <f>ROUND(0.0,2)</f>
        <v/>
      </c>
      <c r="HF53" s="3">
        <f>ROUND(0.0,2)</f>
        <v/>
      </c>
      <c r="HG53" s="3">
        <f>ROUND(0.0,2)</f>
        <v/>
      </c>
      <c r="HH53" s="3">
        <f>ROUND(0.0,2)</f>
        <v/>
      </c>
      <c r="HI53" s="3">
        <f>ROUND(0.0,2)</f>
        <v/>
      </c>
      <c r="HJ53" s="4">
        <f>IFERROR((HD53/HC53),0)</f>
        <v/>
      </c>
      <c r="HK53" s="4">
        <f>IFERROR(((0+HB11+HB12+HB13+HB14+HB15+HB16+HB17+HB19+HB20+HB21+HB22+HB23+HB24+HB25+HB27+HB28+HB29+HB30+HB31+HB32+HB33+HB35+HB36+HB37+HB38+HB39+HB40+HB41+HB43+HB44+HB45+HB46+HB47+HB48+HB49+HB51+HB52+HB53)/T2),0)</f>
        <v/>
      </c>
      <c r="HL53" s="5">
        <f>IFERROR(ROUND(HB53/HD53,2),0)</f>
        <v/>
      </c>
      <c r="HM53" s="5">
        <f>IFERROR(ROUND(HB53/HE53,2),0)</f>
        <v/>
      </c>
      <c r="HN53" s="2" t="inlineStr">
        <is>
          <t>2023-10-27</t>
        </is>
      </c>
      <c r="HO53" s="5">
        <f>ROUND(0.0,2)</f>
        <v/>
      </c>
      <c r="HP53" s="3">
        <f>ROUND(0.0,2)</f>
        <v/>
      </c>
      <c r="HQ53" s="3">
        <f>ROUND(0.0,2)</f>
        <v/>
      </c>
      <c r="HR53" s="3">
        <f>ROUND(0.0,2)</f>
        <v/>
      </c>
      <c r="HS53" s="3">
        <f>ROUND(0.0,2)</f>
        <v/>
      </c>
      <c r="HT53" s="3">
        <f>ROUND(0.0,2)</f>
        <v/>
      </c>
      <c r="HU53" s="3">
        <f>ROUND(0.0,2)</f>
        <v/>
      </c>
      <c r="HV53" s="3">
        <f>ROUND(0.0,2)</f>
        <v/>
      </c>
      <c r="HW53" s="4">
        <f>IFERROR((HQ53/HP53),0)</f>
        <v/>
      </c>
      <c r="HX53" s="4">
        <f>IFERROR(((0+HO11+HO12+HO13+HO14+HO15+HO16+HO17+HO19+HO20+HO21+HO22+HO23+HO24+HO25+HO27+HO28+HO29+HO30+HO31+HO32+HO33+HO35+HO36+HO37+HO38+HO39+HO40+HO41+HO43+HO44+HO45+HO46+HO47+HO48+HO49+HO51+HO52+HO53)/T2),0)</f>
        <v/>
      </c>
      <c r="HY53" s="5">
        <f>IFERROR(ROUND(HO53/HQ53,2),0)</f>
        <v/>
      </c>
      <c r="HZ53" s="5">
        <f>IFERROR(ROUND(HO53/HR53,2),0)</f>
        <v/>
      </c>
      <c r="IA53" s="2" t="inlineStr">
        <is>
          <t>2023-10-27</t>
        </is>
      </c>
      <c r="IB53" s="5">
        <f>ROUND(0.0,2)</f>
        <v/>
      </c>
      <c r="IC53" s="3">
        <f>ROUND(0.0,2)</f>
        <v/>
      </c>
      <c r="ID53" s="3">
        <f>ROUND(0.0,2)</f>
        <v/>
      </c>
      <c r="IE53" s="3">
        <f>ROUND(0.0,2)</f>
        <v/>
      </c>
      <c r="IF53" s="3">
        <f>ROUND(0.0,2)</f>
        <v/>
      </c>
      <c r="IG53" s="3">
        <f>ROUND(0.0,2)</f>
        <v/>
      </c>
      <c r="IH53" s="3">
        <f>ROUND(0.0,2)</f>
        <v/>
      </c>
      <c r="II53" s="3">
        <f>ROUND(0.0,2)</f>
        <v/>
      </c>
      <c r="IJ53" s="4">
        <f>IFERROR((ID53/IC53),0)</f>
        <v/>
      </c>
      <c r="IK53" s="4">
        <f>IFERROR(((0+IB11+IB12+IB13+IB14+IB15+IB16+IB17+IB19+IB20+IB21+IB22+IB23+IB24+IB25+IB27+IB28+IB29+IB30+IB31+IB32+IB33+IB35+IB36+IB37+IB38+IB39+IB40+IB41+IB43+IB44+IB45+IB46+IB47+IB48+IB49+IB51+IB52+IB53)/T2),0)</f>
        <v/>
      </c>
      <c r="IL53" s="5">
        <f>IFERROR(ROUND(IB53/ID53,2),0)</f>
        <v/>
      </c>
      <c r="IM53" s="5">
        <f>IFERROR(ROUND(IB53/IE53,2),0)</f>
        <v/>
      </c>
      <c r="IN53" s="2" t="inlineStr">
        <is>
          <t>2023-10-27</t>
        </is>
      </c>
      <c r="IO53" s="5">
        <f>ROUND(0.0,2)</f>
        <v/>
      </c>
      <c r="IP53" s="3">
        <f>ROUND(0.0,2)</f>
        <v/>
      </c>
      <c r="IQ53" s="3">
        <f>ROUND(0.0,2)</f>
        <v/>
      </c>
      <c r="IR53" s="3">
        <f>ROUND(0.0,2)</f>
        <v/>
      </c>
      <c r="IS53" s="3">
        <f>ROUND(0.0,2)</f>
        <v/>
      </c>
      <c r="IT53" s="3">
        <f>ROUND(0.0,2)</f>
        <v/>
      </c>
      <c r="IU53" s="3">
        <f>ROUND(0.0,2)</f>
        <v/>
      </c>
      <c r="IV53" s="3">
        <f>ROUND(0.0,2)</f>
        <v/>
      </c>
      <c r="IW53" s="4">
        <f>IFERROR((IQ53/IP53),0)</f>
        <v/>
      </c>
      <c r="IX53" s="4">
        <f>IFERROR(((0+IO11+IO12+IO13+IO14+IO15+IO16+IO17+IO19+IO20+IO21+IO22+IO23+IO24+IO25+IO27+IO28+IO29+IO30+IO31+IO32+IO33+IO35+IO36+IO37+IO38+IO39+IO40+IO41+IO43+IO44+IO45+IO46+IO47+IO48+IO49+IO51+IO52+IO53)/T2),0)</f>
        <v/>
      </c>
      <c r="IY53" s="5">
        <f>IFERROR(ROUND(IO53/IQ53,2),0)</f>
        <v/>
      </c>
      <c r="IZ53" s="5">
        <f>IFERROR(ROUND(IO53/IR53,2),0)</f>
        <v/>
      </c>
      <c r="JA53" s="2" t="inlineStr">
        <is>
          <t>2023-10-27</t>
        </is>
      </c>
      <c r="JB53" s="5">
        <f>ROUND(0.0,2)</f>
        <v/>
      </c>
      <c r="JC53" s="3">
        <f>ROUND(0.0,2)</f>
        <v/>
      </c>
      <c r="JD53" s="3">
        <f>ROUND(0.0,2)</f>
        <v/>
      </c>
      <c r="JE53" s="3">
        <f>ROUND(0.0,2)</f>
        <v/>
      </c>
      <c r="JF53" s="3">
        <f>ROUND(0.0,2)</f>
        <v/>
      </c>
      <c r="JG53" s="3">
        <f>ROUND(0.0,2)</f>
        <v/>
      </c>
      <c r="JH53" s="3">
        <f>ROUND(0.0,2)</f>
        <v/>
      </c>
      <c r="JI53" s="3">
        <f>ROUND(0.0,2)</f>
        <v/>
      </c>
      <c r="JJ53" s="4">
        <f>IFERROR((JD53/JC53),0)</f>
        <v/>
      </c>
      <c r="JK53" s="4">
        <f>IFERROR(((0+JB11+JB12+JB13+JB14+JB15+JB16+JB17+JB19+JB20+JB21+JB22+JB23+JB24+JB25+JB27+JB28+JB29+JB30+JB31+JB32+JB33+JB35+JB36+JB37+JB38+JB39+JB40+JB41+JB43+JB44+JB45+JB46+JB47+JB48+JB49+JB51+JB52+JB53)/T2),0)</f>
        <v/>
      </c>
      <c r="JL53" s="5">
        <f>IFERROR(ROUND(JB53/JD53,2),0)</f>
        <v/>
      </c>
      <c r="JM53" s="5">
        <f>IFERROR(ROUND(JB53/JE53,2),0)</f>
        <v/>
      </c>
    </row>
    <row r="54">
      <c r="A54" s="2" t="inlineStr">
        <is>
          <t>2023-10-28</t>
        </is>
      </c>
      <c r="B54" s="5">
        <f>ROUND(0.0,2)</f>
        <v/>
      </c>
      <c r="C54" s="3">
        <f>ROUND(0.0,2)</f>
        <v/>
      </c>
      <c r="D54" s="3">
        <f>ROUND(0.0,2)</f>
        <v/>
      </c>
      <c r="E54" s="3">
        <f>ROUND(0.0,2)</f>
        <v/>
      </c>
      <c r="F54" s="3">
        <f>ROUND(0.0,2)</f>
        <v/>
      </c>
      <c r="G54" s="3">
        <f>ROUND(0.0,2)</f>
        <v/>
      </c>
      <c r="H54" s="3">
        <f>ROUND(0.0,2)</f>
        <v/>
      </c>
      <c r="I54" s="3">
        <f>ROUND(0.0,2)</f>
        <v/>
      </c>
      <c r="J54" s="4">
        <f>IFERROR((D54/C54),0)</f>
        <v/>
      </c>
      <c r="K54" s="4">
        <f>IFERROR(((0+B11+B12+B13+B14+B15+B16+B17+B19+B20+B21+B22+B23+B24+B25+B27+B28+B29+B30+B31+B32+B33+B35+B36+B37+B38+B39+B40+B41+B43+B44+B45+B46+B47+B48+B49+B51+B52+B53+B54)/T2),0)</f>
        <v/>
      </c>
      <c r="L54" s="5">
        <f>IFERROR(ROUND(B54/D54,2),0)</f>
        <v/>
      </c>
      <c r="M54" s="5">
        <f>IFERROR(ROUND(B54/E54,2),0)</f>
        <v/>
      </c>
      <c r="N54" s="2" t="inlineStr">
        <is>
          <t>2023-10-28</t>
        </is>
      </c>
      <c r="O54" s="5">
        <f>ROUND(0.0,2)</f>
        <v/>
      </c>
      <c r="P54" s="3">
        <f>ROUND(0.0,2)</f>
        <v/>
      </c>
      <c r="Q54" s="3">
        <f>ROUND(0.0,2)</f>
        <v/>
      </c>
      <c r="R54" s="3">
        <f>ROUND(0.0,2)</f>
        <v/>
      </c>
      <c r="S54" s="3">
        <f>ROUND(0.0,2)</f>
        <v/>
      </c>
      <c r="T54" s="3">
        <f>ROUND(0.0,2)</f>
        <v/>
      </c>
      <c r="U54" s="3">
        <f>ROUND(0.0,2)</f>
        <v/>
      </c>
      <c r="V54" s="3">
        <f>ROUND(0.0,2)</f>
        <v/>
      </c>
      <c r="W54" s="4">
        <f>IFERROR((Q54/P54),0)</f>
        <v/>
      </c>
      <c r="X54" s="4">
        <f>IFERROR(((0+O11+O12+O13+O14+O15+O16+O17+O19+O20+O21+O22+O23+O24+O25+O27+O28+O29+O30+O31+O32+O33+O35+O36+O37+O38+O39+O40+O41+O43+O44+O45+O46+O47+O48+O49+O51+O52+O53+O54)/T2),0)</f>
        <v/>
      </c>
      <c r="Y54" s="5">
        <f>IFERROR(ROUND(O54/Q54,2),0)</f>
        <v/>
      </c>
      <c r="Z54" s="5">
        <f>IFERROR(ROUND(O54/R54,2),0)</f>
        <v/>
      </c>
      <c r="AA54" s="2" t="inlineStr">
        <is>
          <t>2023-10-28</t>
        </is>
      </c>
      <c r="AB54" s="5">
        <f>ROUND(0.0,2)</f>
        <v/>
      </c>
      <c r="AC54" s="3">
        <f>ROUND(0.0,2)</f>
        <v/>
      </c>
      <c r="AD54" s="3">
        <f>ROUND(0.0,2)</f>
        <v/>
      </c>
      <c r="AE54" s="3">
        <f>ROUND(0.0,2)</f>
        <v/>
      </c>
      <c r="AF54" s="3">
        <f>ROUND(0.0,2)</f>
        <v/>
      </c>
      <c r="AG54" s="3">
        <f>ROUND(0.0,2)</f>
        <v/>
      </c>
      <c r="AH54" s="3">
        <f>ROUND(0.0,2)</f>
        <v/>
      </c>
      <c r="AI54" s="3">
        <f>ROUND(0.0,2)</f>
        <v/>
      </c>
      <c r="AJ54" s="4">
        <f>IFERROR((AD54/AC54),0)</f>
        <v/>
      </c>
      <c r="AK54" s="4">
        <f>IFERROR(((0+AB11+AB12+AB13+AB14+AB15+AB16+AB17+AB19+AB20+AB21+AB22+AB23+AB24+AB25+AB27+AB28+AB29+AB30+AB31+AB32+AB33+AB35+AB36+AB37+AB38+AB39+AB40+AB41+AB43+AB44+AB45+AB46+AB47+AB48+AB49+AB51+AB52+AB53+AB54)/T2),0)</f>
        <v/>
      </c>
      <c r="AL54" s="5">
        <f>IFERROR(ROUND(AB54/AD54,2),0)</f>
        <v/>
      </c>
      <c r="AM54" s="5">
        <f>IFERROR(ROUND(AB54/AE54,2),0)</f>
        <v/>
      </c>
      <c r="AN54" s="2" t="inlineStr">
        <is>
          <t>2023-10-28</t>
        </is>
      </c>
      <c r="AO54" s="5">
        <f>ROUND(0.0,2)</f>
        <v/>
      </c>
      <c r="AP54" s="3">
        <f>ROUND(0.0,2)</f>
        <v/>
      </c>
      <c r="AQ54" s="3">
        <f>ROUND(0.0,2)</f>
        <v/>
      </c>
      <c r="AR54" s="3">
        <f>ROUND(0.0,2)</f>
        <v/>
      </c>
      <c r="AS54" s="3">
        <f>ROUND(0.0,2)</f>
        <v/>
      </c>
      <c r="AT54" s="3">
        <f>ROUND(0.0,2)</f>
        <v/>
      </c>
      <c r="AU54" s="3">
        <f>ROUND(0.0,2)</f>
        <v/>
      </c>
      <c r="AV54" s="3">
        <f>ROUND(0.0,2)</f>
        <v/>
      </c>
      <c r="AW54" s="4">
        <f>IFERROR((AQ54/AP54),0)</f>
        <v/>
      </c>
      <c r="AX54" s="4">
        <f>IFERROR(((0+AO11+AO12+AO13+AO14+AO15+AO16+AO17+AO19+AO20+AO21+AO22+AO23+AO24+AO25+AO27+AO28+AO29+AO30+AO31+AO32+AO33+AO35+AO36+AO37+AO38+AO39+AO40+AO41+AO43+AO44+AO45+AO46+AO47+AO48+AO49+AO51+AO52+AO53+AO54)/T2),0)</f>
        <v/>
      </c>
      <c r="AY54" s="5">
        <f>IFERROR(ROUND(AO54/AQ54,2),0)</f>
        <v/>
      </c>
      <c r="AZ54" s="5">
        <f>IFERROR(ROUND(AO54/AR54,2),0)</f>
        <v/>
      </c>
      <c r="BA54" s="2" t="inlineStr">
        <is>
          <t>2023-10-28</t>
        </is>
      </c>
      <c r="BB54" s="5">
        <f>ROUND(0.0,2)</f>
        <v/>
      </c>
      <c r="BC54" s="3">
        <f>ROUND(0.0,2)</f>
        <v/>
      </c>
      <c r="BD54" s="3">
        <f>ROUND(0.0,2)</f>
        <v/>
      </c>
      <c r="BE54" s="3">
        <f>ROUND(0.0,2)</f>
        <v/>
      </c>
      <c r="BF54" s="3">
        <f>ROUND(0.0,2)</f>
        <v/>
      </c>
      <c r="BG54" s="3">
        <f>ROUND(0.0,2)</f>
        <v/>
      </c>
      <c r="BH54" s="3">
        <f>ROUND(0.0,2)</f>
        <v/>
      </c>
      <c r="BI54" s="3">
        <f>ROUND(0.0,2)</f>
        <v/>
      </c>
      <c r="BJ54" s="4">
        <f>IFERROR((BD54/BC54),0)</f>
        <v/>
      </c>
      <c r="BK54" s="4">
        <f>IFERROR(((0+BB11+BB12+BB13+BB14+BB15+BB16+BB17+BB19+BB20+BB21+BB22+BB23+BB24+BB25+BB27+BB28+BB29+BB30+BB31+BB32+BB33+BB35+BB36+BB37+BB38+BB39+BB40+BB41+BB43+BB44+BB45+BB46+BB47+BB48+BB49+BB51+BB52+BB53+BB54)/T2),0)</f>
        <v/>
      </c>
      <c r="BL54" s="5">
        <f>IFERROR(ROUND(BB54/BD54,2),0)</f>
        <v/>
      </c>
      <c r="BM54" s="5">
        <f>IFERROR(ROUND(BB54/BE54,2),0)</f>
        <v/>
      </c>
      <c r="BN54" s="2" t="inlineStr">
        <is>
          <t>2023-10-28</t>
        </is>
      </c>
      <c r="BO54" s="5">
        <f>ROUND(0.0,2)</f>
        <v/>
      </c>
      <c r="BP54" s="3">
        <f>ROUND(0.0,2)</f>
        <v/>
      </c>
      <c r="BQ54" s="3">
        <f>ROUND(0.0,2)</f>
        <v/>
      </c>
      <c r="BR54" s="3">
        <f>ROUND(0.0,2)</f>
        <v/>
      </c>
      <c r="BS54" s="3">
        <f>ROUND(0.0,2)</f>
        <v/>
      </c>
      <c r="BT54" s="3">
        <f>ROUND(0.0,2)</f>
        <v/>
      </c>
      <c r="BU54" s="3">
        <f>ROUND(0.0,2)</f>
        <v/>
      </c>
      <c r="BV54" s="3">
        <f>ROUND(0.0,2)</f>
        <v/>
      </c>
      <c r="BW54" s="4">
        <f>IFERROR((BQ54/BP54),0)</f>
        <v/>
      </c>
      <c r="BX54" s="4">
        <f>IFERROR(((0+BO11+BO12+BO13+BO14+BO15+BO16+BO17+BO19+BO20+BO21+BO22+BO23+BO24+BO25+BO27+BO28+BO29+BO30+BO31+BO32+BO33+BO35+BO36+BO37+BO38+BO39+BO40+BO41+BO43+BO44+BO45+BO46+BO47+BO48+BO49+BO51+BO52+BO53+BO54)/T2),0)</f>
        <v/>
      </c>
      <c r="BY54" s="5">
        <f>IFERROR(ROUND(BO54/BQ54,2),0)</f>
        <v/>
      </c>
      <c r="BZ54" s="5">
        <f>IFERROR(ROUND(BO54/BR54,2),0)</f>
        <v/>
      </c>
      <c r="CA54" s="2" t="inlineStr">
        <is>
          <t>2023-10-28</t>
        </is>
      </c>
      <c r="CB54" s="5">
        <f>ROUND(0.0,2)</f>
        <v/>
      </c>
      <c r="CC54" s="3">
        <f>ROUND(0.0,2)</f>
        <v/>
      </c>
      <c r="CD54" s="3">
        <f>ROUND(0.0,2)</f>
        <v/>
      </c>
      <c r="CE54" s="3">
        <f>ROUND(0.0,2)</f>
        <v/>
      </c>
      <c r="CF54" s="3">
        <f>ROUND(0.0,2)</f>
        <v/>
      </c>
      <c r="CG54" s="3">
        <f>ROUND(0.0,2)</f>
        <v/>
      </c>
      <c r="CH54" s="3">
        <f>ROUND(0.0,2)</f>
        <v/>
      </c>
      <c r="CI54" s="3">
        <f>ROUND(0.0,2)</f>
        <v/>
      </c>
      <c r="CJ54" s="4">
        <f>IFERROR((CD54/CC54),0)</f>
        <v/>
      </c>
      <c r="CK54" s="4">
        <f>IFERROR(((0+CB11+CB12+CB13+CB14+CB15+CB16+CB17+CB19+CB20+CB21+CB22+CB23+CB24+CB25+CB27+CB28+CB29+CB30+CB31+CB32+CB33+CB35+CB36+CB37+CB38+CB39+CB40+CB41+CB43+CB44+CB45+CB46+CB47+CB48+CB49+CB51+CB52+CB53+CB54)/T2),0)</f>
        <v/>
      </c>
      <c r="CL54" s="5">
        <f>IFERROR(ROUND(CB54/CD54,2),0)</f>
        <v/>
      </c>
      <c r="CM54" s="5">
        <f>IFERROR(ROUND(CB54/CE54,2),0)</f>
        <v/>
      </c>
      <c r="CN54" s="2" t="inlineStr">
        <is>
          <t>2023-10-28</t>
        </is>
      </c>
      <c r="CO54" s="5">
        <f>ROUND(0.0,2)</f>
        <v/>
      </c>
      <c r="CP54" s="3">
        <f>ROUND(0.0,2)</f>
        <v/>
      </c>
      <c r="CQ54" s="3">
        <f>ROUND(0.0,2)</f>
        <v/>
      </c>
      <c r="CR54" s="3">
        <f>ROUND(0.0,2)</f>
        <v/>
      </c>
      <c r="CS54" s="3">
        <f>ROUND(0.0,2)</f>
        <v/>
      </c>
      <c r="CT54" s="3">
        <f>ROUND(0.0,2)</f>
        <v/>
      </c>
      <c r="CU54" s="3">
        <f>ROUND(0.0,2)</f>
        <v/>
      </c>
      <c r="CV54" s="3">
        <f>ROUND(0.0,2)</f>
        <v/>
      </c>
      <c r="CW54" s="4">
        <f>IFERROR((CQ54/CP54),0)</f>
        <v/>
      </c>
      <c r="CX54" s="4">
        <f>IFERROR(((0+CO11+CO12+CO13+CO14+CO15+CO16+CO17+CO19+CO20+CO21+CO22+CO23+CO24+CO25+CO27+CO28+CO29+CO30+CO31+CO32+CO33+CO35+CO36+CO37+CO38+CO39+CO40+CO41+CO43+CO44+CO45+CO46+CO47+CO48+CO49+CO51+CO52+CO53+CO54)/T2),0)</f>
        <v/>
      </c>
      <c r="CY54" s="5">
        <f>IFERROR(ROUND(CO54/CQ54,2),0)</f>
        <v/>
      </c>
      <c r="CZ54" s="5">
        <f>IFERROR(ROUND(CO54/CR54,2),0)</f>
        <v/>
      </c>
      <c r="DA54" s="2" t="inlineStr">
        <is>
          <t>2023-10-28</t>
        </is>
      </c>
      <c r="DB54" s="5">
        <f>ROUND(0.0,2)</f>
        <v/>
      </c>
      <c r="DC54" s="3">
        <f>ROUND(0.0,2)</f>
        <v/>
      </c>
      <c r="DD54" s="3">
        <f>ROUND(0.0,2)</f>
        <v/>
      </c>
      <c r="DE54" s="3">
        <f>ROUND(0.0,2)</f>
        <v/>
      </c>
      <c r="DF54" s="3">
        <f>ROUND(0.0,2)</f>
        <v/>
      </c>
      <c r="DG54" s="3">
        <f>ROUND(0.0,2)</f>
        <v/>
      </c>
      <c r="DH54" s="3">
        <f>ROUND(0.0,2)</f>
        <v/>
      </c>
      <c r="DI54" s="3">
        <f>ROUND(0.0,2)</f>
        <v/>
      </c>
      <c r="DJ54" s="4">
        <f>IFERROR((DD54/DC54),0)</f>
        <v/>
      </c>
      <c r="DK54" s="4">
        <f>IFERROR(((0+DB11+DB12+DB13+DB14+DB15+DB16+DB17+DB19+DB20+DB21+DB22+DB23+DB24+DB25+DB27+DB28+DB29+DB30+DB31+DB32+DB33+DB35+DB36+DB37+DB38+DB39+DB40+DB41+DB43+DB44+DB45+DB46+DB47+DB48+DB49+DB51+DB52+DB53+DB54)/T2),0)</f>
        <v/>
      </c>
      <c r="DL54" s="5">
        <f>IFERROR(ROUND(DB54/DD54,2),0)</f>
        <v/>
      </c>
      <c r="DM54" s="5">
        <f>IFERROR(ROUND(DB54/DE54,2),0)</f>
        <v/>
      </c>
      <c r="DN54" s="2" t="inlineStr">
        <is>
          <t>2023-10-28</t>
        </is>
      </c>
      <c r="DO54" s="5">
        <f>ROUND(0.0,2)</f>
        <v/>
      </c>
      <c r="DP54" s="3">
        <f>ROUND(0.0,2)</f>
        <v/>
      </c>
      <c r="DQ54" s="3">
        <f>ROUND(0.0,2)</f>
        <v/>
      </c>
      <c r="DR54" s="3">
        <f>ROUND(0.0,2)</f>
        <v/>
      </c>
      <c r="DS54" s="3">
        <f>ROUND(0.0,2)</f>
        <v/>
      </c>
      <c r="DT54" s="3">
        <f>ROUND(0.0,2)</f>
        <v/>
      </c>
      <c r="DU54" s="3">
        <f>ROUND(0.0,2)</f>
        <v/>
      </c>
      <c r="DV54" s="3">
        <f>ROUND(0.0,2)</f>
        <v/>
      </c>
      <c r="DW54" s="4">
        <f>IFERROR((DQ54/DP54),0)</f>
        <v/>
      </c>
      <c r="DX54" s="4">
        <f>IFERROR(((0+DO11+DO12+DO13+DO14+DO15+DO16+DO17+DO19+DO20+DO21+DO22+DO23+DO24+DO25+DO27+DO28+DO29+DO30+DO31+DO32+DO33+DO35+DO36+DO37+DO38+DO39+DO40+DO41+DO43+DO44+DO45+DO46+DO47+DO48+DO49+DO51+DO52+DO53+DO54)/T2),0)</f>
        <v/>
      </c>
      <c r="DY54" s="5">
        <f>IFERROR(ROUND(DO54/DQ54,2),0)</f>
        <v/>
      </c>
      <c r="DZ54" s="5">
        <f>IFERROR(ROUND(DO54/DR54,2),0)</f>
        <v/>
      </c>
      <c r="EA54" s="2" t="inlineStr">
        <is>
          <t>2023-10-28</t>
        </is>
      </c>
      <c r="EB54" s="5">
        <f>ROUND(0.0,2)</f>
        <v/>
      </c>
      <c r="EC54" s="3">
        <f>ROUND(0.0,2)</f>
        <v/>
      </c>
      <c r="ED54" s="3">
        <f>ROUND(0.0,2)</f>
        <v/>
      </c>
      <c r="EE54" s="3">
        <f>ROUND(0.0,2)</f>
        <v/>
      </c>
      <c r="EF54" s="3">
        <f>ROUND(0.0,2)</f>
        <v/>
      </c>
      <c r="EG54" s="3">
        <f>ROUND(0.0,2)</f>
        <v/>
      </c>
      <c r="EH54" s="3">
        <f>ROUND(0.0,2)</f>
        <v/>
      </c>
      <c r="EI54" s="3">
        <f>ROUND(0.0,2)</f>
        <v/>
      </c>
      <c r="EJ54" s="4">
        <f>IFERROR((ED54/EC54),0)</f>
        <v/>
      </c>
      <c r="EK54" s="4">
        <f>IFERROR(((0+EB11+EB12+EB13+EB14+EB15+EB16+EB17+EB19+EB20+EB21+EB22+EB23+EB24+EB25+EB27+EB28+EB29+EB30+EB31+EB32+EB33+EB35+EB36+EB37+EB38+EB39+EB40+EB41+EB43+EB44+EB45+EB46+EB47+EB48+EB49+EB51+EB52+EB53+EB54)/T2),0)</f>
        <v/>
      </c>
      <c r="EL54" s="5">
        <f>IFERROR(ROUND(EB54/ED54,2),0)</f>
        <v/>
      </c>
      <c r="EM54" s="5">
        <f>IFERROR(ROUND(EB54/EE54,2),0)</f>
        <v/>
      </c>
      <c r="EN54" s="2" t="inlineStr">
        <is>
          <t>2023-10-28</t>
        </is>
      </c>
      <c r="EO54" s="5">
        <f>ROUND(0.0,2)</f>
        <v/>
      </c>
      <c r="EP54" s="3">
        <f>ROUND(0.0,2)</f>
        <v/>
      </c>
      <c r="EQ54" s="3">
        <f>ROUND(0.0,2)</f>
        <v/>
      </c>
      <c r="ER54" s="3">
        <f>ROUND(0.0,2)</f>
        <v/>
      </c>
      <c r="ES54" s="3">
        <f>ROUND(0.0,2)</f>
        <v/>
      </c>
      <c r="ET54" s="3">
        <f>ROUND(0.0,2)</f>
        <v/>
      </c>
      <c r="EU54" s="3">
        <f>ROUND(0.0,2)</f>
        <v/>
      </c>
      <c r="EV54" s="3">
        <f>ROUND(0.0,2)</f>
        <v/>
      </c>
      <c r="EW54" s="4">
        <f>IFERROR((EQ54/EP54),0)</f>
        <v/>
      </c>
      <c r="EX54" s="4">
        <f>IFERROR(((0+EO11+EO12+EO13+EO14+EO15+EO16+EO17+EO19+EO20+EO21+EO22+EO23+EO24+EO25+EO27+EO28+EO29+EO30+EO31+EO32+EO33+EO35+EO36+EO37+EO38+EO39+EO40+EO41+EO43+EO44+EO45+EO46+EO47+EO48+EO49+EO51+EO52+EO53+EO54)/T2),0)</f>
        <v/>
      </c>
      <c r="EY54" s="5">
        <f>IFERROR(ROUND(EO54/EQ54,2),0)</f>
        <v/>
      </c>
      <c r="EZ54" s="5">
        <f>IFERROR(ROUND(EO54/ER54,2),0)</f>
        <v/>
      </c>
      <c r="FA54" s="2" t="inlineStr">
        <is>
          <t>2023-10-28</t>
        </is>
      </c>
      <c r="FB54" s="5">
        <f>ROUND(0.0,2)</f>
        <v/>
      </c>
      <c r="FC54" s="3">
        <f>ROUND(0.0,2)</f>
        <v/>
      </c>
      <c r="FD54" s="3">
        <f>ROUND(0.0,2)</f>
        <v/>
      </c>
      <c r="FE54" s="3">
        <f>ROUND(0.0,2)</f>
        <v/>
      </c>
      <c r="FF54" s="3">
        <f>ROUND(0.0,2)</f>
        <v/>
      </c>
      <c r="FG54" s="3">
        <f>ROUND(0.0,2)</f>
        <v/>
      </c>
      <c r="FH54" s="3">
        <f>ROUND(0.0,2)</f>
        <v/>
      </c>
      <c r="FI54" s="3">
        <f>ROUND(0.0,2)</f>
        <v/>
      </c>
      <c r="FJ54" s="4">
        <f>IFERROR((FD54/FC54),0)</f>
        <v/>
      </c>
      <c r="FK54" s="4">
        <f>IFERROR(((0+FB11+FB12+FB13+FB14+FB15+FB16+FB17+FB19+FB20+FB21+FB22+FB23+FB24+FB25+FB27+FB28+FB29+FB30+FB31+FB32+FB33+FB35+FB36+FB37+FB38+FB39+FB40+FB41+FB43+FB44+FB45+FB46+FB47+FB48+FB49+FB51+FB52+FB53+FB54)/T2),0)</f>
        <v/>
      </c>
      <c r="FL54" s="5">
        <f>IFERROR(ROUND(FB54/FD54,2),0)</f>
        <v/>
      </c>
      <c r="FM54" s="5">
        <f>IFERROR(ROUND(FB54/FE54,2),0)</f>
        <v/>
      </c>
      <c r="FN54" s="2" t="inlineStr">
        <is>
          <t>2023-10-28</t>
        </is>
      </c>
      <c r="FO54" s="5">
        <f>ROUND(0.0,2)</f>
        <v/>
      </c>
      <c r="FP54" s="3">
        <f>ROUND(0.0,2)</f>
        <v/>
      </c>
      <c r="FQ54" s="3">
        <f>ROUND(0.0,2)</f>
        <v/>
      </c>
      <c r="FR54" s="3">
        <f>ROUND(0.0,2)</f>
        <v/>
      </c>
      <c r="FS54" s="3">
        <f>ROUND(0.0,2)</f>
        <v/>
      </c>
      <c r="FT54" s="3">
        <f>ROUND(0.0,2)</f>
        <v/>
      </c>
      <c r="FU54" s="3">
        <f>ROUND(0.0,2)</f>
        <v/>
      </c>
      <c r="FV54" s="3">
        <f>ROUND(0.0,2)</f>
        <v/>
      </c>
      <c r="FW54" s="4">
        <f>IFERROR((FQ54/FP54),0)</f>
        <v/>
      </c>
      <c r="FX54" s="4">
        <f>IFERROR(((0+FO11+FO12+FO13+FO14+FO15+FO16+FO17+FO19+FO20+FO21+FO22+FO23+FO24+FO25+FO27+FO28+FO29+FO30+FO31+FO32+FO33+FO35+FO36+FO37+FO38+FO39+FO40+FO41+FO43+FO44+FO45+FO46+FO47+FO48+FO49+FO51+FO52+FO53+FO54)/T2),0)</f>
        <v/>
      </c>
      <c r="FY54" s="5">
        <f>IFERROR(ROUND(FO54/FQ54,2),0)</f>
        <v/>
      </c>
      <c r="FZ54" s="5">
        <f>IFERROR(ROUND(FO54/FR54,2),0)</f>
        <v/>
      </c>
      <c r="GA54" s="2" t="inlineStr">
        <is>
          <t>2023-10-28</t>
        </is>
      </c>
      <c r="GB54" s="5">
        <f>ROUND(0.0,2)</f>
        <v/>
      </c>
      <c r="GC54" s="3">
        <f>ROUND(0.0,2)</f>
        <v/>
      </c>
      <c r="GD54" s="3">
        <f>ROUND(0.0,2)</f>
        <v/>
      </c>
      <c r="GE54" s="3">
        <f>ROUND(0.0,2)</f>
        <v/>
      </c>
      <c r="GF54" s="3">
        <f>ROUND(0.0,2)</f>
        <v/>
      </c>
      <c r="GG54" s="3">
        <f>ROUND(0.0,2)</f>
        <v/>
      </c>
      <c r="GH54" s="3">
        <f>ROUND(0.0,2)</f>
        <v/>
      </c>
      <c r="GI54" s="3">
        <f>ROUND(0.0,2)</f>
        <v/>
      </c>
      <c r="GJ54" s="4">
        <f>IFERROR((GD54/GC54),0)</f>
        <v/>
      </c>
      <c r="GK54" s="4">
        <f>IFERROR(((0+GB11+GB12+GB13+GB14+GB15+GB16+GB17+GB19+GB20+GB21+GB22+GB23+GB24+GB25+GB27+GB28+GB29+GB30+GB31+GB32+GB33+GB35+GB36+GB37+GB38+GB39+GB40+GB41+GB43+GB44+GB45+GB46+GB47+GB48+GB49+GB51+GB52+GB53+GB54)/T2),0)</f>
        <v/>
      </c>
      <c r="GL54" s="5">
        <f>IFERROR(ROUND(GB54/GD54,2),0)</f>
        <v/>
      </c>
      <c r="GM54" s="5">
        <f>IFERROR(ROUND(GB54/GE54,2),0)</f>
        <v/>
      </c>
      <c r="GN54" s="2" t="inlineStr">
        <is>
          <t>2023-10-28</t>
        </is>
      </c>
      <c r="GO54" s="5">
        <f>ROUND(0.0,2)</f>
        <v/>
      </c>
      <c r="GP54" s="3">
        <f>ROUND(0.0,2)</f>
        <v/>
      </c>
      <c r="GQ54" s="3">
        <f>ROUND(0.0,2)</f>
        <v/>
      </c>
      <c r="GR54" s="3">
        <f>ROUND(0.0,2)</f>
        <v/>
      </c>
      <c r="GS54" s="3">
        <f>ROUND(0.0,2)</f>
        <v/>
      </c>
      <c r="GT54" s="3">
        <f>ROUND(0.0,2)</f>
        <v/>
      </c>
      <c r="GU54" s="3">
        <f>ROUND(0.0,2)</f>
        <v/>
      </c>
      <c r="GV54" s="3">
        <f>ROUND(0.0,2)</f>
        <v/>
      </c>
      <c r="GW54" s="4">
        <f>IFERROR((GQ54/GP54),0)</f>
        <v/>
      </c>
      <c r="GX54" s="4">
        <f>IFERROR(((0+GO11+GO12+GO13+GO14+GO15+GO16+GO17+GO19+GO20+GO21+GO22+GO23+GO24+GO25+GO27+GO28+GO29+GO30+GO31+GO32+GO33+GO35+GO36+GO37+GO38+GO39+GO40+GO41+GO43+GO44+GO45+GO46+GO47+GO48+GO49+GO51+GO52+GO53+GO54)/T2),0)</f>
        <v/>
      </c>
      <c r="GY54" s="5">
        <f>IFERROR(ROUND(GO54/GQ54,2),0)</f>
        <v/>
      </c>
      <c r="GZ54" s="5">
        <f>IFERROR(ROUND(GO54/GR54,2),0)</f>
        <v/>
      </c>
      <c r="HA54" s="2" t="inlineStr">
        <is>
          <t>2023-10-28</t>
        </is>
      </c>
      <c r="HB54" s="5">
        <f>ROUND(0.0,2)</f>
        <v/>
      </c>
      <c r="HC54" s="3">
        <f>ROUND(0.0,2)</f>
        <v/>
      </c>
      <c r="HD54" s="3">
        <f>ROUND(0.0,2)</f>
        <v/>
      </c>
      <c r="HE54" s="3">
        <f>ROUND(0.0,2)</f>
        <v/>
      </c>
      <c r="HF54" s="3">
        <f>ROUND(0.0,2)</f>
        <v/>
      </c>
      <c r="HG54" s="3">
        <f>ROUND(0.0,2)</f>
        <v/>
      </c>
      <c r="HH54" s="3">
        <f>ROUND(0.0,2)</f>
        <v/>
      </c>
      <c r="HI54" s="3">
        <f>ROUND(0.0,2)</f>
        <v/>
      </c>
      <c r="HJ54" s="4">
        <f>IFERROR((HD54/HC54),0)</f>
        <v/>
      </c>
      <c r="HK54" s="4">
        <f>IFERROR(((0+HB11+HB12+HB13+HB14+HB15+HB16+HB17+HB19+HB20+HB21+HB22+HB23+HB24+HB25+HB27+HB28+HB29+HB30+HB31+HB32+HB33+HB35+HB36+HB37+HB38+HB39+HB40+HB41+HB43+HB44+HB45+HB46+HB47+HB48+HB49+HB51+HB52+HB53+HB54)/T2),0)</f>
        <v/>
      </c>
      <c r="HL54" s="5">
        <f>IFERROR(ROUND(HB54/HD54,2),0)</f>
        <v/>
      </c>
      <c r="HM54" s="5">
        <f>IFERROR(ROUND(HB54/HE54,2),0)</f>
        <v/>
      </c>
      <c r="HN54" s="2" t="inlineStr">
        <is>
          <t>2023-10-28</t>
        </is>
      </c>
      <c r="HO54" s="5">
        <f>ROUND(0.0,2)</f>
        <v/>
      </c>
      <c r="HP54" s="3">
        <f>ROUND(0.0,2)</f>
        <v/>
      </c>
      <c r="HQ54" s="3">
        <f>ROUND(0.0,2)</f>
        <v/>
      </c>
      <c r="HR54" s="3">
        <f>ROUND(0.0,2)</f>
        <v/>
      </c>
      <c r="HS54" s="3">
        <f>ROUND(0.0,2)</f>
        <v/>
      </c>
      <c r="HT54" s="3">
        <f>ROUND(0.0,2)</f>
        <v/>
      </c>
      <c r="HU54" s="3">
        <f>ROUND(0.0,2)</f>
        <v/>
      </c>
      <c r="HV54" s="3">
        <f>ROUND(0.0,2)</f>
        <v/>
      </c>
      <c r="HW54" s="4">
        <f>IFERROR((HQ54/HP54),0)</f>
        <v/>
      </c>
      <c r="HX54" s="4">
        <f>IFERROR(((0+HO11+HO12+HO13+HO14+HO15+HO16+HO17+HO19+HO20+HO21+HO22+HO23+HO24+HO25+HO27+HO28+HO29+HO30+HO31+HO32+HO33+HO35+HO36+HO37+HO38+HO39+HO40+HO41+HO43+HO44+HO45+HO46+HO47+HO48+HO49+HO51+HO52+HO53+HO54)/T2),0)</f>
        <v/>
      </c>
      <c r="HY54" s="5">
        <f>IFERROR(ROUND(HO54/HQ54,2),0)</f>
        <v/>
      </c>
      <c r="HZ54" s="5">
        <f>IFERROR(ROUND(HO54/HR54,2),0)</f>
        <v/>
      </c>
      <c r="IA54" s="2" t="inlineStr">
        <is>
          <t>2023-10-28</t>
        </is>
      </c>
      <c r="IB54" s="5">
        <f>ROUND(0.0,2)</f>
        <v/>
      </c>
      <c r="IC54" s="3">
        <f>ROUND(0.0,2)</f>
        <v/>
      </c>
      <c r="ID54" s="3">
        <f>ROUND(0.0,2)</f>
        <v/>
      </c>
      <c r="IE54" s="3">
        <f>ROUND(0.0,2)</f>
        <v/>
      </c>
      <c r="IF54" s="3">
        <f>ROUND(0.0,2)</f>
        <v/>
      </c>
      <c r="IG54" s="3">
        <f>ROUND(0.0,2)</f>
        <v/>
      </c>
      <c r="IH54" s="3">
        <f>ROUND(0.0,2)</f>
        <v/>
      </c>
      <c r="II54" s="3">
        <f>ROUND(0.0,2)</f>
        <v/>
      </c>
      <c r="IJ54" s="4">
        <f>IFERROR((ID54/IC54),0)</f>
        <v/>
      </c>
      <c r="IK54" s="4">
        <f>IFERROR(((0+IB11+IB12+IB13+IB14+IB15+IB16+IB17+IB19+IB20+IB21+IB22+IB23+IB24+IB25+IB27+IB28+IB29+IB30+IB31+IB32+IB33+IB35+IB36+IB37+IB38+IB39+IB40+IB41+IB43+IB44+IB45+IB46+IB47+IB48+IB49+IB51+IB52+IB53+IB54)/T2),0)</f>
        <v/>
      </c>
      <c r="IL54" s="5">
        <f>IFERROR(ROUND(IB54/ID54,2),0)</f>
        <v/>
      </c>
      <c r="IM54" s="5">
        <f>IFERROR(ROUND(IB54/IE54,2),0)</f>
        <v/>
      </c>
      <c r="IN54" s="2" t="inlineStr">
        <is>
          <t>2023-10-28</t>
        </is>
      </c>
      <c r="IO54" s="5">
        <f>ROUND(0.0,2)</f>
        <v/>
      </c>
      <c r="IP54" s="3">
        <f>ROUND(0.0,2)</f>
        <v/>
      </c>
      <c r="IQ54" s="3">
        <f>ROUND(0.0,2)</f>
        <v/>
      </c>
      <c r="IR54" s="3">
        <f>ROUND(0.0,2)</f>
        <v/>
      </c>
      <c r="IS54" s="3">
        <f>ROUND(0.0,2)</f>
        <v/>
      </c>
      <c r="IT54" s="3">
        <f>ROUND(0.0,2)</f>
        <v/>
      </c>
      <c r="IU54" s="3">
        <f>ROUND(0.0,2)</f>
        <v/>
      </c>
      <c r="IV54" s="3">
        <f>ROUND(0.0,2)</f>
        <v/>
      </c>
      <c r="IW54" s="4">
        <f>IFERROR((IQ54/IP54),0)</f>
        <v/>
      </c>
      <c r="IX54" s="4">
        <f>IFERROR(((0+IO11+IO12+IO13+IO14+IO15+IO16+IO17+IO19+IO20+IO21+IO22+IO23+IO24+IO25+IO27+IO28+IO29+IO30+IO31+IO32+IO33+IO35+IO36+IO37+IO38+IO39+IO40+IO41+IO43+IO44+IO45+IO46+IO47+IO48+IO49+IO51+IO52+IO53+IO54)/T2),0)</f>
        <v/>
      </c>
      <c r="IY54" s="5">
        <f>IFERROR(ROUND(IO54/IQ54,2),0)</f>
        <v/>
      </c>
      <c r="IZ54" s="5">
        <f>IFERROR(ROUND(IO54/IR54,2),0)</f>
        <v/>
      </c>
      <c r="JA54" s="2" t="inlineStr">
        <is>
          <t>2023-10-28</t>
        </is>
      </c>
      <c r="JB54" s="5">
        <f>ROUND(0.0,2)</f>
        <v/>
      </c>
      <c r="JC54" s="3">
        <f>ROUND(0.0,2)</f>
        <v/>
      </c>
      <c r="JD54" s="3">
        <f>ROUND(0.0,2)</f>
        <v/>
      </c>
      <c r="JE54" s="3">
        <f>ROUND(0.0,2)</f>
        <v/>
      </c>
      <c r="JF54" s="3">
        <f>ROUND(0.0,2)</f>
        <v/>
      </c>
      <c r="JG54" s="3">
        <f>ROUND(0.0,2)</f>
        <v/>
      </c>
      <c r="JH54" s="3">
        <f>ROUND(0.0,2)</f>
        <v/>
      </c>
      <c r="JI54" s="3">
        <f>ROUND(0.0,2)</f>
        <v/>
      </c>
      <c r="JJ54" s="4">
        <f>IFERROR((JD54/JC54),0)</f>
        <v/>
      </c>
      <c r="JK54" s="4">
        <f>IFERROR(((0+JB11+JB12+JB13+JB14+JB15+JB16+JB17+JB19+JB20+JB21+JB22+JB23+JB24+JB25+JB27+JB28+JB29+JB30+JB31+JB32+JB33+JB35+JB36+JB37+JB38+JB39+JB40+JB41+JB43+JB44+JB45+JB46+JB47+JB48+JB49+JB51+JB52+JB53+JB54)/T2),0)</f>
        <v/>
      </c>
      <c r="JL54" s="5">
        <f>IFERROR(ROUND(JB54/JD54,2),0)</f>
        <v/>
      </c>
      <c r="JM54" s="5">
        <f>IFERROR(ROUND(JB54/JE54,2),0)</f>
        <v/>
      </c>
    </row>
    <row r="55">
      <c r="A55" s="2" t="inlineStr">
        <is>
          <t>2023-10-29</t>
        </is>
      </c>
      <c r="B55" s="5">
        <f>ROUND(0.0,2)</f>
        <v/>
      </c>
      <c r="C55" s="3">
        <f>ROUND(0.0,2)</f>
        <v/>
      </c>
      <c r="D55" s="3">
        <f>ROUND(0.0,2)</f>
        <v/>
      </c>
      <c r="E55" s="3">
        <f>ROUND(0.0,2)</f>
        <v/>
      </c>
      <c r="F55" s="3">
        <f>ROUND(0.0,2)</f>
        <v/>
      </c>
      <c r="G55" s="3">
        <f>ROUND(0.0,2)</f>
        <v/>
      </c>
      <c r="H55" s="3">
        <f>ROUND(0.0,2)</f>
        <v/>
      </c>
      <c r="I55" s="3">
        <f>ROUND(0.0,2)</f>
        <v/>
      </c>
      <c r="J55" s="4">
        <f>IFERROR((D55/C55),0)</f>
        <v/>
      </c>
      <c r="K55" s="4">
        <f>IFERROR(((0+B11+B12+B13+B14+B15+B16+B17+B19+B20+B21+B22+B23+B24+B25+B27+B28+B29+B30+B31+B32+B33+B35+B36+B37+B38+B39+B40+B41+B43+B44+B45+B46+B47+B48+B49+B51+B52+B53+B54+B55)/T2),0)</f>
        <v/>
      </c>
      <c r="L55" s="5">
        <f>IFERROR(ROUND(B55/D55,2),0)</f>
        <v/>
      </c>
      <c r="M55" s="5">
        <f>IFERROR(ROUND(B55/E55,2),0)</f>
        <v/>
      </c>
      <c r="N55" s="2" t="inlineStr">
        <is>
          <t>2023-10-29</t>
        </is>
      </c>
      <c r="O55" s="5">
        <f>ROUND(0.0,2)</f>
        <v/>
      </c>
      <c r="P55" s="3">
        <f>ROUND(0.0,2)</f>
        <v/>
      </c>
      <c r="Q55" s="3">
        <f>ROUND(0.0,2)</f>
        <v/>
      </c>
      <c r="R55" s="3">
        <f>ROUND(0.0,2)</f>
        <v/>
      </c>
      <c r="S55" s="3">
        <f>ROUND(0.0,2)</f>
        <v/>
      </c>
      <c r="T55" s="3">
        <f>ROUND(0.0,2)</f>
        <v/>
      </c>
      <c r="U55" s="3">
        <f>ROUND(0.0,2)</f>
        <v/>
      </c>
      <c r="V55" s="3">
        <f>ROUND(0.0,2)</f>
        <v/>
      </c>
      <c r="W55" s="4">
        <f>IFERROR((Q55/P55),0)</f>
        <v/>
      </c>
      <c r="X55" s="4">
        <f>IFERROR(((0+O11+O12+O13+O14+O15+O16+O17+O19+O20+O21+O22+O23+O24+O25+O27+O28+O29+O30+O31+O32+O33+O35+O36+O37+O38+O39+O40+O41+O43+O44+O45+O46+O47+O48+O49+O51+O52+O53+O54+O55)/T2),0)</f>
        <v/>
      </c>
      <c r="Y55" s="5">
        <f>IFERROR(ROUND(O55/Q55,2),0)</f>
        <v/>
      </c>
      <c r="Z55" s="5">
        <f>IFERROR(ROUND(O55/R55,2),0)</f>
        <v/>
      </c>
      <c r="AA55" s="2" t="inlineStr">
        <is>
          <t>2023-10-29</t>
        </is>
      </c>
      <c r="AB55" s="5">
        <f>ROUND(0.0,2)</f>
        <v/>
      </c>
      <c r="AC55" s="3">
        <f>ROUND(0.0,2)</f>
        <v/>
      </c>
      <c r="AD55" s="3">
        <f>ROUND(0.0,2)</f>
        <v/>
      </c>
      <c r="AE55" s="3">
        <f>ROUND(0.0,2)</f>
        <v/>
      </c>
      <c r="AF55" s="3">
        <f>ROUND(0.0,2)</f>
        <v/>
      </c>
      <c r="AG55" s="3">
        <f>ROUND(0.0,2)</f>
        <v/>
      </c>
      <c r="AH55" s="3">
        <f>ROUND(0.0,2)</f>
        <v/>
      </c>
      <c r="AI55" s="3">
        <f>ROUND(0.0,2)</f>
        <v/>
      </c>
      <c r="AJ55" s="4">
        <f>IFERROR((AD55/AC55),0)</f>
        <v/>
      </c>
      <c r="AK55" s="4">
        <f>IFERROR(((0+AB11+AB12+AB13+AB14+AB15+AB16+AB17+AB19+AB20+AB21+AB22+AB23+AB24+AB25+AB27+AB28+AB29+AB30+AB31+AB32+AB33+AB35+AB36+AB37+AB38+AB39+AB40+AB41+AB43+AB44+AB45+AB46+AB47+AB48+AB49+AB51+AB52+AB53+AB54+AB55)/T2),0)</f>
        <v/>
      </c>
      <c r="AL55" s="5">
        <f>IFERROR(ROUND(AB55/AD55,2),0)</f>
        <v/>
      </c>
      <c r="AM55" s="5">
        <f>IFERROR(ROUND(AB55/AE55,2),0)</f>
        <v/>
      </c>
      <c r="AN55" s="2" t="inlineStr">
        <is>
          <t>2023-10-29</t>
        </is>
      </c>
      <c r="AO55" s="5">
        <f>ROUND(0.0,2)</f>
        <v/>
      </c>
      <c r="AP55" s="3">
        <f>ROUND(0.0,2)</f>
        <v/>
      </c>
      <c r="AQ55" s="3">
        <f>ROUND(0.0,2)</f>
        <v/>
      </c>
      <c r="AR55" s="3">
        <f>ROUND(0.0,2)</f>
        <v/>
      </c>
      <c r="AS55" s="3">
        <f>ROUND(0.0,2)</f>
        <v/>
      </c>
      <c r="AT55" s="3">
        <f>ROUND(0.0,2)</f>
        <v/>
      </c>
      <c r="AU55" s="3">
        <f>ROUND(0.0,2)</f>
        <v/>
      </c>
      <c r="AV55" s="3">
        <f>ROUND(0.0,2)</f>
        <v/>
      </c>
      <c r="AW55" s="4">
        <f>IFERROR((AQ55/AP55),0)</f>
        <v/>
      </c>
      <c r="AX55" s="4">
        <f>IFERROR(((0+AO11+AO12+AO13+AO14+AO15+AO16+AO17+AO19+AO20+AO21+AO22+AO23+AO24+AO25+AO27+AO28+AO29+AO30+AO31+AO32+AO33+AO35+AO36+AO37+AO38+AO39+AO40+AO41+AO43+AO44+AO45+AO46+AO47+AO48+AO49+AO51+AO52+AO53+AO54+AO55)/T2),0)</f>
        <v/>
      </c>
      <c r="AY55" s="5">
        <f>IFERROR(ROUND(AO55/AQ55,2),0)</f>
        <v/>
      </c>
      <c r="AZ55" s="5">
        <f>IFERROR(ROUND(AO55/AR55,2),0)</f>
        <v/>
      </c>
      <c r="BA55" s="2" t="inlineStr">
        <is>
          <t>2023-10-29</t>
        </is>
      </c>
      <c r="BB55" s="5">
        <f>ROUND(0.0,2)</f>
        <v/>
      </c>
      <c r="BC55" s="3">
        <f>ROUND(0.0,2)</f>
        <v/>
      </c>
      <c r="BD55" s="3">
        <f>ROUND(0.0,2)</f>
        <v/>
      </c>
      <c r="BE55" s="3">
        <f>ROUND(0.0,2)</f>
        <v/>
      </c>
      <c r="BF55" s="3">
        <f>ROUND(0.0,2)</f>
        <v/>
      </c>
      <c r="BG55" s="3">
        <f>ROUND(0.0,2)</f>
        <v/>
      </c>
      <c r="BH55" s="3">
        <f>ROUND(0.0,2)</f>
        <v/>
      </c>
      <c r="BI55" s="3">
        <f>ROUND(0.0,2)</f>
        <v/>
      </c>
      <c r="BJ55" s="4">
        <f>IFERROR((BD55/BC55),0)</f>
        <v/>
      </c>
      <c r="BK55" s="4">
        <f>IFERROR(((0+BB11+BB12+BB13+BB14+BB15+BB16+BB17+BB19+BB20+BB21+BB22+BB23+BB24+BB25+BB27+BB28+BB29+BB30+BB31+BB32+BB33+BB35+BB36+BB37+BB38+BB39+BB40+BB41+BB43+BB44+BB45+BB46+BB47+BB48+BB49+BB51+BB52+BB53+BB54+BB55)/T2),0)</f>
        <v/>
      </c>
      <c r="BL55" s="5">
        <f>IFERROR(ROUND(BB55/BD55,2),0)</f>
        <v/>
      </c>
      <c r="BM55" s="5">
        <f>IFERROR(ROUND(BB55/BE55,2),0)</f>
        <v/>
      </c>
      <c r="BN55" s="2" t="inlineStr">
        <is>
          <t>2023-10-29</t>
        </is>
      </c>
      <c r="BO55" s="5">
        <f>ROUND(0.0,2)</f>
        <v/>
      </c>
      <c r="BP55" s="3">
        <f>ROUND(0.0,2)</f>
        <v/>
      </c>
      <c r="BQ55" s="3">
        <f>ROUND(0.0,2)</f>
        <v/>
      </c>
      <c r="BR55" s="3">
        <f>ROUND(0.0,2)</f>
        <v/>
      </c>
      <c r="BS55" s="3">
        <f>ROUND(0.0,2)</f>
        <v/>
      </c>
      <c r="BT55" s="3">
        <f>ROUND(0.0,2)</f>
        <v/>
      </c>
      <c r="BU55" s="3">
        <f>ROUND(0.0,2)</f>
        <v/>
      </c>
      <c r="BV55" s="3">
        <f>ROUND(0.0,2)</f>
        <v/>
      </c>
      <c r="BW55" s="4">
        <f>IFERROR((BQ55/BP55),0)</f>
        <v/>
      </c>
      <c r="BX55" s="4">
        <f>IFERROR(((0+BO11+BO12+BO13+BO14+BO15+BO16+BO17+BO19+BO20+BO21+BO22+BO23+BO24+BO25+BO27+BO28+BO29+BO30+BO31+BO32+BO33+BO35+BO36+BO37+BO38+BO39+BO40+BO41+BO43+BO44+BO45+BO46+BO47+BO48+BO49+BO51+BO52+BO53+BO54+BO55)/T2),0)</f>
        <v/>
      </c>
      <c r="BY55" s="5">
        <f>IFERROR(ROUND(BO55/BQ55,2),0)</f>
        <v/>
      </c>
      <c r="BZ55" s="5">
        <f>IFERROR(ROUND(BO55/BR55,2),0)</f>
        <v/>
      </c>
      <c r="CA55" s="2" t="inlineStr">
        <is>
          <t>2023-10-29</t>
        </is>
      </c>
      <c r="CB55" s="5">
        <f>ROUND(0.0,2)</f>
        <v/>
      </c>
      <c r="CC55" s="3">
        <f>ROUND(0.0,2)</f>
        <v/>
      </c>
      <c r="CD55" s="3">
        <f>ROUND(0.0,2)</f>
        <v/>
      </c>
      <c r="CE55" s="3">
        <f>ROUND(0.0,2)</f>
        <v/>
      </c>
      <c r="CF55" s="3">
        <f>ROUND(0.0,2)</f>
        <v/>
      </c>
      <c r="CG55" s="3">
        <f>ROUND(0.0,2)</f>
        <v/>
      </c>
      <c r="CH55" s="3">
        <f>ROUND(0.0,2)</f>
        <v/>
      </c>
      <c r="CI55" s="3">
        <f>ROUND(0.0,2)</f>
        <v/>
      </c>
      <c r="CJ55" s="4">
        <f>IFERROR((CD55/CC55),0)</f>
        <v/>
      </c>
      <c r="CK55" s="4">
        <f>IFERROR(((0+CB11+CB12+CB13+CB14+CB15+CB16+CB17+CB19+CB20+CB21+CB22+CB23+CB24+CB25+CB27+CB28+CB29+CB30+CB31+CB32+CB33+CB35+CB36+CB37+CB38+CB39+CB40+CB41+CB43+CB44+CB45+CB46+CB47+CB48+CB49+CB51+CB52+CB53+CB54+CB55)/T2),0)</f>
        <v/>
      </c>
      <c r="CL55" s="5">
        <f>IFERROR(ROUND(CB55/CD55,2),0)</f>
        <v/>
      </c>
      <c r="CM55" s="5">
        <f>IFERROR(ROUND(CB55/CE55,2),0)</f>
        <v/>
      </c>
      <c r="CN55" s="2" t="inlineStr">
        <is>
          <t>2023-10-29</t>
        </is>
      </c>
      <c r="CO55" s="5">
        <f>ROUND(0.0,2)</f>
        <v/>
      </c>
      <c r="CP55" s="3">
        <f>ROUND(0.0,2)</f>
        <v/>
      </c>
      <c r="CQ55" s="3">
        <f>ROUND(0.0,2)</f>
        <v/>
      </c>
      <c r="CR55" s="3">
        <f>ROUND(0.0,2)</f>
        <v/>
      </c>
      <c r="CS55" s="3">
        <f>ROUND(0.0,2)</f>
        <v/>
      </c>
      <c r="CT55" s="3">
        <f>ROUND(0.0,2)</f>
        <v/>
      </c>
      <c r="CU55" s="3">
        <f>ROUND(0.0,2)</f>
        <v/>
      </c>
      <c r="CV55" s="3">
        <f>ROUND(0.0,2)</f>
        <v/>
      </c>
      <c r="CW55" s="4">
        <f>IFERROR((CQ55/CP55),0)</f>
        <v/>
      </c>
      <c r="CX55" s="4">
        <f>IFERROR(((0+CO11+CO12+CO13+CO14+CO15+CO16+CO17+CO19+CO20+CO21+CO22+CO23+CO24+CO25+CO27+CO28+CO29+CO30+CO31+CO32+CO33+CO35+CO36+CO37+CO38+CO39+CO40+CO41+CO43+CO44+CO45+CO46+CO47+CO48+CO49+CO51+CO52+CO53+CO54+CO55)/T2),0)</f>
        <v/>
      </c>
      <c r="CY55" s="5">
        <f>IFERROR(ROUND(CO55/CQ55,2),0)</f>
        <v/>
      </c>
      <c r="CZ55" s="5">
        <f>IFERROR(ROUND(CO55/CR55,2),0)</f>
        <v/>
      </c>
      <c r="DA55" s="2" t="inlineStr">
        <is>
          <t>2023-10-29</t>
        </is>
      </c>
      <c r="DB55" s="5">
        <f>ROUND(0.0,2)</f>
        <v/>
      </c>
      <c r="DC55" s="3">
        <f>ROUND(0.0,2)</f>
        <v/>
      </c>
      <c r="DD55" s="3">
        <f>ROUND(0.0,2)</f>
        <v/>
      </c>
      <c r="DE55" s="3">
        <f>ROUND(0.0,2)</f>
        <v/>
      </c>
      <c r="DF55" s="3">
        <f>ROUND(0.0,2)</f>
        <v/>
      </c>
      <c r="DG55" s="3">
        <f>ROUND(0.0,2)</f>
        <v/>
      </c>
      <c r="DH55" s="3">
        <f>ROUND(0.0,2)</f>
        <v/>
      </c>
      <c r="DI55" s="3">
        <f>ROUND(0.0,2)</f>
        <v/>
      </c>
      <c r="DJ55" s="4">
        <f>IFERROR((DD55/DC55),0)</f>
        <v/>
      </c>
      <c r="DK55" s="4">
        <f>IFERROR(((0+DB11+DB12+DB13+DB14+DB15+DB16+DB17+DB19+DB20+DB21+DB22+DB23+DB24+DB25+DB27+DB28+DB29+DB30+DB31+DB32+DB33+DB35+DB36+DB37+DB38+DB39+DB40+DB41+DB43+DB44+DB45+DB46+DB47+DB48+DB49+DB51+DB52+DB53+DB54+DB55)/T2),0)</f>
        <v/>
      </c>
      <c r="DL55" s="5">
        <f>IFERROR(ROUND(DB55/DD55,2),0)</f>
        <v/>
      </c>
      <c r="DM55" s="5">
        <f>IFERROR(ROUND(DB55/DE55,2),0)</f>
        <v/>
      </c>
      <c r="DN55" s="2" t="inlineStr">
        <is>
          <t>2023-10-29</t>
        </is>
      </c>
      <c r="DO55" s="5">
        <f>ROUND(0.0,2)</f>
        <v/>
      </c>
      <c r="DP55" s="3">
        <f>ROUND(0.0,2)</f>
        <v/>
      </c>
      <c r="DQ55" s="3">
        <f>ROUND(0.0,2)</f>
        <v/>
      </c>
      <c r="DR55" s="3">
        <f>ROUND(0.0,2)</f>
        <v/>
      </c>
      <c r="DS55" s="3">
        <f>ROUND(0.0,2)</f>
        <v/>
      </c>
      <c r="DT55" s="3">
        <f>ROUND(0.0,2)</f>
        <v/>
      </c>
      <c r="DU55" s="3">
        <f>ROUND(0.0,2)</f>
        <v/>
      </c>
      <c r="DV55" s="3">
        <f>ROUND(0.0,2)</f>
        <v/>
      </c>
      <c r="DW55" s="4">
        <f>IFERROR((DQ55/DP55),0)</f>
        <v/>
      </c>
      <c r="DX55" s="4">
        <f>IFERROR(((0+DO11+DO12+DO13+DO14+DO15+DO16+DO17+DO19+DO20+DO21+DO22+DO23+DO24+DO25+DO27+DO28+DO29+DO30+DO31+DO32+DO33+DO35+DO36+DO37+DO38+DO39+DO40+DO41+DO43+DO44+DO45+DO46+DO47+DO48+DO49+DO51+DO52+DO53+DO54+DO55)/T2),0)</f>
        <v/>
      </c>
      <c r="DY55" s="5">
        <f>IFERROR(ROUND(DO55/DQ55,2),0)</f>
        <v/>
      </c>
      <c r="DZ55" s="5">
        <f>IFERROR(ROUND(DO55/DR55,2),0)</f>
        <v/>
      </c>
      <c r="EA55" s="2" t="inlineStr">
        <is>
          <t>2023-10-29</t>
        </is>
      </c>
      <c r="EB55" s="5">
        <f>ROUND(0.0,2)</f>
        <v/>
      </c>
      <c r="EC55" s="3">
        <f>ROUND(0.0,2)</f>
        <v/>
      </c>
      <c r="ED55" s="3">
        <f>ROUND(0.0,2)</f>
        <v/>
      </c>
      <c r="EE55" s="3">
        <f>ROUND(0.0,2)</f>
        <v/>
      </c>
      <c r="EF55" s="3">
        <f>ROUND(0.0,2)</f>
        <v/>
      </c>
      <c r="EG55" s="3">
        <f>ROUND(0.0,2)</f>
        <v/>
      </c>
      <c r="EH55" s="3">
        <f>ROUND(0.0,2)</f>
        <v/>
      </c>
      <c r="EI55" s="3">
        <f>ROUND(0.0,2)</f>
        <v/>
      </c>
      <c r="EJ55" s="4">
        <f>IFERROR((ED55/EC55),0)</f>
        <v/>
      </c>
      <c r="EK55" s="4">
        <f>IFERROR(((0+EB11+EB12+EB13+EB14+EB15+EB16+EB17+EB19+EB20+EB21+EB22+EB23+EB24+EB25+EB27+EB28+EB29+EB30+EB31+EB32+EB33+EB35+EB36+EB37+EB38+EB39+EB40+EB41+EB43+EB44+EB45+EB46+EB47+EB48+EB49+EB51+EB52+EB53+EB54+EB55)/T2),0)</f>
        <v/>
      </c>
      <c r="EL55" s="5">
        <f>IFERROR(ROUND(EB55/ED55,2),0)</f>
        <v/>
      </c>
      <c r="EM55" s="5">
        <f>IFERROR(ROUND(EB55/EE55,2),0)</f>
        <v/>
      </c>
      <c r="EN55" s="2" t="inlineStr">
        <is>
          <t>2023-10-29</t>
        </is>
      </c>
      <c r="EO55" s="5">
        <f>ROUND(0.0,2)</f>
        <v/>
      </c>
      <c r="EP55" s="3">
        <f>ROUND(0.0,2)</f>
        <v/>
      </c>
      <c r="EQ55" s="3">
        <f>ROUND(0.0,2)</f>
        <v/>
      </c>
      <c r="ER55" s="3">
        <f>ROUND(0.0,2)</f>
        <v/>
      </c>
      <c r="ES55" s="3">
        <f>ROUND(0.0,2)</f>
        <v/>
      </c>
      <c r="ET55" s="3">
        <f>ROUND(0.0,2)</f>
        <v/>
      </c>
      <c r="EU55" s="3">
        <f>ROUND(0.0,2)</f>
        <v/>
      </c>
      <c r="EV55" s="3">
        <f>ROUND(0.0,2)</f>
        <v/>
      </c>
      <c r="EW55" s="4">
        <f>IFERROR((EQ55/EP55),0)</f>
        <v/>
      </c>
      <c r="EX55" s="4">
        <f>IFERROR(((0+EO11+EO12+EO13+EO14+EO15+EO16+EO17+EO19+EO20+EO21+EO22+EO23+EO24+EO25+EO27+EO28+EO29+EO30+EO31+EO32+EO33+EO35+EO36+EO37+EO38+EO39+EO40+EO41+EO43+EO44+EO45+EO46+EO47+EO48+EO49+EO51+EO52+EO53+EO54+EO55)/T2),0)</f>
        <v/>
      </c>
      <c r="EY55" s="5">
        <f>IFERROR(ROUND(EO55/EQ55,2),0)</f>
        <v/>
      </c>
      <c r="EZ55" s="5">
        <f>IFERROR(ROUND(EO55/ER55,2),0)</f>
        <v/>
      </c>
      <c r="FA55" s="2" t="inlineStr">
        <is>
          <t>2023-10-29</t>
        </is>
      </c>
      <c r="FB55" s="5">
        <f>ROUND(0.0,2)</f>
        <v/>
      </c>
      <c r="FC55" s="3">
        <f>ROUND(0.0,2)</f>
        <v/>
      </c>
      <c r="FD55" s="3">
        <f>ROUND(0.0,2)</f>
        <v/>
      </c>
      <c r="FE55" s="3">
        <f>ROUND(0.0,2)</f>
        <v/>
      </c>
      <c r="FF55" s="3">
        <f>ROUND(0.0,2)</f>
        <v/>
      </c>
      <c r="FG55" s="3">
        <f>ROUND(0.0,2)</f>
        <v/>
      </c>
      <c r="FH55" s="3">
        <f>ROUND(0.0,2)</f>
        <v/>
      </c>
      <c r="FI55" s="3">
        <f>ROUND(0.0,2)</f>
        <v/>
      </c>
      <c r="FJ55" s="4">
        <f>IFERROR((FD55/FC55),0)</f>
        <v/>
      </c>
      <c r="FK55" s="4">
        <f>IFERROR(((0+FB11+FB12+FB13+FB14+FB15+FB16+FB17+FB19+FB20+FB21+FB22+FB23+FB24+FB25+FB27+FB28+FB29+FB30+FB31+FB32+FB33+FB35+FB36+FB37+FB38+FB39+FB40+FB41+FB43+FB44+FB45+FB46+FB47+FB48+FB49+FB51+FB52+FB53+FB54+FB55)/T2),0)</f>
        <v/>
      </c>
      <c r="FL55" s="5">
        <f>IFERROR(ROUND(FB55/FD55,2),0)</f>
        <v/>
      </c>
      <c r="FM55" s="5">
        <f>IFERROR(ROUND(FB55/FE55,2),0)</f>
        <v/>
      </c>
      <c r="FN55" s="2" t="inlineStr">
        <is>
          <t>2023-10-29</t>
        </is>
      </c>
      <c r="FO55" s="5">
        <f>ROUND(0.0,2)</f>
        <v/>
      </c>
      <c r="FP55" s="3">
        <f>ROUND(0.0,2)</f>
        <v/>
      </c>
      <c r="FQ55" s="3">
        <f>ROUND(0.0,2)</f>
        <v/>
      </c>
      <c r="FR55" s="3">
        <f>ROUND(0.0,2)</f>
        <v/>
      </c>
      <c r="FS55" s="3">
        <f>ROUND(0.0,2)</f>
        <v/>
      </c>
      <c r="FT55" s="3">
        <f>ROUND(0.0,2)</f>
        <v/>
      </c>
      <c r="FU55" s="3">
        <f>ROUND(0.0,2)</f>
        <v/>
      </c>
      <c r="FV55" s="3">
        <f>ROUND(0.0,2)</f>
        <v/>
      </c>
      <c r="FW55" s="4">
        <f>IFERROR((FQ55/FP55),0)</f>
        <v/>
      </c>
      <c r="FX55" s="4">
        <f>IFERROR(((0+FO11+FO12+FO13+FO14+FO15+FO16+FO17+FO19+FO20+FO21+FO22+FO23+FO24+FO25+FO27+FO28+FO29+FO30+FO31+FO32+FO33+FO35+FO36+FO37+FO38+FO39+FO40+FO41+FO43+FO44+FO45+FO46+FO47+FO48+FO49+FO51+FO52+FO53+FO54+FO55)/T2),0)</f>
        <v/>
      </c>
      <c r="FY55" s="5">
        <f>IFERROR(ROUND(FO55/FQ55,2),0)</f>
        <v/>
      </c>
      <c r="FZ55" s="5">
        <f>IFERROR(ROUND(FO55/FR55,2),0)</f>
        <v/>
      </c>
      <c r="GA55" s="2" t="inlineStr">
        <is>
          <t>2023-10-29</t>
        </is>
      </c>
      <c r="GB55" s="5">
        <f>ROUND(0.0,2)</f>
        <v/>
      </c>
      <c r="GC55" s="3">
        <f>ROUND(0.0,2)</f>
        <v/>
      </c>
      <c r="GD55" s="3">
        <f>ROUND(0.0,2)</f>
        <v/>
      </c>
      <c r="GE55" s="3">
        <f>ROUND(0.0,2)</f>
        <v/>
      </c>
      <c r="GF55" s="3">
        <f>ROUND(0.0,2)</f>
        <v/>
      </c>
      <c r="GG55" s="3">
        <f>ROUND(0.0,2)</f>
        <v/>
      </c>
      <c r="GH55" s="3">
        <f>ROUND(0.0,2)</f>
        <v/>
      </c>
      <c r="GI55" s="3">
        <f>ROUND(0.0,2)</f>
        <v/>
      </c>
      <c r="GJ55" s="4">
        <f>IFERROR((GD55/GC55),0)</f>
        <v/>
      </c>
      <c r="GK55" s="4">
        <f>IFERROR(((0+GB11+GB12+GB13+GB14+GB15+GB16+GB17+GB19+GB20+GB21+GB22+GB23+GB24+GB25+GB27+GB28+GB29+GB30+GB31+GB32+GB33+GB35+GB36+GB37+GB38+GB39+GB40+GB41+GB43+GB44+GB45+GB46+GB47+GB48+GB49+GB51+GB52+GB53+GB54+GB55)/T2),0)</f>
        <v/>
      </c>
      <c r="GL55" s="5">
        <f>IFERROR(ROUND(GB55/GD55,2),0)</f>
        <v/>
      </c>
      <c r="GM55" s="5">
        <f>IFERROR(ROUND(GB55/GE55,2),0)</f>
        <v/>
      </c>
      <c r="GN55" s="2" t="inlineStr">
        <is>
          <t>2023-10-29</t>
        </is>
      </c>
      <c r="GO55" s="5">
        <f>ROUND(0.0,2)</f>
        <v/>
      </c>
      <c r="GP55" s="3">
        <f>ROUND(0.0,2)</f>
        <v/>
      </c>
      <c r="GQ55" s="3">
        <f>ROUND(0.0,2)</f>
        <v/>
      </c>
      <c r="GR55" s="3">
        <f>ROUND(0.0,2)</f>
        <v/>
      </c>
      <c r="GS55" s="3">
        <f>ROUND(0.0,2)</f>
        <v/>
      </c>
      <c r="GT55" s="3">
        <f>ROUND(0.0,2)</f>
        <v/>
      </c>
      <c r="GU55" s="3">
        <f>ROUND(0.0,2)</f>
        <v/>
      </c>
      <c r="GV55" s="3">
        <f>ROUND(0.0,2)</f>
        <v/>
      </c>
      <c r="GW55" s="4">
        <f>IFERROR((GQ55/GP55),0)</f>
        <v/>
      </c>
      <c r="GX55" s="4">
        <f>IFERROR(((0+GO11+GO12+GO13+GO14+GO15+GO16+GO17+GO19+GO20+GO21+GO22+GO23+GO24+GO25+GO27+GO28+GO29+GO30+GO31+GO32+GO33+GO35+GO36+GO37+GO38+GO39+GO40+GO41+GO43+GO44+GO45+GO46+GO47+GO48+GO49+GO51+GO52+GO53+GO54+GO55)/T2),0)</f>
        <v/>
      </c>
      <c r="GY55" s="5">
        <f>IFERROR(ROUND(GO55/GQ55,2),0)</f>
        <v/>
      </c>
      <c r="GZ55" s="5">
        <f>IFERROR(ROUND(GO55/GR55,2),0)</f>
        <v/>
      </c>
      <c r="HA55" s="2" t="inlineStr">
        <is>
          <t>2023-10-29</t>
        </is>
      </c>
      <c r="HB55" s="5">
        <f>ROUND(0.0,2)</f>
        <v/>
      </c>
      <c r="HC55" s="3">
        <f>ROUND(0.0,2)</f>
        <v/>
      </c>
      <c r="HD55" s="3">
        <f>ROUND(0.0,2)</f>
        <v/>
      </c>
      <c r="HE55" s="3">
        <f>ROUND(0.0,2)</f>
        <v/>
      </c>
      <c r="HF55" s="3">
        <f>ROUND(0.0,2)</f>
        <v/>
      </c>
      <c r="HG55" s="3">
        <f>ROUND(0.0,2)</f>
        <v/>
      </c>
      <c r="HH55" s="3">
        <f>ROUND(0.0,2)</f>
        <v/>
      </c>
      <c r="HI55" s="3">
        <f>ROUND(0.0,2)</f>
        <v/>
      </c>
      <c r="HJ55" s="4">
        <f>IFERROR((HD55/HC55),0)</f>
        <v/>
      </c>
      <c r="HK55" s="4">
        <f>IFERROR(((0+HB11+HB12+HB13+HB14+HB15+HB16+HB17+HB19+HB20+HB21+HB22+HB23+HB24+HB25+HB27+HB28+HB29+HB30+HB31+HB32+HB33+HB35+HB36+HB37+HB38+HB39+HB40+HB41+HB43+HB44+HB45+HB46+HB47+HB48+HB49+HB51+HB52+HB53+HB54+HB55)/T2),0)</f>
        <v/>
      </c>
      <c r="HL55" s="5">
        <f>IFERROR(ROUND(HB55/HD55,2),0)</f>
        <v/>
      </c>
      <c r="HM55" s="5">
        <f>IFERROR(ROUND(HB55/HE55,2),0)</f>
        <v/>
      </c>
      <c r="HN55" s="2" t="inlineStr">
        <is>
          <t>2023-10-29</t>
        </is>
      </c>
      <c r="HO55" s="5">
        <f>ROUND(0.0,2)</f>
        <v/>
      </c>
      <c r="HP55" s="3">
        <f>ROUND(0.0,2)</f>
        <v/>
      </c>
      <c r="HQ55" s="3">
        <f>ROUND(0.0,2)</f>
        <v/>
      </c>
      <c r="HR55" s="3">
        <f>ROUND(0.0,2)</f>
        <v/>
      </c>
      <c r="HS55" s="3">
        <f>ROUND(0.0,2)</f>
        <v/>
      </c>
      <c r="HT55" s="3">
        <f>ROUND(0.0,2)</f>
        <v/>
      </c>
      <c r="HU55" s="3">
        <f>ROUND(0.0,2)</f>
        <v/>
      </c>
      <c r="HV55" s="3">
        <f>ROUND(0.0,2)</f>
        <v/>
      </c>
      <c r="HW55" s="4">
        <f>IFERROR((HQ55/HP55),0)</f>
        <v/>
      </c>
      <c r="HX55" s="4">
        <f>IFERROR(((0+HO11+HO12+HO13+HO14+HO15+HO16+HO17+HO19+HO20+HO21+HO22+HO23+HO24+HO25+HO27+HO28+HO29+HO30+HO31+HO32+HO33+HO35+HO36+HO37+HO38+HO39+HO40+HO41+HO43+HO44+HO45+HO46+HO47+HO48+HO49+HO51+HO52+HO53+HO54+HO55)/T2),0)</f>
        <v/>
      </c>
      <c r="HY55" s="5">
        <f>IFERROR(ROUND(HO55/HQ55,2),0)</f>
        <v/>
      </c>
      <c r="HZ55" s="5">
        <f>IFERROR(ROUND(HO55/HR55,2),0)</f>
        <v/>
      </c>
      <c r="IA55" s="2" t="inlineStr">
        <is>
          <t>2023-10-29</t>
        </is>
      </c>
      <c r="IB55" s="5">
        <f>ROUND(0.0,2)</f>
        <v/>
      </c>
      <c r="IC55" s="3">
        <f>ROUND(0.0,2)</f>
        <v/>
      </c>
      <c r="ID55" s="3">
        <f>ROUND(0.0,2)</f>
        <v/>
      </c>
      <c r="IE55" s="3">
        <f>ROUND(0.0,2)</f>
        <v/>
      </c>
      <c r="IF55" s="3">
        <f>ROUND(0.0,2)</f>
        <v/>
      </c>
      <c r="IG55" s="3">
        <f>ROUND(0.0,2)</f>
        <v/>
      </c>
      <c r="IH55" s="3">
        <f>ROUND(0.0,2)</f>
        <v/>
      </c>
      <c r="II55" s="3">
        <f>ROUND(0.0,2)</f>
        <v/>
      </c>
      <c r="IJ55" s="4">
        <f>IFERROR((ID55/IC55),0)</f>
        <v/>
      </c>
      <c r="IK55" s="4">
        <f>IFERROR(((0+IB11+IB12+IB13+IB14+IB15+IB16+IB17+IB19+IB20+IB21+IB22+IB23+IB24+IB25+IB27+IB28+IB29+IB30+IB31+IB32+IB33+IB35+IB36+IB37+IB38+IB39+IB40+IB41+IB43+IB44+IB45+IB46+IB47+IB48+IB49+IB51+IB52+IB53+IB54+IB55)/T2),0)</f>
        <v/>
      </c>
      <c r="IL55" s="5">
        <f>IFERROR(ROUND(IB55/ID55,2),0)</f>
        <v/>
      </c>
      <c r="IM55" s="5">
        <f>IFERROR(ROUND(IB55/IE55,2),0)</f>
        <v/>
      </c>
      <c r="IN55" s="2" t="inlineStr">
        <is>
          <t>2023-10-29</t>
        </is>
      </c>
      <c r="IO55" s="5">
        <f>ROUND(0.0,2)</f>
        <v/>
      </c>
      <c r="IP55" s="3">
        <f>ROUND(0.0,2)</f>
        <v/>
      </c>
      <c r="IQ55" s="3">
        <f>ROUND(0.0,2)</f>
        <v/>
      </c>
      <c r="IR55" s="3">
        <f>ROUND(0.0,2)</f>
        <v/>
      </c>
      <c r="IS55" s="3">
        <f>ROUND(0.0,2)</f>
        <v/>
      </c>
      <c r="IT55" s="3">
        <f>ROUND(0.0,2)</f>
        <v/>
      </c>
      <c r="IU55" s="3">
        <f>ROUND(0.0,2)</f>
        <v/>
      </c>
      <c r="IV55" s="3">
        <f>ROUND(0.0,2)</f>
        <v/>
      </c>
      <c r="IW55" s="4">
        <f>IFERROR((IQ55/IP55),0)</f>
        <v/>
      </c>
      <c r="IX55" s="4">
        <f>IFERROR(((0+IO11+IO12+IO13+IO14+IO15+IO16+IO17+IO19+IO20+IO21+IO22+IO23+IO24+IO25+IO27+IO28+IO29+IO30+IO31+IO32+IO33+IO35+IO36+IO37+IO38+IO39+IO40+IO41+IO43+IO44+IO45+IO46+IO47+IO48+IO49+IO51+IO52+IO53+IO54+IO55)/T2),0)</f>
        <v/>
      </c>
      <c r="IY55" s="5">
        <f>IFERROR(ROUND(IO55/IQ55,2),0)</f>
        <v/>
      </c>
      <c r="IZ55" s="5">
        <f>IFERROR(ROUND(IO55/IR55,2),0)</f>
        <v/>
      </c>
      <c r="JA55" s="2" t="inlineStr">
        <is>
          <t>2023-10-29</t>
        </is>
      </c>
      <c r="JB55" s="5">
        <f>ROUND(0.0,2)</f>
        <v/>
      </c>
      <c r="JC55" s="3">
        <f>ROUND(0.0,2)</f>
        <v/>
      </c>
      <c r="JD55" s="3">
        <f>ROUND(0.0,2)</f>
        <v/>
      </c>
      <c r="JE55" s="3">
        <f>ROUND(0.0,2)</f>
        <v/>
      </c>
      <c r="JF55" s="3">
        <f>ROUND(0.0,2)</f>
        <v/>
      </c>
      <c r="JG55" s="3">
        <f>ROUND(0.0,2)</f>
        <v/>
      </c>
      <c r="JH55" s="3">
        <f>ROUND(0.0,2)</f>
        <v/>
      </c>
      <c r="JI55" s="3">
        <f>ROUND(0.0,2)</f>
        <v/>
      </c>
      <c r="JJ55" s="4">
        <f>IFERROR((JD55/JC55),0)</f>
        <v/>
      </c>
      <c r="JK55" s="4">
        <f>IFERROR(((0+JB11+JB12+JB13+JB14+JB15+JB16+JB17+JB19+JB20+JB21+JB22+JB23+JB24+JB25+JB27+JB28+JB29+JB30+JB31+JB32+JB33+JB35+JB36+JB37+JB38+JB39+JB40+JB41+JB43+JB44+JB45+JB46+JB47+JB48+JB49+JB51+JB52+JB53+JB54+JB55)/T2),0)</f>
        <v/>
      </c>
      <c r="JL55" s="5">
        <f>IFERROR(ROUND(JB55/JD55,2),0)</f>
        <v/>
      </c>
      <c r="JM55" s="5">
        <f>IFERROR(ROUND(JB55/JE55,2),0)</f>
        <v/>
      </c>
    </row>
    <row r="56">
      <c r="A56" s="6" t="inlineStr">
        <is>
          <t>Total</t>
        </is>
      </c>
      <c r="B56" s="7">
        <f>ROUND(5549.82,2)</f>
        <v/>
      </c>
      <c r="C56" s="8">
        <f>ROUND(740094.0,2)</f>
        <v/>
      </c>
      <c r="D56" s="8">
        <f>ROUND(21739.0,2)</f>
        <v/>
      </c>
      <c r="E56" s="8">
        <f>ROUND(44229.0,2)</f>
        <v/>
      </c>
      <c r="F56" s="8">
        <f>ROUND(34489.0,2)</f>
        <v/>
      </c>
      <c r="G56" s="8">
        <f>ROUND(14909.0,2)</f>
        <v/>
      </c>
      <c r="H56" s="8">
        <f>ROUND(10381.0,2)</f>
        <v/>
      </c>
      <c r="I56" s="8">
        <f>ROUND(7451.0,2)</f>
        <v/>
      </c>
      <c r="J56" s="9">
        <f>IFERROR((D56/C56),0)</f>
        <v/>
      </c>
      <c r="K56" s="9">
        <f>IFERROR(((0+B56)/T2),0)</f>
        <v/>
      </c>
      <c r="L56" s="7">
        <f>IFERROR(B56/D56,0)</f>
        <v/>
      </c>
      <c r="M56" s="7">
        <f>IFERROR(ROUND(B56/E56,2),0)</f>
        <v/>
      </c>
      <c r="N56" s="6" t="inlineStr">
        <is>
          <t>Total</t>
        </is>
      </c>
      <c r="O56" s="7">
        <f>ROUND(261.61,2)</f>
        <v/>
      </c>
      <c r="P56" s="8">
        <f>ROUND(45080.0,2)</f>
        <v/>
      </c>
      <c r="Q56" s="8">
        <f>ROUND(1028.0,2)</f>
        <v/>
      </c>
      <c r="R56" s="8">
        <f>ROUND(3425.0,2)</f>
        <v/>
      </c>
      <c r="S56" s="8">
        <f>ROUND(2334.0,2)</f>
        <v/>
      </c>
      <c r="T56" s="8">
        <f>ROUND(1084.0,2)</f>
        <v/>
      </c>
      <c r="U56" s="8">
        <f>ROUND(830.0,2)</f>
        <v/>
      </c>
      <c r="V56" s="8">
        <f>ROUND(646.0,2)</f>
        <v/>
      </c>
      <c r="W56" s="9">
        <f>IFERROR((Q56/P56),0)</f>
        <v/>
      </c>
      <c r="X56" s="9">
        <f>IFERROR(((0+O56)/T2),0)</f>
        <v/>
      </c>
      <c r="Y56" s="7">
        <f>IFERROR(O56/Q56,0)</f>
        <v/>
      </c>
      <c r="Z56" s="7">
        <f>IFERROR(ROUND(O56/R56,2),0)</f>
        <v/>
      </c>
      <c r="AA56" s="6" t="inlineStr">
        <is>
          <t>Total</t>
        </is>
      </c>
      <c r="AB56" s="7">
        <f>ROUND(379.37,2)</f>
        <v/>
      </c>
      <c r="AC56" s="8">
        <f>ROUND(46541.0,2)</f>
        <v/>
      </c>
      <c r="AD56" s="8">
        <f>ROUND(1450.0,2)</f>
        <v/>
      </c>
      <c r="AE56" s="8">
        <f>ROUND(1330.0,2)</f>
        <v/>
      </c>
      <c r="AF56" s="8">
        <f>ROUND(908.0,2)</f>
        <v/>
      </c>
      <c r="AG56" s="8">
        <f>ROUND(521.0,2)</f>
        <v/>
      </c>
      <c r="AH56" s="8">
        <f>ROUND(394.0,2)</f>
        <v/>
      </c>
      <c r="AI56" s="8">
        <f>ROUND(318.0,2)</f>
        <v/>
      </c>
      <c r="AJ56" s="9">
        <f>IFERROR((AD56/AC56),0)</f>
        <v/>
      </c>
      <c r="AK56" s="9">
        <f>IFERROR(((0+AB56)/T2),0)</f>
        <v/>
      </c>
      <c r="AL56" s="7">
        <f>IFERROR(AB56/AD56,0)</f>
        <v/>
      </c>
      <c r="AM56" s="7">
        <f>IFERROR(ROUND(AB56/AE56,2),0)</f>
        <v/>
      </c>
      <c r="AN56" s="6" t="inlineStr">
        <is>
          <t>Total</t>
        </is>
      </c>
      <c r="AO56" s="7">
        <f>ROUND(92.88,2)</f>
        <v/>
      </c>
      <c r="AP56" s="8">
        <f>ROUND(15870.0,2)</f>
        <v/>
      </c>
      <c r="AQ56" s="8">
        <f>ROUND(360.0,2)</f>
        <v/>
      </c>
      <c r="AR56" s="8">
        <f>ROUND(1189.0,2)</f>
        <v/>
      </c>
      <c r="AS56" s="8">
        <f>ROUND(960.0,2)</f>
        <v/>
      </c>
      <c r="AT56" s="8">
        <f>ROUND(457.0,2)</f>
        <v/>
      </c>
      <c r="AU56" s="8">
        <f>ROUND(279.0,2)</f>
        <v/>
      </c>
      <c r="AV56" s="8">
        <f>ROUND(196.0,2)</f>
        <v/>
      </c>
      <c r="AW56" s="9">
        <f>IFERROR((AQ56/AP56),0)</f>
        <v/>
      </c>
      <c r="AX56" s="9">
        <f>IFERROR(((0+AO56)/T2),0)</f>
        <v/>
      </c>
      <c r="AY56" s="7">
        <f>IFERROR(AO56/AQ56,0)</f>
        <v/>
      </c>
      <c r="AZ56" s="7">
        <f>IFERROR(ROUND(AO56/AR56,2),0)</f>
        <v/>
      </c>
      <c r="BA56" s="6" t="inlineStr">
        <is>
          <t>Total</t>
        </is>
      </c>
      <c r="BB56" s="7">
        <f>ROUND(854.0899999999999,2)</f>
        <v/>
      </c>
      <c r="BC56" s="8">
        <f>ROUND(91299.0,2)</f>
        <v/>
      </c>
      <c r="BD56" s="8">
        <f>ROUND(3202.0,2)</f>
        <v/>
      </c>
      <c r="BE56" s="8">
        <f>ROUND(3025.0,2)</f>
        <v/>
      </c>
      <c r="BF56" s="8">
        <f>ROUND(2405.0,2)</f>
        <v/>
      </c>
      <c r="BG56" s="8">
        <f>ROUND(1018.0,2)</f>
        <v/>
      </c>
      <c r="BH56" s="8">
        <f>ROUND(663.0,2)</f>
        <v/>
      </c>
      <c r="BI56" s="8">
        <f>ROUND(485.0,2)</f>
        <v/>
      </c>
      <c r="BJ56" s="9">
        <f>IFERROR((BD56/BC56),0)</f>
        <v/>
      </c>
      <c r="BK56" s="9">
        <f>IFERROR(((0+BB56)/T2),0)</f>
        <v/>
      </c>
      <c r="BL56" s="7">
        <f>IFERROR(BB56/BD56,0)</f>
        <v/>
      </c>
      <c r="BM56" s="7">
        <f>IFERROR(ROUND(BB56/BE56,2),0)</f>
        <v/>
      </c>
      <c r="BN56" s="6" t="inlineStr">
        <is>
          <t>Total</t>
        </is>
      </c>
      <c r="BO56" s="7">
        <f>ROUND(679.61,2)</f>
        <v/>
      </c>
      <c r="BP56" s="8">
        <f>ROUND(95874.0,2)</f>
        <v/>
      </c>
      <c r="BQ56" s="8">
        <f>ROUND(3006.0,2)</f>
        <v/>
      </c>
      <c r="BR56" s="8">
        <f>ROUND(7181.0,2)</f>
        <v/>
      </c>
      <c r="BS56" s="8">
        <f>ROUND(5750.0,2)</f>
        <v/>
      </c>
      <c r="BT56" s="8">
        <f>ROUND(2052.0,2)</f>
        <v/>
      </c>
      <c r="BU56" s="8">
        <f>ROUND(1490.0,2)</f>
        <v/>
      </c>
      <c r="BV56" s="8">
        <f>ROUND(1060.0,2)</f>
        <v/>
      </c>
      <c r="BW56" s="9">
        <f>IFERROR((BQ56/BP56),0)</f>
        <v/>
      </c>
      <c r="BX56" s="9">
        <f>IFERROR(((0+BO56)/T2),0)</f>
        <v/>
      </c>
      <c r="BY56" s="7">
        <f>IFERROR(BO56/BQ56,0)</f>
        <v/>
      </c>
      <c r="BZ56" s="7">
        <f>IFERROR(ROUND(BO56/BR56,2),0)</f>
        <v/>
      </c>
      <c r="CA56" s="6" t="inlineStr">
        <is>
          <t>Total</t>
        </is>
      </c>
      <c r="CB56" s="7">
        <f>ROUND(631.2400000000001,2)</f>
        <v/>
      </c>
      <c r="CC56" s="8">
        <f>ROUND(85622.0,2)</f>
        <v/>
      </c>
      <c r="CD56" s="8">
        <f>ROUND(2445.0,2)</f>
        <v/>
      </c>
      <c r="CE56" s="8">
        <f>ROUND(6692.0,2)</f>
        <v/>
      </c>
      <c r="CF56" s="8">
        <f>ROUND(5663.0,2)</f>
        <v/>
      </c>
      <c r="CG56" s="8">
        <f>ROUND(1924.0,2)</f>
        <v/>
      </c>
      <c r="CH56" s="8">
        <f>ROUND(1164.0,2)</f>
        <v/>
      </c>
      <c r="CI56" s="8">
        <f>ROUND(745.0,2)</f>
        <v/>
      </c>
      <c r="CJ56" s="9">
        <f>IFERROR((CD56/CC56),0)</f>
        <v/>
      </c>
      <c r="CK56" s="9">
        <f>IFERROR(((0+CB56)/T2),0)</f>
        <v/>
      </c>
      <c r="CL56" s="7">
        <f>IFERROR(CB56/CD56,0)</f>
        <v/>
      </c>
      <c r="CM56" s="7">
        <f>IFERROR(ROUND(CB56/CE56,2),0)</f>
        <v/>
      </c>
      <c r="CN56" s="6" t="inlineStr">
        <is>
          <t>Total</t>
        </is>
      </c>
      <c r="CO56" s="7">
        <f>ROUND(1151.7700000000002,2)</f>
        <v/>
      </c>
      <c r="CP56" s="8">
        <f>ROUND(124217.0,2)</f>
        <v/>
      </c>
      <c r="CQ56" s="8">
        <f>ROUND(4256.0,2)</f>
        <v/>
      </c>
      <c r="CR56" s="8">
        <f>ROUND(2988.0,2)</f>
        <v/>
      </c>
      <c r="CS56" s="8">
        <f>ROUND(2081.0,2)</f>
        <v/>
      </c>
      <c r="CT56" s="8">
        <f>ROUND(1195.0,2)</f>
        <v/>
      </c>
      <c r="CU56" s="8">
        <f>ROUND(909.0,2)</f>
        <v/>
      </c>
      <c r="CV56" s="8">
        <f>ROUND(688.0,2)</f>
        <v/>
      </c>
      <c r="CW56" s="9">
        <f>IFERROR((CQ56/CP56),0)</f>
        <v/>
      </c>
      <c r="CX56" s="9">
        <f>IFERROR(((0+CO56)/T2),0)</f>
        <v/>
      </c>
      <c r="CY56" s="7">
        <f>IFERROR(CO56/CQ56,0)</f>
        <v/>
      </c>
      <c r="CZ56" s="7">
        <f>IFERROR(ROUND(CO56/CR56,2),0)</f>
        <v/>
      </c>
      <c r="DA56" s="6" t="inlineStr">
        <is>
          <t>Total</t>
        </is>
      </c>
      <c r="DB56" s="7">
        <f>ROUND(68.36,2)</f>
        <v/>
      </c>
      <c r="DC56" s="8">
        <f>ROUND(14448.0,2)</f>
        <v/>
      </c>
      <c r="DD56" s="8">
        <f>ROUND(294.0,2)</f>
        <v/>
      </c>
      <c r="DE56" s="8">
        <f>ROUND(852.0,2)</f>
        <v/>
      </c>
      <c r="DF56" s="8">
        <f>ROUND(658.0,2)</f>
        <v/>
      </c>
      <c r="DG56" s="8">
        <f>ROUND(333.0,2)</f>
        <v/>
      </c>
      <c r="DH56" s="8">
        <f>ROUND(241.0,2)</f>
        <v/>
      </c>
      <c r="DI56" s="8">
        <f>ROUND(171.0,2)</f>
        <v/>
      </c>
      <c r="DJ56" s="9">
        <f>IFERROR((DD56/DC56),0)</f>
        <v/>
      </c>
      <c r="DK56" s="9">
        <f>IFERROR(((0+DB56)/T2),0)</f>
        <v/>
      </c>
      <c r="DL56" s="7">
        <f>IFERROR(DB56/DD56,0)</f>
        <v/>
      </c>
      <c r="DM56" s="7">
        <f>IFERROR(ROUND(DB56/DE56,2),0)</f>
        <v/>
      </c>
      <c r="DN56" s="6" t="inlineStr">
        <is>
          <t>Total</t>
        </is>
      </c>
      <c r="DO56" s="7">
        <f>ROUND(39.37,2)</f>
        <v/>
      </c>
      <c r="DP56" s="8">
        <f>ROUND(11324.0,2)</f>
        <v/>
      </c>
      <c r="DQ56" s="8">
        <f>ROUND(162.0,2)</f>
        <v/>
      </c>
      <c r="DR56" s="8">
        <f>ROUND(831.0,2)</f>
        <v/>
      </c>
      <c r="DS56" s="8">
        <f>ROUND(645.0,2)</f>
        <v/>
      </c>
      <c r="DT56" s="8">
        <f>ROUND(339.0,2)</f>
        <v/>
      </c>
      <c r="DU56" s="8">
        <f>ROUND(242.0,2)</f>
        <v/>
      </c>
      <c r="DV56" s="8">
        <f>ROUND(191.0,2)</f>
        <v/>
      </c>
      <c r="DW56" s="9">
        <f>IFERROR((DQ56/DP56),0)</f>
        <v/>
      </c>
      <c r="DX56" s="9">
        <f>IFERROR(((0+DO56)/T2),0)</f>
        <v/>
      </c>
      <c r="DY56" s="7">
        <f>IFERROR(DO56/DQ56,0)</f>
        <v/>
      </c>
      <c r="DZ56" s="7">
        <f>IFERROR(ROUND(DO56/DR56,2),0)</f>
        <v/>
      </c>
      <c r="EA56" s="6" t="inlineStr">
        <is>
          <t>Total</t>
        </is>
      </c>
      <c r="EB56" s="7">
        <f>ROUND(163.73,2)</f>
        <v/>
      </c>
      <c r="EC56" s="8">
        <f>ROUND(25839.0,2)</f>
        <v/>
      </c>
      <c r="ED56" s="8">
        <f>ROUND(681.0,2)</f>
        <v/>
      </c>
      <c r="EE56" s="8">
        <f>ROUND(1155.0,2)</f>
        <v/>
      </c>
      <c r="EF56" s="8">
        <f>ROUND(808.0,2)</f>
        <v/>
      </c>
      <c r="EG56" s="8">
        <f>ROUND(412.0,2)</f>
        <v/>
      </c>
      <c r="EH56" s="8">
        <f>ROUND(306.0,2)</f>
        <v/>
      </c>
      <c r="EI56" s="8">
        <f>ROUND(247.0,2)</f>
        <v/>
      </c>
      <c r="EJ56" s="9">
        <f>IFERROR((ED56/EC56),0)</f>
        <v/>
      </c>
      <c r="EK56" s="9">
        <f>IFERROR(((0+EB56)/T2),0)</f>
        <v/>
      </c>
      <c r="EL56" s="7">
        <f>IFERROR(EB56/ED56,0)</f>
        <v/>
      </c>
      <c r="EM56" s="7">
        <f>IFERROR(ROUND(EB56/EE56,2),0)</f>
        <v/>
      </c>
      <c r="EN56" s="6" t="inlineStr">
        <is>
          <t>Total</t>
        </is>
      </c>
      <c r="EO56" s="7">
        <f>ROUND(167.47,2)</f>
        <v/>
      </c>
      <c r="EP56" s="8">
        <f>ROUND(23281.0,2)</f>
        <v/>
      </c>
      <c r="EQ56" s="8">
        <f>ROUND(687.0,2)</f>
        <v/>
      </c>
      <c r="ER56" s="8">
        <f>ROUND(2220.0,2)</f>
        <v/>
      </c>
      <c r="ES56" s="8">
        <f>ROUND(1661.0,2)</f>
        <v/>
      </c>
      <c r="ET56" s="8">
        <f>ROUND(636.0,2)</f>
        <v/>
      </c>
      <c r="EU56" s="8">
        <f>ROUND(458.0,2)</f>
        <v/>
      </c>
      <c r="EV56" s="8">
        <f>ROUND(321.0,2)</f>
        <v/>
      </c>
      <c r="EW56" s="9">
        <f>IFERROR((EQ56/EP56),0)</f>
        <v/>
      </c>
      <c r="EX56" s="9">
        <f>IFERROR(((0+EO56)/T2),0)</f>
        <v/>
      </c>
      <c r="EY56" s="7">
        <f>IFERROR(EO56/EQ56,0)</f>
        <v/>
      </c>
      <c r="EZ56" s="7">
        <f>IFERROR(ROUND(EO56/ER56,2),0)</f>
        <v/>
      </c>
      <c r="FA56" s="6" t="inlineStr">
        <is>
          <t>Total</t>
        </is>
      </c>
      <c r="FB56" s="7">
        <f>ROUND(210.72000000000003,2)</f>
        <v/>
      </c>
      <c r="FC56" s="8">
        <f>ROUND(27412.0,2)</f>
        <v/>
      </c>
      <c r="FD56" s="8">
        <f>ROUND(857.0,2)</f>
        <v/>
      </c>
      <c r="FE56" s="8">
        <f>ROUND(2540.0,2)</f>
        <v/>
      </c>
      <c r="FF56" s="8">
        <f>ROUND(2134.0,2)</f>
        <v/>
      </c>
      <c r="FG56" s="8">
        <f>ROUND(891.0,2)</f>
        <v/>
      </c>
      <c r="FH56" s="8">
        <f>ROUND(596.0,2)</f>
        <v/>
      </c>
      <c r="FI56" s="8">
        <f>ROUND(389.0,2)</f>
        <v/>
      </c>
      <c r="FJ56" s="9">
        <f>IFERROR((FD56/FC56),0)</f>
        <v/>
      </c>
      <c r="FK56" s="9">
        <f>IFERROR(((0+FB56)/T2),0)</f>
        <v/>
      </c>
      <c r="FL56" s="7">
        <f>IFERROR(FB56/FD56,0)</f>
        <v/>
      </c>
      <c r="FM56" s="7">
        <f>IFERROR(ROUND(FB56/FE56,2),0)</f>
        <v/>
      </c>
      <c r="FN56" s="6" t="inlineStr">
        <is>
          <t>Total</t>
        </is>
      </c>
      <c r="FO56" s="7">
        <f>ROUND(57.410000000000004,2)</f>
        <v/>
      </c>
      <c r="FP56" s="8">
        <f>ROUND(7375.0,2)</f>
        <v/>
      </c>
      <c r="FQ56" s="8">
        <f>ROUND(220.0,2)</f>
        <v/>
      </c>
      <c r="FR56" s="8">
        <f>ROUND(798.0,2)</f>
        <v/>
      </c>
      <c r="FS56" s="8">
        <f>ROUND(666.0,2)</f>
        <v/>
      </c>
      <c r="FT56" s="8">
        <f>ROUND(311.0,2)</f>
        <v/>
      </c>
      <c r="FU56" s="8">
        <f>ROUND(213.0,2)</f>
        <v/>
      </c>
      <c r="FV56" s="8">
        <f>ROUND(148.0,2)</f>
        <v/>
      </c>
      <c r="FW56" s="9">
        <f>IFERROR((FQ56/FP56),0)</f>
        <v/>
      </c>
      <c r="FX56" s="9">
        <f>IFERROR(((0+FO56)/T2),0)</f>
        <v/>
      </c>
      <c r="FY56" s="7">
        <f>IFERROR(FO56/FQ56,0)</f>
        <v/>
      </c>
      <c r="FZ56" s="7">
        <f>IFERROR(ROUND(FO56/FR56,2),0)</f>
        <v/>
      </c>
      <c r="GA56" s="6" t="inlineStr">
        <is>
          <t>Total</t>
        </is>
      </c>
      <c r="GB56" s="7">
        <f>ROUND(268.84,2)</f>
        <v/>
      </c>
      <c r="GC56" s="8">
        <f>ROUND(37023.0,2)</f>
        <v/>
      </c>
      <c r="GD56" s="8">
        <f>ROUND(1123.0,2)</f>
        <v/>
      </c>
      <c r="GE56" s="8">
        <f>ROUND(3671.0,2)</f>
        <v/>
      </c>
      <c r="GF56" s="8">
        <f>ROUND(3150.0,2)</f>
        <v/>
      </c>
      <c r="GG56" s="8">
        <f>ROUND(1354.0,2)</f>
        <v/>
      </c>
      <c r="GH56" s="8">
        <f>ROUND(858.0,2)</f>
        <v/>
      </c>
      <c r="GI56" s="8">
        <f>ROUND(586.0,2)</f>
        <v/>
      </c>
      <c r="GJ56" s="9">
        <f>IFERROR((GD56/GC56),0)</f>
        <v/>
      </c>
      <c r="GK56" s="9">
        <f>IFERROR(((0+GB56)/T2),0)</f>
        <v/>
      </c>
      <c r="GL56" s="7">
        <f>IFERROR(GB56/GD56,0)</f>
        <v/>
      </c>
      <c r="GM56" s="7">
        <f>IFERROR(ROUND(GB56/GE56,2),0)</f>
        <v/>
      </c>
      <c r="GN56" s="6" t="inlineStr">
        <is>
          <t>Total</t>
        </is>
      </c>
      <c r="GO56" s="7">
        <f>ROUND(50.79,2)</f>
        <v/>
      </c>
      <c r="GP56" s="8">
        <f>ROUND(7453.0,2)</f>
        <v/>
      </c>
      <c r="GQ56" s="8">
        <f>ROUND(189.0,2)</f>
        <v/>
      </c>
      <c r="GR56" s="8">
        <f>ROUND(856.0,2)</f>
        <v/>
      </c>
      <c r="GS56" s="8">
        <f>ROUND(720.0,2)</f>
        <v/>
      </c>
      <c r="GT56" s="8">
        <f>ROUND(358.0,2)</f>
        <v/>
      </c>
      <c r="GU56" s="8">
        <f>ROUND(249.0,2)</f>
        <v/>
      </c>
      <c r="GV56" s="8">
        <f>ROUND(178.0,2)</f>
        <v/>
      </c>
      <c r="GW56" s="9">
        <f>IFERROR((GQ56/GP56),0)</f>
        <v/>
      </c>
      <c r="GX56" s="9">
        <f>IFERROR(((0+GO56)/T2),0)</f>
        <v/>
      </c>
      <c r="GY56" s="7">
        <f>IFERROR(GO56/GQ56,0)</f>
        <v/>
      </c>
      <c r="GZ56" s="7">
        <f>IFERROR(ROUND(GO56/GR56,2),0)</f>
        <v/>
      </c>
      <c r="HA56" s="6" t="inlineStr">
        <is>
          <t>Total</t>
        </is>
      </c>
      <c r="HB56" s="7">
        <f>ROUND(194.47,2)</f>
        <v/>
      </c>
      <c r="HC56" s="8">
        <f>ROUND(39889.0,2)</f>
        <v/>
      </c>
      <c r="HD56" s="8">
        <f>ROUND(715.0,2)</f>
        <v/>
      </c>
      <c r="HE56" s="8">
        <f>ROUND(1904.0,2)</f>
        <v/>
      </c>
      <c r="HF56" s="8">
        <f>ROUND(1235.0,2)</f>
        <v/>
      </c>
      <c r="HG56" s="8">
        <f>ROUND(558.0,2)</f>
        <v/>
      </c>
      <c r="HH56" s="8">
        <f>ROUND(438.0,2)</f>
        <v/>
      </c>
      <c r="HI56" s="8">
        <f>ROUND(326.0,2)</f>
        <v/>
      </c>
      <c r="HJ56" s="9">
        <f>IFERROR((HD56/HC56),0)</f>
        <v/>
      </c>
      <c r="HK56" s="9">
        <f>IFERROR(((0+HB56)/T2),0)</f>
        <v/>
      </c>
      <c r="HL56" s="7">
        <f>IFERROR(HB56/HD56,0)</f>
        <v/>
      </c>
      <c r="HM56" s="7">
        <f>IFERROR(ROUND(HB56/HE56,2),0)</f>
        <v/>
      </c>
      <c r="HN56" s="6" t="inlineStr">
        <is>
          <t>Total</t>
        </is>
      </c>
      <c r="HO56" s="7">
        <f>ROUND(85.31,2)</f>
        <v/>
      </c>
      <c r="HP56" s="8">
        <f>ROUND(11717.0,2)</f>
        <v/>
      </c>
      <c r="HQ56" s="8">
        <f>ROUND(313.0,2)</f>
        <v/>
      </c>
      <c r="HR56" s="8">
        <f>ROUND(860.0,2)</f>
        <v/>
      </c>
      <c r="HS56" s="8">
        <f>ROUND(691.0,2)</f>
        <v/>
      </c>
      <c r="HT56" s="8">
        <f>ROUND(361.0,2)</f>
        <v/>
      </c>
      <c r="HU56" s="8">
        <f>ROUND(233.0,2)</f>
        <v/>
      </c>
      <c r="HV56" s="8">
        <f>ROUND(162.0,2)</f>
        <v/>
      </c>
      <c r="HW56" s="9">
        <f>IFERROR((HQ56/HP56),0)</f>
        <v/>
      </c>
      <c r="HX56" s="9">
        <f>IFERROR(((0+HO56)/T2),0)</f>
        <v/>
      </c>
      <c r="HY56" s="7">
        <f>IFERROR(HO56/HQ56,0)</f>
        <v/>
      </c>
      <c r="HZ56" s="7">
        <f>IFERROR(ROUND(HO56/HR56,2),0)</f>
        <v/>
      </c>
      <c r="IA56" s="6" t="inlineStr">
        <is>
          <t>Total</t>
        </is>
      </c>
      <c r="IB56" s="7">
        <f>ROUND(72.21,2)</f>
        <v/>
      </c>
      <c r="IC56" s="8">
        <f>ROUND(11947.0,2)</f>
        <v/>
      </c>
      <c r="ID56" s="8">
        <f>ROUND(282.0,2)</f>
        <v/>
      </c>
      <c r="IE56" s="8">
        <f>ROUND(1460.0,2)</f>
        <v/>
      </c>
      <c r="IF56" s="8">
        <f>ROUND(1197.0,2)</f>
        <v/>
      </c>
      <c r="IG56" s="8">
        <f>ROUND(669.0,2)</f>
        <v/>
      </c>
      <c r="IH56" s="8">
        <f>ROUND(494.0,2)</f>
        <v/>
      </c>
      <c r="II56" s="8">
        <f>ROUND(344.0,2)</f>
        <v/>
      </c>
      <c r="IJ56" s="9">
        <f>IFERROR((ID56/IC56),0)</f>
        <v/>
      </c>
      <c r="IK56" s="9">
        <f>IFERROR(((0+IB56)/T2),0)</f>
        <v/>
      </c>
      <c r="IL56" s="7">
        <f>IFERROR(IB56/ID56,0)</f>
        <v/>
      </c>
      <c r="IM56" s="7">
        <f>IFERROR(ROUND(IB56/IE56,2),0)</f>
        <v/>
      </c>
      <c r="IN56" s="6" t="inlineStr">
        <is>
          <t>Total</t>
        </is>
      </c>
      <c r="IO56" s="7">
        <f>ROUND(108.46000000000001,2)</f>
        <v/>
      </c>
      <c r="IP56" s="8">
        <f>ROUND(15515.0,2)</f>
        <v/>
      </c>
      <c r="IQ56" s="8">
        <f>ROUND(425.0,2)</f>
        <v/>
      </c>
      <c r="IR56" s="8">
        <f>ROUND(939.0,2)</f>
        <v/>
      </c>
      <c r="IS56" s="8">
        <f>ROUND(571.0,2)</f>
        <v/>
      </c>
      <c r="IT56" s="8">
        <f>ROUND(309.0,2)</f>
        <v/>
      </c>
      <c r="IU56" s="8">
        <f>ROUND(235.0,2)</f>
        <v/>
      </c>
      <c r="IV56" s="8">
        <f>ROUND(185.0,2)</f>
        <v/>
      </c>
      <c r="IW56" s="9">
        <f>IFERROR((IQ56/IP56),0)</f>
        <v/>
      </c>
      <c r="IX56" s="9">
        <f>IFERROR(((0+IO56)/T2),0)</f>
        <v/>
      </c>
      <c r="IY56" s="7">
        <f>IFERROR(IO56/IQ56,0)</f>
        <v/>
      </c>
      <c r="IZ56" s="7">
        <f>IFERROR(ROUND(IO56/IR56,2),0)</f>
        <v/>
      </c>
      <c r="JA56" s="6" t="inlineStr">
        <is>
          <t>Total</t>
        </is>
      </c>
      <c r="JB56" s="7">
        <f>ROUND(12.11,2)</f>
        <v/>
      </c>
      <c r="JC56" s="8">
        <f>ROUND(2368.0,2)</f>
        <v/>
      </c>
      <c r="JD56" s="8">
        <f>ROUND(44.0,2)</f>
        <v/>
      </c>
      <c r="JE56" s="8">
        <f>ROUND(313.0,2)</f>
        <v/>
      </c>
      <c r="JF56" s="8">
        <f>ROUND(252.0,2)</f>
        <v/>
      </c>
      <c r="JG56" s="8">
        <f>ROUND(127.0,2)</f>
        <v/>
      </c>
      <c r="JH56" s="8">
        <f>ROUND(89.0,2)</f>
        <v/>
      </c>
      <c r="JI56" s="8">
        <f>ROUND(65.0,2)</f>
        <v/>
      </c>
      <c r="JJ56" s="9">
        <f>IFERROR((JD56/JC56),0)</f>
        <v/>
      </c>
      <c r="JK56" s="9">
        <f>IFERROR(((0+JB56)/T2),0)</f>
        <v/>
      </c>
      <c r="JL56" s="7">
        <f>IFERROR(JB56/JD56,0)</f>
        <v/>
      </c>
      <c r="JM56" s="7">
        <f>IFERROR(ROUND(JB56/JE56,2),0)</f>
        <v/>
      </c>
    </row>
  </sheetData>
  <mergeCells count="20">
    <mergeCell ref="HN9:HZ9"/>
    <mergeCell ref="EN9:EZ9"/>
    <mergeCell ref="JA9:JM9"/>
    <mergeCell ref="GA9:GM9"/>
    <mergeCell ref="N9:Z9"/>
    <mergeCell ref="BN9:BZ9"/>
    <mergeCell ref="EA9:EM9"/>
    <mergeCell ref="IN9:IZ9"/>
    <mergeCell ref="BA9:BM9"/>
    <mergeCell ref="AN9:AZ9"/>
    <mergeCell ref="CN9:CZ9"/>
    <mergeCell ref="FA9:FM9"/>
    <mergeCell ref="HA9:HM9"/>
    <mergeCell ref="AA9:AM9"/>
    <mergeCell ref="CA9:CM9"/>
    <mergeCell ref="DN9:DZ9"/>
    <mergeCell ref="GN9:GZ9"/>
    <mergeCell ref="FN9:FZ9"/>
    <mergeCell ref="IA9:IM9"/>
    <mergeCell ref="DA9:DM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2023-10-31T09:58:55Z</dcterms:created>
  <dcterms:modified xsi:type="dcterms:W3CDTF">2023-10-31T09:59:45Z</dcterms:modified>
</cp:coreProperties>
</file>