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6" autoFilterDateGrouping="1"/>
  </bookViews>
  <sheets>
    <sheet name="Sheet" sheetId="1" state="visible" r:id="rId1"/>
    <sheet name="facebook carousel" sheetId="2" state="visible" r:id="rId2"/>
    <sheet name="facebook" sheetId="3" state="visible" r:id="rId3"/>
    <sheet name="instagram" sheetId="4" state="visible" r:id="rId4"/>
    <sheet name="Snapchat" sheetId="5" state="visible" r:id="rId5"/>
    <sheet name="Google Ads - GDN" sheetId="6" state="visible" r:id="rId6"/>
    <sheet name="YouTub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* #,##0_-;-* #,##0_-;_-* &quot;-&quot;_-;_-@_-"/>
    <numFmt numFmtId="165" formatCode="$#,##0.00"/>
  </numFmts>
  <fonts count="2">
    <font>
      <name val="Calibri"/>
      <family val="2"/>
      <color theme="1"/>
      <sz val="11"/>
      <scheme val="minor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EBF1DE"/>
        <bgColor rgb="00EBF1DE"/>
      </patternFill>
    </fill>
    <fill>
      <patternFill patternType="solid">
        <fgColor rgb="008E1600"/>
        <bgColor rgb="008E16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2" borderId="1" applyAlignment="1" pivotButton="0" quotePrefix="0" xfId="0">
      <alignment horizontal="center" wrapText="1"/>
    </xf>
    <xf numFmtId="0" fontId="0" fillId="0" borderId="1" applyAlignment="1" pivotButton="0" quotePrefix="0" xfId="0">
      <alignment horizontal="center" wrapText="1"/>
    </xf>
    <xf numFmtId="164" fontId="0" fillId="0" borderId="1" applyAlignment="1" pivotButton="0" quotePrefix="0" xfId="0">
      <alignment horizontal="center" wrapText="1"/>
    </xf>
    <xf numFmtId="10" fontId="0" fillId="0" borderId="1" applyAlignment="1" pivotButton="0" quotePrefix="0" xfId="0">
      <alignment horizontal="center" wrapText="1"/>
    </xf>
    <xf numFmtId="165" fontId="0" fillId="0" borderId="1" applyAlignment="1" pivotButton="0" quotePrefix="0" xfId="0">
      <alignment horizontal="center" wrapText="1"/>
    </xf>
    <xf numFmtId="0" fontId="1" fillId="3" borderId="1" applyAlignment="1" pivotButton="0" quotePrefix="0" xfId="0">
      <alignment horizontal="center" wrapText="1"/>
    </xf>
    <xf numFmtId="165" fontId="1" fillId="3" borderId="1" applyAlignment="1" pivotButton="0" quotePrefix="0" xfId="0">
      <alignment horizontal="center" wrapText="1"/>
    </xf>
    <xf numFmtId="164" fontId="1" fillId="3" borderId="1" applyAlignment="1" pivotButton="0" quotePrefix="0" xfId="0">
      <alignment horizontal="center" wrapText="1"/>
    </xf>
    <xf numFmtId="10" fontId="1" fillId="3" borderId="1" applyAlignment="1" pivotButton="0" quotePrefix="0" xfId="0">
      <alignment horizont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M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ROUND(0.0,2)</f>
        <v/>
      </c>
      <c r="C2" s="3">
        <f>ROUND(0.0,2)</f>
        <v/>
      </c>
      <c r="D2" s="3">
        <f>ROUND(0.0,2)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ROUND(0.0,2)</f>
        <v/>
      </c>
      <c r="C3" s="3">
        <f>ROUND(0.0,2)</f>
        <v/>
      </c>
      <c r="D3" s="3">
        <f>ROUND(0.0,2)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ROUND(0.0,2)</f>
        <v/>
      </c>
      <c r="C4" s="3">
        <f>ROUND(0.0,2)</f>
        <v/>
      </c>
      <c r="D4" s="3">
        <f>ROUND(0.0,2)</f>
        <v/>
      </c>
      <c r="E4" s="3">
        <f>ROUND(0.0,2)</f>
        <v/>
      </c>
      <c r="F4" s="3">
        <f>ROUND(0.0,2)</f>
        <v/>
      </c>
      <c r="G4" s="3">
        <f>ROUND(0.0,2)</f>
        <v/>
      </c>
      <c r="H4" s="3">
        <f>ROUND(0.0,2)</f>
        <v/>
      </c>
      <c r="I4" s="3">
        <f>ROUND(0.0,2)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ROUND(0.0,2)</f>
        <v/>
      </c>
      <c r="C5" s="3">
        <f>ROUND(0.0,2)</f>
        <v/>
      </c>
      <c r="D5" s="3">
        <f>ROUND(0.0,2)</f>
        <v/>
      </c>
      <c r="E5" s="3">
        <f>ROUND(0.0,2)</f>
        <v/>
      </c>
      <c r="F5" s="3">
        <f>ROUND(0.0,2)</f>
        <v/>
      </c>
      <c r="G5" s="3">
        <f>ROUND(0.0,2)</f>
        <v/>
      </c>
      <c r="H5" s="3">
        <f>ROUND(0.0,2)</f>
        <v/>
      </c>
      <c r="I5" s="3">
        <f>ROUND(0.0,2)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ROUND(179.88,2)</f>
        <v/>
      </c>
      <c r="C6" s="3">
        <f>ROUND(521180.0,2)</f>
        <v/>
      </c>
      <c r="D6" s="3">
        <f>ROUND(5572.0,2)</f>
        <v/>
      </c>
      <c r="E6" s="3">
        <f>ROUND(0.0,2)</f>
        <v/>
      </c>
      <c r="F6" s="3">
        <f>ROUND(0.0,2)</f>
        <v/>
      </c>
      <c r="G6" s="3">
        <f>ROUND(0.0,2)</f>
        <v/>
      </c>
      <c r="H6" s="3">
        <f>ROUND(0.0,2)</f>
        <v/>
      </c>
      <c r="I6" s="3">
        <f>ROUND(0.0,2)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2" t="inlineStr">
        <is>
          <t>6</t>
        </is>
      </c>
      <c r="B7" s="3">
        <f>ROUND(489.78,2)</f>
        <v/>
      </c>
      <c r="C7" s="3">
        <f>ROUND(1449591.0,2)</f>
        <v/>
      </c>
      <c r="D7" s="3">
        <f>ROUND(15837.0,2)</f>
        <v/>
      </c>
      <c r="E7" s="3">
        <f>ROUND(0.0,2)</f>
        <v/>
      </c>
      <c r="F7" s="3">
        <f>ROUND(0.0,2)</f>
        <v/>
      </c>
      <c r="G7" s="3">
        <f>ROUND(0.0,2)</f>
        <v/>
      </c>
      <c r="H7" s="3">
        <f>ROUND(0.0,2)</f>
        <v/>
      </c>
      <c r="I7" s="3">
        <f>ROUND(0.0,2)</f>
        <v/>
      </c>
      <c r="J7" s="4">
        <f>IFERROR((D7/C7),0)</f>
        <v/>
      </c>
      <c r="K7" s="4">
        <f>IFERROR(((0+B2+B3+B4+B5+B6+B7)/T2),0)</f>
        <v/>
      </c>
      <c r="L7" s="5">
        <f>IFERROR(ROUND(B7/D7,2),0)</f>
        <v/>
      </c>
      <c r="M7" s="5">
        <f>IFERROR(ROUND(B7/E7,2),0)</f>
        <v/>
      </c>
    </row>
    <row r="8">
      <c r="A8" s="6" t="inlineStr">
        <is>
          <t>Total</t>
        </is>
      </c>
      <c r="B8" s="7">
        <f>ROUND(669.66,2)</f>
        <v/>
      </c>
      <c r="C8" s="8">
        <f>ROUND(1970771.0,2)</f>
        <v/>
      </c>
      <c r="D8" s="8">
        <f>ROUND(21409.0,2)</f>
        <v/>
      </c>
      <c r="E8" s="8">
        <f>ROUND(0.0,2)</f>
        <v/>
      </c>
      <c r="F8" s="8">
        <f>ROUND(0.0,2)</f>
        <v/>
      </c>
      <c r="G8" s="8">
        <f>ROUND(0.0,2)</f>
        <v/>
      </c>
      <c r="H8" s="8">
        <f>ROUND(0.0,2)</f>
        <v/>
      </c>
      <c r="I8" s="8">
        <f>ROUND(0.0,2)</f>
        <v/>
      </c>
      <c r="J8" s="9">
        <f>IFERROR((D8/C8),0)</f>
        <v/>
      </c>
      <c r="K8" s="9">
        <f>IFERROR(((0+B8)/T2),0)</f>
        <v/>
      </c>
      <c r="L8" s="7">
        <f>IFERROR(B8/D8,0)</f>
        <v/>
      </c>
      <c r="M8" s="7">
        <f>IFERROR(ROUND(B8/E8,2),0)</f>
        <v/>
      </c>
      <c r="N8" s="1" t="inlineStr">
        <is>
          <t>Carousel Static</t>
        </is>
      </c>
      <c r="AA8" s="1" t="inlineStr">
        <is>
          <t>Carousel Static</t>
        </is>
      </c>
      <c r="AN8" s="1" t="inlineStr">
        <is>
          <t>Carousel Static</t>
        </is>
      </c>
      <c r="BA8" s="1" t="inlineStr">
        <is>
          <t>Carousel Static</t>
        </is>
      </c>
      <c r="BN8" s="1" t="inlineStr">
        <is>
          <t>Carousel Static</t>
        </is>
      </c>
      <c r="CA8" s="1" t="inlineStr">
        <is>
          <t>Carousel Static</t>
        </is>
      </c>
    </row>
    <row r="9">
      <c r="N9" s="1" t="inlineStr">
        <is>
          <t xml:space="preserve">WM (EN) </t>
        </is>
      </c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1" t="n"/>
      <c r="AA9" s="1" t="inlineStr">
        <is>
          <t xml:space="preserve">Knock (EN) </t>
        </is>
      </c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1" t="n"/>
      <c r="AN9" s="1" t="inlineStr">
        <is>
          <t xml:space="preserve">RAC_ThinQ (EN) </t>
        </is>
      </c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1" t="n"/>
      <c r="BA9" s="1" t="inlineStr">
        <is>
          <t xml:space="preserve">Oled_VO (EN) </t>
        </is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 t="n"/>
      <c r="BK9" s="10" t="n"/>
      <c r="BL9" s="10" t="n"/>
      <c r="BM9" s="11" t="n"/>
      <c r="BN9" s="1" t="inlineStr">
        <is>
          <t xml:space="preserve">Ref_ThinQ (EN) </t>
        </is>
      </c>
      <c r="BO9" s="10" t="n"/>
      <c r="BP9" s="10" t="n"/>
      <c r="BQ9" s="10" t="n"/>
      <c r="BR9" s="10" t="n"/>
      <c r="BS9" s="10" t="n"/>
      <c r="BT9" s="10" t="n"/>
      <c r="BU9" s="10" t="n"/>
      <c r="BV9" s="10" t="n"/>
      <c r="BW9" s="10" t="n"/>
      <c r="BX9" s="10" t="n"/>
      <c r="BY9" s="10" t="n"/>
      <c r="BZ9" s="11" t="n"/>
      <c r="CA9" s="1" t="inlineStr">
        <is>
          <t xml:space="preserve">DW (EN) </t>
        </is>
      </c>
      <c r="CB9" s="10" t="n"/>
      <c r="CC9" s="10" t="n"/>
      <c r="CD9" s="10" t="n"/>
      <c r="CE9" s="10" t="n"/>
      <c r="CF9" s="10" t="n"/>
      <c r="CG9" s="10" t="n"/>
      <c r="CH9" s="10" t="n"/>
      <c r="CI9" s="10" t="n"/>
      <c r="CJ9" s="10" t="n"/>
      <c r="CK9" s="10" t="n"/>
      <c r="CL9" s="10" t="n"/>
      <c r="CM9" s="11" t="n"/>
    </row>
    <row r="10">
      <c r="A10" s="1" t="inlineStr">
        <is>
          <t>date</t>
        </is>
      </c>
      <c r="B10" s="1" t="inlineStr">
        <is>
          <t>budget</t>
        </is>
      </c>
      <c r="C10" s="1" t="inlineStr">
        <is>
          <t>impressions</t>
        </is>
      </c>
      <c r="D10" s="1" t="inlineStr">
        <is>
          <t>clicks</t>
        </is>
      </c>
      <c r="E10" s="1" t="inlineStr">
        <is>
          <t>view</t>
        </is>
      </c>
      <c r="F10" s="1" t="inlineStr">
        <is>
          <t>percent_25</t>
        </is>
      </c>
      <c r="G10" s="1" t="inlineStr">
        <is>
          <t>percent_50</t>
        </is>
      </c>
      <c r="H10" s="1" t="inlineStr">
        <is>
          <t>percent_75</t>
        </is>
      </c>
      <c r="I10" s="1" t="inlineStr">
        <is>
          <t>percent_100</t>
        </is>
      </c>
      <c r="J10" s="1" t="inlineStr">
        <is>
          <t>CTR</t>
        </is>
      </c>
      <c r="K10" s="1" t="inlineStr">
        <is>
          <t>Spent Budget %</t>
        </is>
      </c>
      <c r="L10" s="1" t="inlineStr">
        <is>
          <t>CPC</t>
        </is>
      </c>
      <c r="M10" s="1" t="inlineStr">
        <is>
          <t>CPV</t>
        </is>
      </c>
      <c r="N10" s="1" t="inlineStr">
        <is>
          <t>date</t>
        </is>
      </c>
      <c r="O10" s="1" t="inlineStr">
        <is>
          <t>budget</t>
        </is>
      </c>
      <c r="P10" s="1" t="inlineStr">
        <is>
          <t>impressions</t>
        </is>
      </c>
      <c r="Q10" s="1" t="inlineStr">
        <is>
          <t>clicks</t>
        </is>
      </c>
      <c r="R10" s="1" t="inlineStr">
        <is>
          <t>view</t>
        </is>
      </c>
      <c r="S10" s="1" t="inlineStr">
        <is>
          <t>percent_25</t>
        </is>
      </c>
      <c r="T10" s="1" t="inlineStr">
        <is>
          <t>percent_50</t>
        </is>
      </c>
      <c r="U10" s="1" t="inlineStr">
        <is>
          <t>percent_75</t>
        </is>
      </c>
      <c r="V10" s="1" t="inlineStr">
        <is>
          <t>percent_100</t>
        </is>
      </c>
      <c r="W10" s="1" t="inlineStr">
        <is>
          <t>CTR</t>
        </is>
      </c>
      <c r="X10" s="1" t="inlineStr">
        <is>
          <t>Spent Budget %</t>
        </is>
      </c>
      <c r="Y10" s="1" t="inlineStr">
        <is>
          <t>CPC</t>
        </is>
      </c>
      <c r="Z10" s="1" t="inlineStr">
        <is>
          <t>CPV</t>
        </is>
      </c>
      <c r="AA10" s="1" t="inlineStr">
        <is>
          <t>date</t>
        </is>
      </c>
      <c r="AB10" s="1" t="inlineStr">
        <is>
          <t>budget</t>
        </is>
      </c>
      <c r="AC10" s="1" t="inlineStr">
        <is>
          <t>impressions</t>
        </is>
      </c>
      <c r="AD10" s="1" t="inlineStr">
        <is>
          <t>clicks</t>
        </is>
      </c>
      <c r="AE10" s="1" t="inlineStr">
        <is>
          <t>view</t>
        </is>
      </c>
      <c r="AF10" s="1" t="inlineStr">
        <is>
          <t>percent_25</t>
        </is>
      </c>
      <c r="AG10" s="1" t="inlineStr">
        <is>
          <t>percent_50</t>
        </is>
      </c>
      <c r="AH10" s="1" t="inlineStr">
        <is>
          <t>percent_75</t>
        </is>
      </c>
      <c r="AI10" s="1" t="inlineStr">
        <is>
          <t>percent_100</t>
        </is>
      </c>
      <c r="AJ10" s="1" t="inlineStr">
        <is>
          <t>CTR</t>
        </is>
      </c>
      <c r="AK10" s="1" t="inlineStr">
        <is>
          <t>Spent Budget %</t>
        </is>
      </c>
      <c r="AL10" s="1" t="inlineStr">
        <is>
          <t>CPC</t>
        </is>
      </c>
      <c r="AM10" s="1" t="inlineStr">
        <is>
          <t>CPV</t>
        </is>
      </c>
      <c r="AN10" s="1" t="inlineStr">
        <is>
          <t>date</t>
        </is>
      </c>
      <c r="AO10" s="1" t="inlineStr">
        <is>
          <t>budget</t>
        </is>
      </c>
      <c r="AP10" s="1" t="inlineStr">
        <is>
          <t>impressions</t>
        </is>
      </c>
      <c r="AQ10" s="1" t="inlineStr">
        <is>
          <t>clicks</t>
        </is>
      </c>
      <c r="AR10" s="1" t="inlineStr">
        <is>
          <t>view</t>
        </is>
      </c>
      <c r="AS10" s="1" t="inlineStr">
        <is>
          <t>percent_25</t>
        </is>
      </c>
      <c r="AT10" s="1" t="inlineStr">
        <is>
          <t>percent_50</t>
        </is>
      </c>
      <c r="AU10" s="1" t="inlineStr">
        <is>
          <t>percent_75</t>
        </is>
      </c>
      <c r="AV10" s="1" t="inlineStr">
        <is>
          <t>percent_100</t>
        </is>
      </c>
      <c r="AW10" s="1" t="inlineStr">
        <is>
          <t>CTR</t>
        </is>
      </c>
      <c r="AX10" s="1" t="inlineStr">
        <is>
          <t>Spent Budget %</t>
        </is>
      </c>
      <c r="AY10" s="1" t="inlineStr">
        <is>
          <t>CPC</t>
        </is>
      </c>
      <c r="AZ10" s="1" t="inlineStr">
        <is>
          <t>CPV</t>
        </is>
      </c>
      <c r="BA10" s="1" t="inlineStr">
        <is>
          <t>date</t>
        </is>
      </c>
      <c r="BB10" s="1" t="inlineStr">
        <is>
          <t>budget</t>
        </is>
      </c>
      <c r="BC10" s="1" t="inlineStr">
        <is>
          <t>impressions</t>
        </is>
      </c>
      <c r="BD10" s="1" t="inlineStr">
        <is>
          <t>clicks</t>
        </is>
      </c>
      <c r="BE10" s="1" t="inlineStr">
        <is>
          <t>view</t>
        </is>
      </c>
      <c r="BF10" s="1" t="inlineStr">
        <is>
          <t>percent_25</t>
        </is>
      </c>
      <c r="BG10" s="1" t="inlineStr">
        <is>
          <t>percent_50</t>
        </is>
      </c>
      <c r="BH10" s="1" t="inlineStr">
        <is>
          <t>percent_75</t>
        </is>
      </c>
      <c r="BI10" s="1" t="inlineStr">
        <is>
          <t>percent_100</t>
        </is>
      </c>
      <c r="BJ10" s="1" t="inlineStr">
        <is>
          <t>CTR</t>
        </is>
      </c>
      <c r="BK10" s="1" t="inlineStr">
        <is>
          <t>Spent Budget %</t>
        </is>
      </c>
      <c r="BL10" s="1" t="inlineStr">
        <is>
          <t>CPC</t>
        </is>
      </c>
      <c r="BM10" s="1" t="inlineStr">
        <is>
          <t>CPV</t>
        </is>
      </c>
      <c r="BN10" s="1" t="inlineStr">
        <is>
          <t>date</t>
        </is>
      </c>
      <c r="BO10" s="1" t="inlineStr">
        <is>
          <t>budget</t>
        </is>
      </c>
      <c r="BP10" s="1" t="inlineStr">
        <is>
          <t>impressions</t>
        </is>
      </c>
      <c r="BQ10" s="1" t="inlineStr">
        <is>
          <t>clicks</t>
        </is>
      </c>
      <c r="BR10" s="1" t="inlineStr">
        <is>
          <t>view</t>
        </is>
      </c>
      <c r="BS10" s="1" t="inlineStr">
        <is>
          <t>percent_25</t>
        </is>
      </c>
      <c r="BT10" s="1" t="inlineStr">
        <is>
          <t>percent_50</t>
        </is>
      </c>
      <c r="BU10" s="1" t="inlineStr">
        <is>
          <t>percent_75</t>
        </is>
      </c>
      <c r="BV10" s="1" t="inlineStr">
        <is>
          <t>percent_100</t>
        </is>
      </c>
      <c r="BW10" s="1" t="inlineStr">
        <is>
          <t>CTR</t>
        </is>
      </c>
      <c r="BX10" s="1" t="inlineStr">
        <is>
          <t>Spent Budget %</t>
        </is>
      </c>
      <c r="BY10" s="1" t="inlineStr">
        <is>
          <t>CPC</t>
        </is>
      </c>
      <c r="BZ10" s="1" t="inlineStr">
        <is>
          <t>CPV</t>
        </is>
      </c>
      <c r="CA10" s="1" t="inlineStr">
        <is>
          <t>date</t>
        </is>
      </c>
      <c r="CB10" s="1" t="inlineStr">
        <is>
          <t>budget</t>
        </is>
      </c>
      <c r="CC10" s="1" t="inlineStr">
        <is>
          <t>impressions</t>
        </is>
      </c>
      <c r="CD10" s="1" t="inlineStr">
        <is>
          <t>clicks</t>
        </is>
      </c>
      <c r="CE10" s="1" t="inlineStr">
        <is>
          <t>view</t>
        </is>
      </c>
      <c r="CF10" s="1" t="inlineStr">
        <is>
          <t>percent_25</t>
        </is>
      </c>
      <c r="CG10" s="1" t="inlineStr">
        <is>
          <t>percent_50</t>
        </is>
      </c>
      <c r="CH10" s="1" t="inlineStr">
        <is>
          <t>percent_75</t>
        </is>
      </c>
      <c r="CI10" s="1" t="inlineStr">
        <is>
          <t>percent_100</t>
        </is>
      </c>
      <c r="CJ10" s="1" t="inlineStr">
        <is>
          <t>CTR</t>
        </is>
      </c>
      <c r="CK10" s="1" t="inlineStr">
        <is>
          <t>Spent Budget %</t>
        </is>
      </c>
      <c r="CL10" s="1" t="inlineStr">
        <is>
          <t>CPC</t>
        </is>
      </c>
      <c r="CM10" s="1" t="inlineStr">
        <is>
          <t>CPV</t>
        </is>
      </c>
    </row>
    <row r="11">
      <c r="A11" s="2" t="inlineStr">
        <is>
          <t>2023-09-20</t>
        </is>
      </c>
      <c r="B11" s="5">
        <f>ROUND(0.0,2)</f>
        <v/>
      </c>
      <c r="C11" s="3">
        <f>ROUND(0.0,2)</f>
        <v/>
      </c>
      <c r="D11" s="3">
        <f>ROUND(0.0,2)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2023-09-20</t>
        </is>
      </c>
      <c r="O11" s="5">
        <f>ROUND(0.0,2)</f>
        <v/>
      </c>
      <c r="P11" s="3">
        <f>ROUND(0.0,2)</f>
        <v/>
      </c>
      <c r="Q11" s="3">
        <f>ROUND(0.0,2)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2023-09-20</t>
        </is>
      </c>
      <c r="AB11" s="5">
        <f>ROUND(0.0,2)</f>
        <v/>
      </c>
      <c r="AC11" s="3">
        <f>ROUND(0.0,2)</f>
        <v/>
      </c>
      <c r="AD11" s="3">
        <f>ROUND(0.0,2)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2023-09-20</t>
        </is>
      </c>
      <c r="AO11" s="5">
        <f>ROUND(0.0,2)</f>
        <v/>
      </c>
      <c r="AP11" s="3">
        <f>ROUND(0.0,2)</f>
        <v/>
      </c>
      <c r="AQ11" s="3">
        <f>ROUND(0.0,2)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2023-09-20</t>
        </is>
      </c>
      <c r="BB11" s="5">
        <f>ROUND(0.0,2)</f>
        <v/>
      </c>
      <c r="BC11" s="3">
        <f>ROUND(0.0,2)</f>
        <v/>
      </c>
      <c r="BD11" s="3">
        <f>ROUND(0.0,2)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2023-09-20</t>
        </is>
      </c>
      <c r="BO11" s="5">
        <f>ROUND(0.0,2)</f>
        <v/>
      </c>
      <c r="BP11" s="3">
        <f>ROUND(0.0,2)</f>
        <v/>
      </c>
      <c r="BQ11" s="3">
        <f>ROUND(0.0,2)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2023-09-20</t>
        </is>
      </c>
      <c r="CB11" s="5">
        <f>ROUND(0.0,2)</f>
        <v/>
      </c>
      <c r="CC11" s="3">
        <f>ROUND(0.0,2)</f>
        <v/>
      </c>
      <c r="CD11" s="3">
        <f>ROUND(0.0,2)</f>
        <v/>
      </c>
      <c r="CE11" s="3">
        <f>ROUND(0.0,2)</f>
        <v/>
      </c>
      <c r="CF11" s="3">
        <f>ROUND(0.0,2)</f>
        <v/>
      </c>
      <c r="CG11" s="3">
        <f>ROUND(0.0,2)</f>
        <v/>
      </c>
      <c r="CH11" s="3">
        <f>ROUND(0.0,2)</f>
        <v/>
      </c>
      <c r="CI11" s="3">
        <f>ROUND(0.0,2)</f>
        <v/>
      </c>
      <c r="CJ11" s="4">
        <f>IFERROR((CD11/CC11),0)</f>
        <v/>
      </c>
      <c r="CK11" s="4">
        <f>IFERROR(((0+CB11)/T2),0)</f>
        <v/>
      </c>
      <c r="CL11" s="5">
        <f>IFERROR(ROUND(CB11/CD11,2),0)</f>
        <v/>
      </c>
      <c r="CM11" s="5">
        <f>IFERROR(ROUND(CB11/CE11,2),0)</f>
        <v/>
      </c>
    </row>
    <row r="12">
      <c r="A12" s="2" t="inlineStr">
        <is>
          <t>2023-09-21</t>
        </is>
      </c>
      <c r="B12" s="5">
        <f>ROUND(0.0,2)</f>
        <v/>
      </c>
      <c r="C12" s="3">
        <f>ROUND(0.0,2)</f>
        <v/>
      </c>
      <c r="D12" s="3">
        <f>ROUND(0.0,2)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2023-09-21</t>
        </is>
      </c>
      <c r="O12" s="5">
        <f>ROUND(0.0,2)</f>
        <v/>
      </c>
      <c r="P12" s="3">
        <f>ROUND(0.0,2)</f>
        <v/>
      </c>
      <c r="Q12" s="3">
        <f>ROUND(0.0,2)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2023-09-21</t>
        </is>
      </c>
      <c r="AB12" s="5">
        <f>ROUND(0.0,2)</f>
        <v/>
      </c>
      <c r="AC12" s="3">
        <f>ROUND(0.0,2)</f>
        <v/>
      </c>
      <c r="AD12" s="3">
        <f>ROUND(0.0,2)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2023-09-21</t>
        </is>
      </c>
      <c r="AO12" s="5">
        <f>ROUND(0.0,2)</f>
        <v/>
      </c>
      <c r="AP12" s="3">
        <f>ROUND(0.0,2)</f>
        <v/>
      </c>
      <c r="AQ12" s="3">
        <f>ROUND(0.0,2)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2023-09-21</t>
        </is>
      </c>
      <c r="BB12" s="5">
        <f>ROUND(0.0,2)</f>
        <v/>
      </c>
      <c r="BC12" s="3">
        <f>ROUND(0.0,2)</f>
        <v/>
      </c>
      <c r="BD12" s="3">
        <f>ROUND(0.0,2)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2023-09-21</t>
        </is>
      </c>
      <c r="BO12" s="5">
        <f>ROUND(0.0,2)</f>
        <v/>
      </c>
      <c r="BP12" s="3">
        <f>ROUND(0.0,2)</f>
        <v/>
      </c>
      <c r="BQ12" s="3">
        <f>ROUND(0.0,2)</f>
        <v/>
      </c>
      <c r="BR12" s="3">
        <f>ROUND(0.0,2)</f>
        <v/>
      </c>
      <c r="BS12" s="3">
        <f>ROUND(0.0,2)</f>
        <v/>
      </c>
      <c r="BT12" s="3">
        <f>ROUND(0.0,2)</f>
        <v/>
      </c>
      <c r="BU12" s="3">
        <f>ROUND(0.0,2)</f>
        <v/>
      </c>
      <c r="BV12" s="3">
        <f>ROUND(0.0,2)</f>
        <v/>
      </c>
      <c r="BW12" s="4">
        <f>IFERROR((BQ12/BP12),0)</f>
        <v/>
      </c>
      <c r="BX12" s="4">
        <f>IFERROR(((0+BO11+BO12)/T2),0)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2023-09-21</t>
        </is>
      </c>
      <c r="CB12" s="5">
        <f>ROUND(0.0,2)</f>
        <v/>
      </c>
      <c r="CC12" s="3">
        <f>ROUND(0.0,2)</f>
        <v/>
      </c>
      <c r="CD12" s="3">
        <f>ROUND(0.0,2)</f>
        <v/>
      </c>
      <c r="CE12" s="3">
        <f>ROUND(0.0,2)</f>
        <v/>
      </c>
      <c r="CF12" s="3">
        <f>ROUND(0.0,2)</f>
        <v/>
      </c>
      <c r="CG12" s="3">
        <f>ROUND(0.0,2)</f>
        <v/>
      </c>
      <c r="CH12" s="3">
        <f>ROUND(0.0,2)</f>
        <v/>
      </c>
      <c r="CI12" s="3">
        <f>ROUND(0.0,2)</f>
        <v/>
      </c>
      <c r="CJ12" s="4">
        <f>IFERROR((CD12/CC12),0)</f>
        <v/>
      </c>
      <c r="CK12" s="4">
        <f>IFERROR(((0+CB11+CB12)/T2),0)</f>
        <v/>
      </c>
      <c r="CL12" s="5">
        <f>IFERROR(ROUND(CB12/CD12,2),0)</f>
        <v/>
      </c>
      <c r="CM12" s="5">
        <f>IFERROR(ROUND(CB12/CE12,2),0)</f>
        <v/>
      </c>
    </row>
    <row r="13">
      <c r="A13" s="2" t="inlineStr">
        <is>
          <t>2023-09-22</t>
        </is>
      </c>
      <c r="B13" s="5">
        <f>ROUND(0.0,2)</f>
        <v/>
      </c>
      <c r="C13" s="3">
        <f>ROUND(0.0,2)</f>
        <v/>
      </c>
      <c r="D13" s="3">
        <f>ROUND(0.0,2)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2023-09-22</t>
        </is>
      </c>
      <c r="O13" s="5">
        <f>ROUND(0.0,2)</f>
        <v/>
      </c>
      <c r="P13" s="3">
        <f>ROUND(0.0,2)</f>
        <v/>
      </c>
      <c r="Q13" s="3">
        <f>ROUND(0.0,2)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2023-09-22</t>
        </is>
      </c>
      <c r="AB13" s="5">
        <f>ROUND(0.0,2)</f>
        <v/>
      </c>
      <c r="AC13" s="3">
        <f>ROUND(0.0,2)</f>
        <v/>
      </c>
      <c r="AD13" s="3">
        <f>ROUND(0.0,2)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2023-09-22</t>
        </is>
      </c>
      <c r="AO13" s="5">
        <f>ROUND(0.0,2)</f>
        <v/>
      </c>
      <c r="AP13" s="3">
        <f>ROUND(0.0,2)</f>
        <v/>
      </c>
      <c r="AQ13" s="3">
        <f>ROUND(0.0,2)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2023-09-22</t>
        </is>
      </c>
      <c r="BB13" s="5">
        <f>ROUND(0.0,2)</f>
        <v/>
      </c>
      <c r="BC13" s="3">
        <f>ROUND(0.0,2)</f>
        <v/>
      </c>
      <c r="BD13" s="3">
        <f>ROUND(0.0,2)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2023-09-22</t>
        </is>
      </c>
      <c r="BO13" s="5">
        <f>ROUND(0.0,2)</f>
        <v/>
      </c>
      <c r="BP13" s="3">
        <f>ROUND(0.0,2)</f>
        <v/>
      </c>
      <c r="BQ13" s="3">
        <f>ROUND(0.0,2)</f>
        <v/>
      </c>
      <c r="BR13" s="3">
        <f>ROUND(0.0,2)</f>
        <v/>
      </c>
      <c r="BS13" s="3">
        <f>ROUND(0.0,2)</f>
        <v/>
      </c>
      <c r="BT13" s="3">
        <f>ROUND(0.0,2)</f>
        <v/>
      </c>
      <c r="BU13" s="3">
        <f>ROUND(0.0,2)</f>
        <v/>
      </c>
      <c r="BV13" s="3">
        <f>ROUND(0.0,2)</f>
        <v/>
      </c>
      <c r="BW13" s="4">
        <f>IFERROR((BQ13/BP13),0)</f>
        <v/>
      </c>
      <c r="BX13" s="4">
        <f>IFERROR(((0+BO11+BO12+BO13)/T2),0)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2023-09-22</t>
        </is>
      </c>
      <c r="CB13" s="5">
        <f>ROUND(0.0,2)</f>
        <v/>
      </c>
      <c r="CC13" s="3">
        <f>ROUND(0.0,2)</f>
        <v/>
      </c>
      <c r="CD13" s="3">
        <f>ROUND(0.0,2)</f>
        <v/>
      </c>
      <c r="CE13" s="3">
        <f>ROUND(0.0,2)</f>
        <v/>
      </c>
      <c r="CF13" s="3">
        <f>ROUND(0.0,2)</f>
        <v/>
      </c>
      <c r="CG13" s="3">
        <f>ROUND(0.0,2)</f>
        <v/>
      </c>
      <c r="CH13" s="3">
        <f>ROUND(0.0,2)</f>
        <v/>
      </c>
      <c r="CI13" s="3">
        <f>ROUND(0.0,2)</f>
        <v/>
      </c>
      <c r="CJ13" s="4">
        <f>IFERROR((CD13/CC13),0)</f>
        <v/>
      </c>
      <c r="CK13" s="4">
        <f>IFERROR(((0+CB11+CB12+CB13)/T2),0)</f>
        <v/>
      </c>
      <c r="CL13" s="5">
        <f>IFERROR(ROUND(CB13/CD13,2),0)</f>
        <v/>
      </c>
      <c r="CM13" s="5">
        <f>IFERROR(ROUND(CB13/CE13,2),0)</f>
        <v/>
      </c>
    </row>
    <row r="14">
      <c r="A14" s="2" t="inlineStr">
        <is>
          <t>2023-09-23</t>
        </is>
      </c>
      <c r="B14" s="5">
        <f>ROUND(0.0,2)</f>
        <v/>
      </c>
      <c r="C14" s="3">
        <f>ROUND(0.0,2)</f>
        <v/>
      </c>
      <c r="D14" s="3">
        <f>ROUND(0.0,2)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2023-09-23</t>
        </is>
      </c>
      <c r="O14" s="5">
        <f>ROUND(0.0,2)</f>
        <v/>
      </c>
      <c r="P14" s="3">
        <f>ROUND(0.0,2)</f>
        <v/>
      </c>
      <c r="Q14" s="3">
        <f>ROUND(0.0,2)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2023-09-23</t>
        </is>
      </c>
      <c r="AB14" s="5">
        <f>ROUND(0.0,2)</f>
        <v/>
      </c>
      <c r="AC14" s="3">
        <f>ROUND(0.0,2)</f>
        <v/>
      </c>
      <c r="AD14" s="3">
        <f>ROUND(0.0,2)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2023-09-23</t>
        </is>
      </c>
      <c r="AO14" s="5">
        <f>ROUND(0.0,2)</f>
        <v/>
      </c>
      <c r="AP14" s="3">
        <f>ROUND(0.0,2)</f>
        <v/>
      </c>
      <c r="AQ14" s="3">
        <f>ROUND(0.0,2)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2023-09-23</t>
        </is>
      </c>
      <c r="BB14" s="5">
        <f>ROUND(0.0,2)</f>
        <v/>
      </c>
      <c r="BC14" s="3">
        <f>ROUND(0.0,2)</f>
        <v/>
      </c>
      <c r="BD14" s="3">
        <f>ROUND(0.0,2)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2023-09-23</t>
        </is>
      </c>
      <c r="BO14" s="5">
        <f>ROUND(0.0,2)</f>
        <v/>
      </c>
      <c r="BP14" s="3">
        <f>ROUND(0.0,2)</f>
        <v/>
      </c>
      <c r="BQ14" s="3">
        <f>ROUND(0.0,2)</f>
        <v/>
      </c>
      <c r="BR14" s="3">
        <f>ROUND(0.0,2)</f>
        <v/>
      </c>
      <c r="BS14" s="3">
        <f>ROUND(0.0,2)</f>
        <v/>
      </c>
      <c r="BT14" s="3">
        <f>ROUND(0.0,2)</f>
        <v/>
      </c>
      <c r="BU14" s="3">
        <f>ROUND(0.0,2)</f>
        <v/>
      </c>
      <c r="BV14" s="3">
        <f>ROUND(0.0,2)</f>
        <v/>
      </c>
      <c r="BW14" s="4">
        <f>IFERROR((BQ14/BP14),0)</f>
        <v/>
      </c>
      <c r="BX14" s="4">
        <f>IFERROR(((0+BO11+BO12+BO13+BO14)/T2),0)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2023-09-23</t>
        </is>
      </c>
      <c r="CB14" s="5">
        <f>ROUND(0.0,2)</f>
        <v/>
      </c>
      <c r="CC14" s="3">
        <f>ROUND(0.0,2)</f>
        <v/>
      </c>
      <c r="CD14" s="3">
        <f>ROUND(0.0,2)</f>
        <v/>
      </c>
      <c r="CE14" s="3">
        <f>ROUND(0.0,2)</f>
        <v/>
      </c>
      <c r="CF14" s="3">
        <f>ROUND(0.0,2)</f>
        <v/>
      </c>
      <c r="CG14" s="3">
        <f>ROUND(0.0,2)</f>
        <v/>
      </c>
      <c r="CH14" s="3">
        <f>ROUND(0.0,2)</f>
        <v/>
      </c>
      <c r="CI14" s="3">
        <f>ROUND(0.0,2)</f>
        <v/>
      </c>
      <c r="CJ14" s="4">
        <f>IFERROR((CD14/CC14),0)</f>
        <v/>
      </c>
      <c r="CK14" s="4">
        <f>IFERROR(((0+CB11+CB12+CB13+CB14)/T2),0)</f>
        <v/>
      </c>
      <c r="CL14" s="5">
        <f>IFERROR(ROUND(CB14/CD14,2),0)</f>
        <v/>
      </c>
      <c r="CM14" s="5">
        <f>IFERROR(ROUND(CB14/CE14,2),0)</f>
        <v/>
      </c>
    </row>
    <row r="15">
      <c r="A15" s="2" t="inlineStr">
        <is>
          <t>2023-09-24</t>
        </is>
      </c>
      <c r="B15" s="5">
        <f>ROUND(0.0,2)</f>
        <v/>
      </c>
      <c r="C15" s="3">
        <f>ROUND(0.0,2)</f>
        <v/>
      </c>
      <c r="D15" s="3">
        <f>ROUND(0.0,2)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2023-09-24</t>
        </is>
      </c>
      <c r="O15" s="5">
        <f>ROUND(0.0,2)</f>
        <v/>
      </c>
      <c r="P15" s="3">
        <f>ROUND(0.0,2)</f>
        <v/>
      </c>
      <c r="Q15" s="3">
        <f>ROUND(0.0,2)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2023-09-24</t>
        </is>
      </c>
      <c r="AB15" s="5">
        <f>ROUND(0.0,2)</f>
        <v/>
      </c>
      <c r="AC15" s="3">
        <f>ROUND(0.0,2)</f>
        <v/>
      </c>
      <c r="AD15" s="3">
        <f>ROUND(0.0,2)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2023-09-24</t>
        </is>
      </c>
      <c r="AO15" s="5">
        <f>ROUND(0.0,2)</f>
        <v/>
      </c>
      <c r="AP15" s="3">
        <f>ROUND(0.0,2)</f>
        <v/>
      </c>
      <c r="AQ15" s="3">
        <f>ROUND(0.0,2)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2023-09-24</t>
        </is>
      </c>
      <c r="BB15" s="5">
        <f>ROUND(0.0,2)</f>
        <v/>
      </c>
      <c r="BC15" s="3">
        <f>ROUND(0.0,2)</f>
        <v/>
      </c>
      <c r="BD15" s="3">
        <f>ROUND(0.0,2)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2023-09-24</t>
        </is>
      </c>
      <c r="BO15" s="5">
        <f>ROUND(0.0,2)</f>
        <v/>
      </c>
      <c r="BP15" s="3">
        <f>ROUND(0.0,2)</f>
        <v/>
      </c>
      <c r="BQ15" s="3">
        <f>ROUND(0.0,2)</f>
        <v/>
      </c>
      <c r="BR15" s="3">
        <f>ROUND(0.0,2)</f>
        <v/>
      </c>
      <c r="BS15" s="3">
        <f>ROUND(0.0,2)</f>
        <v/>
      </c>
      <c r="BT15" s="3">
        <f>ROUND(0.0,2)</f>
        <v/>
      </c>
      <c r="BU15" s="3">
        <f>ROUND(0.0,2)</f>
        <v/>
      </c>
      <c r="BV15" s="3">
        <f>ROUND(0.0,2)</f>
        <v/>
      </c>
      <c r="BW15" s="4">
        <f>IFERROR((BQ15/BP15),0)</f>
        <v/>
      </c>
      <c r="BX15" s="4">
        <f>IFERROR(((0+BO11+BO12+BO13+BO14+BO15)/T2),0)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2023-09-24</t>
        </is>
      </c>
      <c r="CB15" s="5">
        <f>ROUND(0.0,2)</f>
        <v/>
      </c>
      <c r="CC15" s="3">
        <f>ROUND(0.0,2)</f>
        <v/>
      </c>
      <c r="CD15" s="3">
        <f>ROUND(0.0,2)</f>
        <v/>
      </c>
      <c r="CE15" s="3">
        <f>ROUND(0.0,2)</f>
        <v/>
      </c>
      <c r="CF15" s="3">
        <f>ROUND(0.0,2)</f>
        <v/>
      </c>
      <c r="CG15" s="3">
        <f>ROUND(0.0,2)</f>
        <v/>
      </c>
      <c r="CH15" s="3">
        <f>ROUND(0.0,2)</f>
        <v/>
      </c>
      <c r="CI15" s="3">
        <f>ROUND(0.0,2)</f>
        <v/>
      </c>
      <c r="CJ15" s="4">
        <f>IFERROR((CD15/CC15),0)</f>
        <v/>
      </c>
      <c r="CK15" s="4">
        <f>IFERROR(((0+CB11+CB12+CB13+CB14+CB15)/T2),0)</f>
        <v/>
      </c>
      <c r="CL15" s="5">
        <f>IFERROR(ROUND(CB15/CD15,2),0)</f>
        <v/>
      </c>
      <c r="CM15" s="5">
        <f>IFERROR(ROUND(CB15/CE15,2),0)</f>
        <v/>
      </c>
    </row>
    <row r="16">
      <c r="A16" s="2" t="inlineStr">
        <is>
          <t>2023-09-25</t>
        </is>
      </c>
      <c r="B16" s="5">
        <f>ROUND(0.0,2)</f>
        <v/>
      </c>
      <c r="C16" s="3">
        <f>ROUND(0.0,2)</f>
        <v/>
      </c>
      <c r="D16" s="3">
        <f>ROUND(0.0,2)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2023-09-25</t>
        </is>
      </c>
      <c r="O16" s="5">
        <f>ROUND(0.0,2)</f>
        <v/>
      </c>
      <c r="P16" s="3">
        <f>ROUND(0.0,2)</f>
        <v/>
      </c>
      <c r="Q16" s="3">
        <f>ROUND(0.0,2)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2023-09-25</t>
        </is>
      </c>
      <c r="AB16" s="5">
        <f>ROUND(0.0,2)</f>
        <v/>
      </c>
      <c r="AC16" s="3">
        <f>ROUND(0.0,2)</f>
        <v/>
      </c>
      <c r="AD16" s="3">
        <f>ROUND(0.0,2)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2023-09-25</t>
        </is>
      </c>
      <c r="AO16" s="5">
        <f>ROUND(0.0,2)</f>
        <v/>
      </c>
      <c r="AP16" s="3">
        <f>ROUND(0.0,2)</f>
        <v/>
      </c>
      <c r="AQ16" s="3">
        <f>ROUND(0.0,2)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2023-09-25</t>
        </is>
      </c>
      <c r="BB16" s="5">
        <f>ROUND(0.0,2)</f>
        <v/>
      </c>
      <c r="BC16" s="3">
        <f>ROUND(0.0,2)</f>
        <v/>
      </c>
      <c r="BD16" s="3">
        <f>ROUND(0.0,2)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2023-09-25</t>
        </is>
      </c>
      <c r="BO16" s="5">
        <f>ROUND(0.0,2)</f>
        <v/>
      </c>
      <c r="BP16" s="3">
        <f>ROUND(0.0,2)</f>
        <v/>
      </c>
      <c r="BQ16" s="3">
        <f>ROUND(0.0,2)</f>
        <v/>
      </c>
      <c r="BR16" s="3">
        <f>ROUND(0.0,2)</f>
        <v/>
      </c>
      <c r="BS16" s="3">
        <f>ROUND(0.0,2)</f>
        <v/>
      </c>
      <c r="BT16" s="3">
        <f>ROUND(0.0,2)</f>
        <v/>
      </c>
      <c r="BU16" s="3">
        <f>ROUND(0.0,2)</f>
        <v/>
      </c>
      <c r="BV16" s="3">
        <f>ROUND(0.0,2)</f>
        <v/>
      </c>
      <c r="BW16" s="4">
        <f>IFERROR((BQ16/BP16),0)</f>
        <v/>
      </c>
      <c r="BX16" s="4">
        <f>IFERROR(((0+BO11+BO12+BO13+BO14+BO15+BO16)/T2),0)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2023-09-25</t>
        </is>
      </c>
      <c r="CB16" s="5">
        <f>ROUND(0.0,2)</f>
        <v/>
      </c>
      <c r="CC16" s="3">
        <f>ROUND(0.0,2)</f>
        <v/>
      </c>
      <c r="CD16" s="3">
        <f>ROUND(0.0,2)</f>
        <v/>
      </c>
      <c r="CE16" s="3">
        <f>ROUND(0.0,2)</f>
        <v/>
      </c>
      <c r="CF16" s="3">
        <f>ROUND(0.0,2)</f>
        <v/>
      </c>
      <c r="CG16" s="3">
        <f>ROUND(0.0,2)</f>
        <v/>
      </c>
      <c r="CH16" s="3">
        <f>ROUND(0.0,2)</f>
        <v/>
      </c>
      <c r="CI16" s="3">
        <f>ROUND(0.0,2)</f>
        <v/>
      </c>
      <c r="CJ16" s="4">
        <f>IFERROR((CD16/CC16),0)</f>
        <v/>
      </c>
      <c r="CK16" s="4">
        <f>IFERROR(((0+CB11+CB12+CB13+CB14+CB15+CB16)/T2),0)</f>
        <v/>
      </c>
      <c r="CL16" s="5">
        <f>IFERROR(ROUND(CB16/CD16,2),0)</f>
        <v/>
      </c>
      <c r="CM16" s="5">
        <f>IFERROR(ROUND(CB16/CE16,2),0)</f>
        <v/>
      </c>
    </row>
    <row r="17">
      <c r="A17" s="2" t="inlineStr">
        <is>
          <t>2023-09-26</t>
        </is>
      </c>
      <c r="B17" s="5">
        <f>ROUND(0.0,2)</f>
        <v/>
      </c>
      <c r="C17" s="3">
        <f>ROUND(0.0,2)</f>
        <v/>
      </c>
      <c r="D17" s="3">
        <f>ROUND(0.0,2)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IFERROR(((0+B11+B12+B13+B14+B15+B16+B17)/T2),0)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2023-09-26</t>
        </is>
      </c>
      <c r="O17" s="5">
        <f>ROUND(0.0,2)</f>
        <v/>
      </c>
      <c r="P17" s="3">
        <f>ROUND(0.0,2)</f>
        <v/>
      </c>
      <c r="Q17" s="3">
        <f>ROUND(0.0,2)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IFERROR(((0+O11+O12+O13+O14+O15+O16+O17)/T2),0)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2023-09-26</t>
        </is>
      </c>
      <c r="AB17" s="5">
        <f>ROUND(0.0,2)</f>
        <v/>
      </c>
      <c r="AC17" s="3">
        <f>ROUND(0.0,2)</f>
        <v/>
      </c>
      <c r="AD17" s="3">
        <f>ROUND(0.0,2)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IFERROR(((0+AB11+AB12+AB13+AB14+AB15+AB16+AB17)/T2),0)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2023-09-26</t>
        </is>
      </c>
      <c r="AO17" s="5">
        <f>ROUND(0.0,2)</f>
        <v/>
      </c>
      <c r="AP17" s="3">
        <f>ROUND(0.0,2)</f>
        <v/>
      </c>
      <c r="AQ17" s="3">
        <f>ROUND(0.0,2)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IFERROR(((0+AO11+AO12+AO13+AO14+AO15+AO16+AO17)/T2),0)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2023-09-26</t>
        </is>
      </c>
      <c r="BB17" s="5">
        <f>ROUND(0.0,2)</f>
        <v/>
      </c>
      <c r="BC17" s="3">
        <f>ROUND(0.0,2)</f>
        <v/>
      </c>
      <c r="BD17" s="3">
        <f>ROUND(0.0,2)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IFERROR(((0+BB11+BB12+BB13+BB14+BB15+BB16+BB17)/T2),0)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2023-09-26</t>
        </is>
      </c>
      <c r="BO17" s="5">
        <f>ROUND(0.0,2)</f>
        <v/>
      </c>
      <c r="BP17" s="3">
        <f>ROUND(0.0,2)</f>
        <v/>
      </c>
      <c r="BQ17" s="3">
        <f>ROUND(0.0,2)</f>
        <v/>
      </c>
      <c r="BR17" s="3">
        <f>ROUND(0.0,2)</f>
        <v/>
      </c>
      <c r="BS17" s="3">
        <f>ROUND(0.0,2)</f>
        <v/>
      </c>
      <c r="BT17" s="3">
        <f>ROUND(0.0,2)</f>
        <v/>
      </c>
      <c r="BU17" s="3">
        <f>ROUND(0.0,2)</f>
        <v/>
      </c>
      <c r="BV17" s="3">
        <f>ROUND(0.0,2)</f>
        <v/>
      </c>
      <c r="BW17" s="4">
        <f>IFERROR((BQ17/BP17),0)</f>
        <v/>
      </c>
      <c r="BX17" s="4">
        <f>IFERROR(((0+BO11+BO12+BO13+BO14+BO15+BO16+BO17)/T2),0)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2023-09-26</t>
        </is>
      </c>
      <c r="CB17" s="5">
        <f>ROUND(0.0,2)</f>
        <v/>
      </c>
      <c r="CC17" s="3">
        <f>ROUND(0.0,2)</f>
        <v/>
      </c>
      <c r="CD17" s="3">
        <f>ROUND(0.0,2)</f>
        <v/>
      </c>
      <c r="CE17" s="3">
        <f>ROUND(0.0,2)</f>
        <v/>
      </c>
      <c r="CF17" s="3">
        <f>ROUND(0.0,2)</f>
        <v/>
      </c>
      <c r="CG17" s="3">
        <f>ROUND(0.0,2)</f>
        <v/>
      </c>
      <c r="CH17" s="3">
        <f>ROUND(0.0,2)</f>
        <v/>
      </c>
      <c r="CI17" s="3">
        <f>ROUND(0.0,2)</f>
        <v/>
      </c>
      <c r="CJ17" s="4">
        <f>IFERROR((CD17/CC17),0)</f>
        <v/>
      </c>
      <c r="CK17" s="4">
        <f>IFERROR(((0+CB11+CB12+CB13+CB14+CB15+CB16+CB17)/T2),0)</f>
        <v/>
      </c>
      <c r="CL17" s="5">
        <f>IFERROR(ROUND(CB17/CD17,2),0)</f>
        <v/>
      </c>
      <c r="CM17" s="5">
        <f>IFERROR(ROUND(CB17/CE17,2),0)</f>
        <v/>
      </c>
    </row>
    <row r="18">
      <c r="A18" s="2" t="inlineStr">
        <is>
          <t>1 Weekly Total</t>
        </is>
      </c>
      <c r="B18" s="5">
        <f>ROUND(0.0,2)</f>
        <v/>
      </c>
      <c r="C18" s="3">
        <f>ROUND(0.0,2)</f>
        <v/>
      </c>
      <c r="D18" s="3">
        <f>ROUND(0.0,2)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IFERROR(((0+B11+B12+B13+B14+B15+B16+B17)/T2),0)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1 Weekly Total</t>
        </is>
      </c>
      <c r="O18" s="5">
        <f>ROUND(0.0,2)</f>
        <v/>
      </c>
      <c r="P18" s="3">
        <f>ROUND(0.0,2)</f>
        <v/>
      </c>
      <c r="Q18" s="3">
        <f>ROUND(0.0,2)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IFERROR(((0+O11+O12+O13+O14+O15+O16+O17)/T2),0)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1 Weekly Total</t>
        </is>
      </c>
      <c r="AB18" s="5">
        <f>ROUND(0.0,2)</f>
        <v/>
      </c>
      <c r="AC18" s="3">
        <f>ROUND(0.0,2)</f>
        <v/>
      </c>
      <c r="AD18" s="3">
        <f>ROUND(0.0,2)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IFERROR(((0+AB11+AB12+AB13+AB14+AB15+AB16+AB17)/T2),0)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1 Weekly Total</t>
        </is>
      </c>
      <c r="AO18" s="5">
        <f>ROUND(0.0,2)</f>
        <v/>
      </c>
      <c r="AP18" s="3">
        <f>ROUND(0.0,2)</f>
        <v/>
      </c>
      <c r="AQ18" s="3">
        <f>ROUND(0.0,2)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IFERROR(((0+AO11+AO12+AO13+AO14+AO15+AO16+AO17)/T2),0)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1 Weekly Total</t>
        </is>
      </c>
      <c r="BB18" s="5">
        <f>ROUND(0.0,2)</f>
        <v/>
      </c>
      <c r="BC18" s="3">
        <f>ROUND(0.0,2)</f>
        <v/>
      </c>
      <c r="BD18" s="3">
        <f>ROUND(0.0,2)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IFERROR(((0+BB11+BB12+BB13+BB14+BB15+BB16+BB17)/T2),0)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1 Weekly Total</t>
        </is>
      </c>
      <c r="BO18" s="5">
        <f>ROUND(0.0,2)</f>
        <v/>
      </c>
      <c r="BP18" s="3">
        <f>ROUND(0.0,2)</f>
        <v/>
      </c>
      <c r="BQ18" s="3">
        <f>ROUND(0.0,2)</f>
        <v/>
      </c>
      <c r="BR18" s="3">
        <f>ROUND(0.0,2)</f>
        <v/>
      </c>
      <c r="BS18" s="3">
        <f>ROUND(0.0,2)</f>
        <v/>
      </c>
      <c r="BT18" s="3">
        <f>ROUND(0.0,2)</f>
        <v/>
      </c>
      <c r="BU18" s="3">
        <f>ROUND(0.0,2)</f>
        <v/>
      </c>
      <c r="BV18" s="3">
        <f>ROUND(0.0,2)</f>
        <v/>
      </c>
      <c r="BW18" s="4">
        <f>IFERROR((BQ18/BP18),0)</f>
        <v/>
      </c>
      <c r="BX18" s="4">
        <f>IFERROR(((0+BO11+BO12+BO13+BO14+BO15+BO16+BO17)/T2),0)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1 Weekly Total</t>
        </is>
      </c>
      <c r="CB18" s="5">
        <f>ROUND(0.0,2)</f>
        <v/>
      </c>
      <c r="CC18" s="3">
        <f>ROUND(0.0,2)</f>
        <v/>
      </c>
      <c r="CD18" s="3">
        <f>ROUND(0.0,2)</f>
        <v/>
      </c>
      <c r="CE18" s="3">
        <f>ROUND(0.0,2)</f>
        <v/>
      </c>
      <c r="CF18" s="3">
        <f>ROUND(0.0,2)</f>
        <v/>
      </c>
      <c r="CG18" s="3">
        <f>ROUND(0.0,2)</f>
        <v/>
      </c>
      <c r="CH18" s="3">
        <f>ROUND(0.0,2)</f>
        <v/>
      </c>
      <c r="CI18" s="3">
        <f>ROUND(0.0,2)</f>
        <v/>
      </c>
      <c r="CJ18" s="4">
        <f>IFERROR((CD18/CC18),0)</f>
        <v/>
      </c>
      <c r="CK18" s="4">
        <f>IFERROR(((0+CB11+CB12+CB13+CB14+CB15+CB16+CB17)/T2),0)</f>
        <v/>
      </c>
      <c r="CL18" s="5">
        <f>IFERROR(ROUND(CB18/CD18,2),0)</f>
        <v/>
      </c>
      <c r="CM18" s="5">
        <f>IFERROR(ROUND(CB18/CE18,2),0)</f>
        <v/>
      </c>
    </row>
    <row r="19">
      <c r="A19" s="2" t="inlineStr">
        <is>
          <t>2023-09-27</t>
        </is>
      </c>
      <c r="B19" s="5">
        <f>ROUND(0.0,2)</f>
        <v/>
      </c>
      <c r="C19" s="3">
        <f>ROUND(0.0,2)</f>
        <v/>
      </c>
      <c r="D19" s="3">
        <f>ROUND(0.0,2)</f>
        <v/>
      </c>
      <c r="E19" s="3">
        <f>ROUND(0.0,2)</f>
        <v/>
      </c>
      <c r="F19" s="3">
        <f>ROUND(0.0,2)</f>
        <v/>
      </c>
      <c r="G19" s="3">
        <f>ROUND(0.0,2)</f>
        <v/>
      </c>
      <c r="H19" s="3">
        <f>ROUND(0.0,2)</f>
        <v/>
      </c>
      <c r="I19" s="3">
        <f>ROUND(0.0,2)</f>
        <v/>
      </c>
      <c r="J19" s="4">
        <f>IFERROR((D19/C19),0)</f>
        <v/>
      </c>
      <c r="K19" s="4">
        <f>IFERROR(((0+B11+B12+B13+B14+B15+B16+B17+B19)/T2),0)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2023-09-27</t>
        </is>
      </c>
      <c r="O19" s="5">
        <f>ROUND(0.0,2)</f>
        <v/>
      </c>
      <c r="P19" s="3">
        <f>ROUND(0.0,2)</f>
        <v/>
      </c>
      <c r="Q19" s="3">
        <f>ROUND(0.0,2)</f>
        <v/>
      </c>
      <c r="R19" s="3">
        <f>ROUND(0.0,2)</f>
        <v/>
      </c>
      <c r="S19" s="3">
        <f>ROUND(0.0,2)</f>
        <v/>
      </c>
      <c r="T19" s="3">
        <f>ROUND(0.0,2)</f>
        <v/>
      </c>
      <c r="U19" s="3">
        <f>ROUND(0.0,2)</f>
        <v/>
      </c>
      <c r="V19" s="3">
        <f>ROUND(0.0,2)</f>
        <v/>
      </c>
      <c r="W19" s="4">
        <f>IFERROR((Q19/P19),0)</f>
        <v/>
      </c>
      <c r="X19" s="4">
        <f>IFERROR(((0+O11+O12+O13+O14+O15+O16+O17+O19)/T2),0)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2023-09-27</t>
        </is>
      </c>
      <c r="AB19" s="5">
        <f>ROUND(0.0,2)</f>
        <v/>
      </c>
      <c r="AC19" s="3">
        <f>ROUND(0.0,2)</f>
        <v/>
      </c>
      <c r="AD19" s="3">
        <f>ROUND(0.0,2)</f>
        <v/>
      </c>
      <c r="AE19" s="3">
        <f>ROUND(0.0,2)</f>
        <v/>
      </c>
      <c r="AF19" s="3">
        <f>ROUND(0.0,2)</f>
        <v/>
      </c>
      <c r="AG19" s="3">
        <f>ROUND(0.0,2)</f>
        <v/>
      </c>
      <c r="AH19" s="3">
        <f>ROUND(0.0,2)</f>
        <v/>
      </c>
      <c r="AI19" s="3">
        <f>ROUND(0.0,2)</f>
        <v/>
      </c>
      <c r="AJ19" s="4">
        <f>IFERROR((AD19/AC19),0)</f>
        <v/>
      </c>
      <c r="AK19" s="4">
        <f>IFERROR(((0+AB11+AB12+AB13+AB14+AB15+AB16+AB17+AB19)/T2),0)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2023-09-27</t>
        </is>
      </c>
      <c r="AO19" s="5">
        <f>ROUND(0.0,2)</f>
        <v/>
      </c>
      <c r="AP19" s="3">
        <f>ROUND(0.0,2)</f>
        <v/>
      </c>
      <c r="AQ19" s="3">
        <f>ROUND(0.0,2)</f>
        <v/>
      </c>
      <c r="AR19" s="3">
        <f>ROUND(0.0,2)</f>
        <v/>
      </c>
      <c r="AS19" s="3">
        <f>ROUND(0.0,2)</f>
        <v/>
      </c>
      <c r="AT19" s="3">
        <f>ROUND(0.0,2)</f>
        <v/>
      </c>
      <c r="AU19" s="3">
        <f>ROUND(0.0,2)</f>
        <v/>
      </c>
      <c r="AV19" s="3">
        <f>ROUND(0.0,2)</f>
        <v/>
      </c>
      <c r="AW19" s="4">
        <f>IFERROR((AQ19/AP19),0)</f>
        <v/>
      </c>
      <c r="AX19" s="4">
        <f>IFERROR(((0+AO11+AO12+AO13+AO14+AO15+AO16+AO17+AO19)/T2),0)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2023-09-27</t>
        </is>
      </c>
      <c r="BB19" s="5">
        <f>ROUND(0.0,2)</f>
        <v/>
      </c>
      <c r="BC19" s="3">
        <f>ROUND(0.0,2)</f>
        <v/>
      </c>
      <c r="BD19" s="3">
        <f>ROUND(0.0,2)</f>
        <v/>
      </c>
      <c r="BE19" s="3">
        <f>ROUND(0.0,2)</f>
        <v/>
      </c>
      <c r="BF19" s="3">
        <f>ROUND(0.0,2)</f>
        <v/>
      </c>
      <c r="BG19" s="3">
        <f>ROUND(0.0,2)</f>
        <v/>
      </c>
      <c r="BH19" s="3">
        <f>ROUND(0.0,2)</f>
        <v/>
      </c>
      <c r="BI19" s="3">
        <f>ROUND(0.0,2)</f>
        <v/>
      </c>
      <c r="BJ19" s="4">
        <f>IFERROR((BD19/BC19),0)</f>
        <v/>
      </c>
      <c r="BK19" s="4">
        <f>IFERROR(((0+BB11+BB12+BB13+BB14+BB15+BB16+BB17+BB19)/T2),0)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2023-09-27</t>
        </is>
      </c>
      <c r="BO19" s="5">
        <f>ROUND(0.0,2)</f>
        <v/>
      </c>
      <c r="BP19" s="3">
        <f>ROUND(0.0,2)</f>
        <v/>
      </c>
      <c r="BQ19" s="3">
        <f>ROUND(0.0,2)</f>
        <v/>
      </c>
      <c r="BR19" s="3">
        <f>ROUND(0.0,2)</f>
        <v/>
      </c>
      <c r="BS19" s="3">
        <f>ROUND(0.0,2)</f>
        <v/>
      </c>
      <c r="BT19" s="3">
        <f>ROUND(0.0,2)</f>
        <v/>
      </c>
      <c r="BU19" s="3">
        <f>ROUND(0.0,2)</f>
        <v/>
      </c>
      <c r="BV19" s="3">
        <f>ROUND(0.0,2)</f>
        <v/>
      </c>
      <c r="BW19" s="4">
        <f>IFERROR((BQ19/BP19),0)</f>
        <v/>
      </c>
      <c r="BX19" s="4">
        <f>IFERROR(((0+BO11+BO12+BO13+BO14+BO15+BO16+BO17+BO19)/T2),0)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2023-09-27</t>
        </is>
      </c>
      <c r="CB19" s="5">
        <f>ROUND(0.0,2)</f>
        <v/>
      </c>
      <c r="CC19" s="3">
        <f>ROUND(0.0,2)</f>
        <v/>
      </c>
      <c r="CD19" s="3">
        <f>ROUND(0.0,2)</f>
        <v/>
      </c>
      <c r="CE19" s="3">
        <f>ROUND(0.0,2)</f>
        <v/>
      </c>
      <c r="CF19" s="3">
        <f>ROUND(0.0,2)</f>
        <v/>
      </c>
      <c r="CG19" s="3">
        <f>ROUND(0.0,2)</f>
        <v/>
      </c>
      <c r="CH19" s="3">
        <f>ROUND(0.0,2)</f>
        <v/>
      </c>
      <c r="CI19" s="3">
        <f>ROUND(0.0,2)</f>
        <v/>
      </c>
      <c r="CJ19" s="4">
        <f>IFERROR((CD19/CC19),0)</f>
        <v/>
      </c>
      <c r="CK19" s="4">
        <f>IFERROR(((0+CB11+CB12+CB13+CB14+CB15+CB16+CB17+CB19)/T2),0)</f>
        <v/>
      </c>
      <c r="CL19" s="5">
        <f>IFERROR(ROUND(CB19/CD19,2),0)</f>
        <v/>
      </c>
      <c r="CM19" s="5">
        <f>IFERROR(ROUND(CB19/CE19,2),0)</f>
        <v/>
      </c>
    </row>
    <row r="20">
      <c r="A20" s="2" t="inlineStr">
        <is>
          <t>2023-09-28</t>
        </is>
      </c>
      <c r="B20" s="5">
        <f>ROUND(0.0,2)</f>
        <v/>
      </c>
      <c r="C20" s="3">
        <f>ROUND(0.0,2)</f>
        <v/>
      </c>
      <c r="D20" s="3">
        <f>ROUND(0.0,2)</f>
        <v/>
      </c>
      <c r="E20" s="3">
        <f>ROUND(0.0,2)</f>
        <v/>
      </c>
      <c r="F20" s="3">
        <f>ROUND(0.0,2)</f>
        <v/>
      </c>
      <c r="G20" s="3">
        <f>ROUND(0.0,2)</f>
        <v/>
      </c>
      <c r="H20" s="3">
        <f>ROUND(0.0,2)</f>
        <v/>
      </c>
      <c r="I20" s="3">
        <f>ROUND(0.0,2)</f>
        <v/>
      </c>
      <c r="J20" s="4">
        <f>IFERROR((D20/C20),0)</f>
        <v/>
      </c>
      <c r="K20" s="4">
        <f>IFERROR(((0+B11+B12+B13+B14+B15+B16+B17+B19+B20)/T2),0)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2023-09-28</t>
        </is>
      </c>
      <c r="O20" s="5">
        <f>ROUND(0.0,2)</f>
        <v/>
      </c>
      <c r="P20" s="3">
        <f>ROUND(0.0,2)</f>
        <v/>
      </c>
      <c r="Q20" s="3">
        <f>ROUND(0.0,2)</f>
        <v/>
      </c>
      <c r="R20" s="3">
        <f>ROUND(0.0,2)</f>
        <v/>
      </c>
      <c r="S20" s="3">
        <f>ROUND(0.0,2)</f>
        <v/>
      </c>
      <c r="T20" s="3">
        <f>ROUND(0.0,2)</f>
        <v/>
      </c>
      <c r="U20" s="3">
        <f>ROUND(0.0,2)</f>
        <v/>
      </c>
      <c r="V20" s="3">
        <f>ROUND(0.0,2)</f>
        <v/>
      </c>
      <c r="W20" s="4">
        <f>IFERROR((Q20/P20),0)</f>
        <v/>
      </c>
      <c r="X20" s="4">
        <f>IFERROR(((0+O11+O12+O13+O14+O15+O16+O17+O19+O20)/T2),0)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2023-09-28</t>
        </is>
      </c>
      <c r="AB20" s="5">
        <f>ROUND(0.0,2)</f>
        <v/>
      </c>
      <c r="AC20" s="3">
        <f>ROUND(0.0,2)</f>
        <v/>
      </c>
      <c r="AD20" s="3">
        <f>ROUND(0.0,2)</f>
        <v/>
      </c>
      <c r="AE20" s="3">
        <f>ROUND(0.0,2)</f>
        <v/>
      </c>
      <c r="AF20" s="3">
        <f>ROUND(0.0,2)</f>
        <v/>
      </c>
      <c r="AG20" s="3">
        <f>ROUND(0.0,2)</f>
        <v/>
      </c>
      <c r="AH20" s="3">
        <f>ROUND(0.0,2)</f>
        <v/>
      </c>
      <c r="AI20" s="3">
        <f>ROUND(0.0,2)</f>
        <v/>
      </c>
      <c r="AJ20" s="4">
        <f>IFERROR((AD20/AC20),0)</f>
        <v/>
      </c>
      <c r="AK20" s="4">
        <f>IFERROR(((0+AB11+AB12+AB13+AB14+AB15+AB16+AB17+AB19+AB20)/T2),0)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2023-09-28</t>
        </is>
      </c>
      <c r="AO20" s="5">
        <f>ROUND(0.0,2)</f>
        <v/>
      </c>
      <c r="AP20" s="3">
        <f>ROUND(0.0,2)</f>
        <v/>
      </c>
      <c r="AQ20" s="3">
        <f>ROUND(0.0,2)</f>
        <v/>
      </c>
      <c r="AR20" s="3">
        <f>ROUND(0.0,2)</f>
        <v/>
      </c>
      <c r="AS20" s="3">
        <f>ROUND(0.0,2)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IFERROR(((0+AO11+AO12+AO13+AO14+AO15+AO16+AO17+AO19+AO20)/T2),0)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2023-09-28</t>
        </is>
      </c>
      <c r="BB20" s="5">
        <f>ROUND(0.0,2)</f>
        <v/>
      </c>
      <c r="BC20" s="3">
        <f>ROUND(0.0,2)</f>
        <v/>
      </c>
      <c r="BD20" s="3">
        <f>ROUND(0.0,2)</f>
        <v/>
      </c>
      <c r="BE20" s="3">
        <f>ROUND(0.0,2)</f>
        <v/>
      </c>
      <c r="BF20" s="3">
        <f>ROUND(0.0,2)</f>
        <v/>
      </c>
      <c r="BG20" s="3">
        <f>ROUND(0.0,2)</f>
        <v/>
      </c>
      <c r="BH20" s="3">
        <f>ROUND(0.0,2)</f>
        <v/>
      </c>
      <c r="BI20" s="3">
        <f>ROUND(0.0,2)</f>
        <v/>
      </c>
      <c r="BJ20" s="4">
        <f>IFERROR((BD20/BC20),0)</f>
        <v/>
      </c>
      <c r="BK20" s="4">
        <f>IFERROR(((0+BB11+BB12+BB13+BB14+BB15+BB16+BB17+BB19+BB20)/T2),0)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2023-09-28</t>
        </is>
      </c>
      <c r="BO20" s="5">
        <f>ROUND(0.0,2)</f>
        <v/>
      </c>
      <c r="BP20" s="3">
        <f>ROUND(0.0,2)</f>
        <v/>
      </c>
      <c r="BQ20" s="3">
        <f>ROUND(0.0,2)</f>
        <v/>
      </c>
      <c r="BR20" s="3">
        <f>ROUND(0.0,2)</f>
        <v/>
      </c>
      <c r="BS20" s="3">
        <f>ROUND(0.0,2)</f>
        <v/>
      </c>
      <c r="BT20" s="3">
        <f>ROUND(0.0,2)</f>
        <v/>
      </c>
      <c r="BU20" s="3">
        <f>ROUND(0.0,2)</f>
        <v/>
      </c>
      <c r="BV20" s="3">
        <f>ROUND(0.0,2)</f>
        <v/>
      </c>
      <c r="BW20" s="4">
        <f>IFERROR((BQ20/BP20),0)</f>
        <v/>
      </c>
      <c r="BX20" s="4">
        <f>IFERROR(((0+BO11+BO12+BO13+BO14+BO15+BO16+BO17+BO19+BO20)/T2),0)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2023-09-28</t>
        </is>
      </c>
      <c r="CB20" s="5">
        <f>ROUND(0.0,2)</f>
        <v/>
      </c>
      <c r="CC20" s="3">
        <f>ROUND(0.0,2)</f>
        <v/>
      </c>
      <c r="CD20" s="3">
        <f>ROUND(0.0,2)</f>
        <v/>
      </c>
      <c r="CE20" s="3">
        <f>ROUND(0.0,2)</f>
        <v/>
      </c>
      <c r="CF20" s="3">
        <f>ROUND(0.0,2)</f>
        <v/>
      </c>
      <c r="CG20" s="3">
        <f>ROUND(0.0,2)</f>
        <v/>
      </c>
      <c r="CH20" s="3">
        <f>ROUND(0.0,2)</f>
        <v/>
      </c>
      <c r="CI20" s="3">
        <f>ROUND(0.0,2)</f>
        <v/>
      </c>
      <c r="CJ20" s="4">
        <f>IFERROR((CD20/CC20),0)</f>
        <v/>
      </c>
      <c r="CK20" s="4">
        <f>IFERROR(((0+CB11+CB12+CB13+CB14+CB15+CB16+CB17+CB19+CB20)/T2),0)</f>
        <v/>
      </c>
      <c r="CL20" s="5">
        <f>IFERROR(ROUND(CB20/CD20,2),0)</f>
        <v/>
      </c>
      <c r="CM20" s="5">
        <f>IFERROR(ROUND(CB20/CE20,2),0)</f>
        <v/>
      </c>
    </row>
    <row r="21">
      <c r="A21" s="2" t="inlineStr">
        <is>
          <t>2023-09-29</t>
        </is>
      </c>
      <c r="B21" s="5">
        <f>ROUND(0.0,2)</f>
        <v/>
      </c>
      <c r="C21" s="3">
        <f>ROUND(0.0,2)</f>
        <v/>
      </c>
      <c r="D21" s="3">
        <f>ROUND(0.0,2)</f>
        <v/>
      </c>
      <c r="E21" s="3">
        <f>ROUND(0.0,2)</f>
        <v/>
      </c>
      <c r="F21" s="3">
        <f>ROUND(0.0,2)</f>
        <v/>
      </c>
      <c r="G21" s="3">
        <f>ROUND(0.0,2)</f>
        <v/>
      </c>
      <c r="H21" s="3">
        <f>ROUND(0.0,2)</f>
        <v/>
      </c>
      <c r="I21" s="3">
        <f>ROUND(0.0,2)</f>
        <v/>
      </c>
      <c r="J21" s="4">
        <f>IFERROR((D21/C21),0)</f>
        <v/>
      </c>
      <c r="K21" s="4">
        <f>IFERROR(((0+B11+B12+B13+B14+B15+B16+B17+B19+B20+B21)/T2),0)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2023-09-29</t>
        </is>
      </c>
      <c r="O21" s="5">
        <f>ROUND(0.0,2)</f>
        <v/>
      </c>
      <c r="P21" s="3">
        <f>ROUND(0.0,2)</f>
        <v/>
      </c>
      <c r="Q21" s="3">
        <f>ROUND(0.0,2)</f>
        <v/>
      </c>
      <c r="R21" s="3">
        <f>ROUND(0.0,2)</f>
        <v/>
      </c>
      <c r="S21" s="3">
        <f>ROUND(0.0,2)</f>
        <v/>
      </c>
      <c r="T21" s="3">
        <f>ROUND(0.0,2)</f>
        <v/>
      </c>
      <c r="U21" s="3">
        <f>ROUND(0.0,2)</f>
        <v/>
      </c>
      <c r="V21" s="3">
        <f>ROUND(0.0,2)</f>
        <v/>
      </c>
      <c r="W21" s="4">
        <f>IFERROR((Q21/P21),0)</f>
        <v/>
      </c>
      <c r="X21" s="4">
        <f>IFERROR(((0+O11+O12+O13+O14+O15+O16+O17+O19+O20+O21)/T2),0)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2023-09-29</t>
        </is>
      </c>
      <c r="AB21" s="5">
        <f>ROUND(0.0,2)</f>
        <v/>
      </c>
      <c r="AC21" s="3">
        <f>ROUND(0.0,2)</f>
        <v/>
      </c>
      <c r="AD21" s="3">
        <f>ROUND(0.0,2)</f>
        <v/>
      </c>
      <c r="AE21" s="3">
        <f>ROUND(0.0,2)</f>
        <v/>
      </c>
      <c r="AF21" s="3">
        <f>ROUND(0.0,2)</f>
        <v/>
      </c>
      <c r="AG21" s="3">
        <f>ROUND(0.0,2)</f>
        <v/>
      </c>
      <c r="AH21" s="3">
        <f>ROUND(0.0,2)</f>
        <v/>
      </c>
      <c r="AI21" s="3">
        <f>ROUND(0.0,2)</f>
        <v/>
      </c>
      <c r="AJ21" s="4">
        <f>IFERROR((AD21/AC21),0)</f>
        <v/>
      </c>
      <c r="AK21" s="4">
        <f>IFERROR(((0+AB11+AB12+AB13+AB14+AB15+AB16+AB17+AB19+AB20+AB21)/T2),0)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2023-09-29</t>
        </is>
      </c>
      <c r="AO21" s="5">
        <f>ROUND(0.0,2)</f>
        <v/>
      </c>
      <c r="AP21" s="3">
        <f>ROUND(0.0,2)</f>
        <v/>
      </c>
      <c r="AQ21" s="3">
        <f>ROUND(0.0,2)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IFERROR(((0+AO11+AO12+AO13+AO14+AO15+AO16+AO17+AO19+AO20+AO21)/T2),0)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2023-09-29</t>
        </is>
      </c>
      <c r="BB21" s="5">
        <f>ROUND(0.0,2)</f>
        <v/>
      </c>
      <c r="BC21" s="3">
        <f>ROUND(0.0,2)</f>
        <v/>
      </c>
      <c r="BD21" s="3">
        <f>ROUND(0.0,2)</f>
        <v/>
      </c>
      <c r="BE21" s="3">
        <f>ROUND(0.0,2)</f>
        <v/>
      </c>
      <c r="BF21" s="3">
        <f>ROUND(0.0,2)</f>
        <v/>
      </c>
      <c r="BG21" s="3">
        <f>ROUND(0.0,2)</f>
        <v/>
      </c>
      <c r="BH21" s="3">
        <f>ROUND(0.0,2)</f>
        <v/>
      </c>
      <c r="BI21" s="3">
        <f>ROUND(0.0,2)</f>
        <v/>
      </c>
      <c r="BJ21" s="4">
        <f>IFERROR((BD21/BC21),0)</f>
        <v/>
      </c>
      <c r="BK21" s="4">
        <f>IFERROR(((0+BB11+BB12+BB13+BB14+BB15+BB16+BB17+BB19+BB20+BB21)/T2),0)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2023-09-29</t>
        </is>
      </c>
      <c r="BO21" s="5">
        <f>ROUND(0.0,2)</f>
        <v/>
      </c>
      <c r="BP21" s="3">
        <f>ROUND(0.0,2)</f>
        <v/>
      </c>
      <c r="BQ21" s="3">
        <f>ROUND(0.0,2)</f>
        <v/>
      </c>
      <c r="BR21" s="3">
        <f>ROUND(0.0,2)</f>
        <v/>
      </c>
      <c r="BS21" s="3">
        <f>ROUND(0.0,2)</f>
        <v/>
      </c>
      <c r="BT21" s="3">
        <f>ROUND(0.0,2)</f>
        <v/>
      </c>
      <c r="BU21" s="3">
        <f>ROUND(0.0,2)</f>
        <v/>
      </c>
      <c r="BV21" s="3">
        <f>ROUND(0.0,2)</f>
        <v/>
      </c>
      <c r="BW21" s="4">
        <f>IFERROR((BQ21/BP21),0)</f>
        <v/>
      </c>
      <c r="BX21" s="4">
        <f>IFERROR(((0+BO11+BO12+BO13+BO14+BO15+BO16+BO17+BO19+BO20+BO21)/T2),0)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2023-09-29</t>
        </is>
      </c>
      <c r="CB21" s="5">
        <f>ROUND(0.0,2)</f>
        <v/>
      </c>
      <c r="CC21" s="3">
        <f>ROUND(0.0,2)</f>
        <v/>
      </c>
      <c r="CD21" s="3">
        <f>ROUND(0.0,2)</f>
        <v/>
      </c>
      <c r="CE21" s="3">
        <f>ROUND(0.0,2)</f>
        <v/>
      </c>
      <c r="CF21" s="3">
        <f>ROUND(0.0,2)</f>
        <v/>
      </c>
      <c r="CG21" s="3">
        <f>ROUND(0.0,2)</f>
        <v/>
      </c>
      <c r="CH21" s="3">
        <f>ROUND(0.0,2)</f>
        <v/>
      </c>
      <c r="CI21" s="3">
        <f>ROUND(0.0,2)</f>
        <v/>
      </c>
      <c r="CJ21" s="4">
        <f>IFERROR((CD21/CC21),0)</f>
        <v/>
      </c>
      <c r="CK21" s="4">
        <f>IFERROR(((0+CB11+CB12+CB13+CB14+CB15+CB16+CB17+CB19+CB20+CB21)/T2),0)</f>
        <v/>
      </c>
      <c r="CL21" s="5">
        <f>IFERROR(ROUND(CB21/CD21,2),0)</f>
        <v/>
      </c>
      <c r="CM21" s="5">
        <f>IFERROR(ROUND(CB21/CE21,2),0)</f>
        <v/>
      </c>
    </row>
    <row r="22">
      <c r="A22" s="2" t="inlineStr">
        <is>
          <t>2023-09-30</t>
        </is>
      </c>
      <c r="B22" s="5">
        <f>ROUND(0.0,2)</f>
        <v/>
      </c>
      <c r="C22" s="3">
        <f>ROUND(0.0,2)</f>
        <v/>
      </c>
      <c r="D22" s="3">
        <f>ROUND(0.0,2)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IFERROR(((0+B11+B12+B13+B14+B15+B16+B17+B19+B20+B21+B22)/T2),0)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2023-09-30</t>
        </is>
      </c>
      <c r="O22" s="5">
        <f>ROUND(0.0,2)</f>
        <v/>
      </c>
      <c r="P22" s="3">
        <f>ROUND(0.0,2)</f>
        <v/>
      </c>
      <c r="Q22" s="3">
        <f>ROUND(0.0,2)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IFERROR(((0+O11+O12+O13+O14+O15+O16+O17+O19+O20+O21+O22)/T2),0)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2023-09-30</t>
        </is>
      </c>
      <c r="AB22" s="5">
        <f>ROUND(0.0,2)</f>
        <v/>
      </c>
      <c r="AC22" s="3">
        <f>ROUND(0.0,2)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IFERROR(((0+AB11+AB12+AB13+AB14+AB15+AB16+AB17+AB19+AB20+AB21+AB22)/T2),0)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2023-09-30</t>
        </is>
      </c>
      <c r="AO22" s="5">
        <f>ROUND(0.0,2)</f>
        <v/>
      </c>
      <c r="AP22" s="3">
        <f>ROUND(0.0,2)</f>
        <v/>
      </c>
      <c r="AQ22" s="3">
        <f>ROUND(0.0,2)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IFERROR(((0+AO11+AO12+AO13+AO14+AO15+AO16+AO17+AO19+AO20+AO21+AO22)/T2),0)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2023-09-30</t>
        </is>
      </c>
      <c r="BB22" s="5">
        <f>ROUND(0.0,2)</f>
        <v/>
      </c>
      <c r="BC22" s="3">
        <f>ROUND(0.0,2)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IFERROR(((0+BB11+BB12+BB13+BB14+BB15+BB16+BB17+BB19+BB20+BB21+BB22)/T2),0)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2023-09-30</t>
        </is>
      </c>
      <c r="BO22" s="5">
        <f>ROUND(0.0,2)</f>
        <v/>
      </c>
      <c r="BP22" s="3">
        <f>ROUND(0.0,2)</f>
        <v/>
      </c>
      <c r="BQ22" s="3">
        <f>ROUND(0.0,2)</f>
        <v/>
      </c>
      <c r="BR22" s="3">
        <f>ROUND(0.0,2)</f>
        <v/>
      </c>
      <c r="BS22" s="3">
        <f>ROUND(0.0,2)</f>
        <v/>
      </c>
      <c r="BT22" s="3">
        <f>ROUND(0.0,2)</f>
        <v/>
      </c>
      <c r="BU22" s="3">
        <f>ROUND(0.0,2)</f>
        <v/>
      </c>
      <c r="BV22" s="3">
        <f>ROUND(0.0,2)</f>
        <v/>
      </c>
      <c r="BW22" s="4">
        <f>IFERROR((BQ22/BP22),0)</f>
        <v/>
      </c>
      <c r="BX22" s="4">
        <f>IFERROR(((0+BO11+BO12+BO13+BO14+BO15+BO16+BO17+BO19+BO20+BO21+BO22)/T2),0)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2023-09-30</t>
        </is>
      </c>
      <c r="CB22" s="5">
        <f>ROUND(0.0,2)</f>
        <v/>
      </c>
      <c r="CC22" s="3">
        <f>ROUND(0.0,2)</f>
        <v/>
      </c>
      <c r="CD22" s="3">
        <f>ROUND(0.0,2)</f>
        <v/>
      </c>
      <c r="CE22" s="3">
        <f>ROUND(0.0,2)</f>
        <v/>
      </c>
      <c r="CF22" s="3">
        <f>ROUND(0.0,2)</f>
        <v/>
      </c>
      <c r="CG22" s="3">
        <f>ROUND(0.0,2)</f>
        <v/>
      </c>
      <c r="CH22" s="3">
        <f>ROUND(0.0,2)</f>
        <v/>
      </c>
      <c r="CI22" s="3">
        <f>ROUND(0.0,2)</f>
        <v/>
      </c>
      <c r="CJ22" s="4">
        <f>IFERROR((CD22/CC22),0)</f>
        <v/>
      </c>
      <c r="CK22" s="4">
        <f>IFERROR(((0+CB11+CB12+CB13+CB14+CB15+CB16+CB17+CB19+CB20+CB21+CB22)/T2),0)</f>
        <v/>
      </c>
      <c r="CL22" s="5">
        <f>IFERROR(ROUND(CB22/CD22,2),0)</f>
        <v/>
      </c>
      <c r="CM22" s="5">
        <f>IFERROR(ROUND(CB22/CE22,2),0)</f>
        <v/>
      </c>
    </row>
    <row r="23">
      <c r="A23" s="2" t="inlineStr">
        <is>
          <t>2023-10-01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IFERROR(((0+B11+B12+B13+B14+B15+B16+B17+B19+B20+B21+B22+B23)/T2),0)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2023-10-01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IFERROR(((0+O11+O12+O13+O14+O15+O16+O17+O19+O20+O21+O22+O23)/T2),0)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2023-10-01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IFERROR(((0+AB11+AB12+AB13+AB14+AB15+AB16+AB17+AB19+AB20+AB21+AB22+AB23)/T2),0)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2023-10-01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IFERROR(((0+AO11+AO12+AO13+AO14+AO15+AO16+AO17+AO19+AO20+AO21+AO22+AO23)/T2),0)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2023-10-01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IFERROR(((0+BB11+BB12+BB13+BB14+BB15+BB16+BB17+BB19+BB20+BB21+BB22+BB23)/T2),0)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2023-10-01</t>
        </is>
      </c>
      <c r="BO23" s="5">
        <f>ROUND(0.0,2)</f>
        <v/>
      </c>
      <c r="BP23" s="3">
        <f>ROUND(0.0,2)</f>
        <v/>
      </c>
      <c r="BQ23" s="3">
        <f>ROUND(0.0,2)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IFERROR(((0+BO11+BO12+BO13+BO14+BO15+BO16+BO17+BO19+BO20+BO21+BO22+BO23)/T2),0)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2023-10-01</t>
        </is>
      </c>
      <c r="CB23" s="5">
        <f>ROUND(0.0,2)</f>
        <v/>
      </c>
      <c r="CC23" s="3">
        <f>ROUND(0.0,2)</f>
        <v/>
      </c>
      <c r="CD23" s="3">
        <f>ROUND(0.0,2)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IFERROR(((0+CB11+CB12+CB13+CB14+CB15+CB16+CB17+CB19+CB20+CB21+CB22+CB23)/T2),0)</f>
        <v/>
      </c>
      <c r="CL23" s="5">
        <f>IFERROR(ROUND(CB23/CD23,2),0)</f>
        <v/>
      </c>
      <c r="CM23" s="5">
        <f>IFERROR(ROUND(CB23/CE23,2),0)</f>
        <v/>
      </c>
    </row>
    <row r="24">
      <c r="A24" s="2" t="inlineStr">
        <is>
          <t>2023-10-02</t>
        </is>
      </c>
      <c r="B24" s="5">
        <f>ROUND(0.0,2)</f>
        <v/>
      </c>
      <c r="C24" s="3">
        <f>ROUND(0.0,2)</f>
        <v/>
      </c>
      <c r="D24" s="3">
        <f>ROUND(0.0,2)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IFERROR(((0+B11+B12+B13+B14+B15+B16+B17+B19+B20+B21+B22+B23+B24)/T2),0)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2023-10-02</t>
        </is>
      </c>
      <c r="O24" s="5">
        <f>ROUND(0.0,2)</f>
        <v/>
      </c>
      <c r="P24" s="3">
        <f>ROUND(0.0,2)</f>
        <v/>
      </c>
      <c r="Q24" s="3">
        <f>ROUND(0.0,2)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IFERROR(((0+O11+O12+O13+O14+O15+O16+O17+O19+O20+O21+O22+O23+O24)/T2),0)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2023-10-02</t>
        </is>
      </c>
      <c r="AB24" s="5">
        <f>ROUND(0.0,2)</f>
        <v/>
      </c>
      <c r="AC24" s="3">
        <f>ROUND(0.0,2)</f>
        <v/>
      </c>
      <c r="AD24" s="3">
        <f>ROUND(0.0,2)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IFERROR(((0+AB11+AB12+AB13+AB14+AB15+AB16+AB17+AB19+AB20+AB21+AB22+AB23+AB24)/T2),0)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2023-10-02</t>
        </is>
      </c>
      <c r="AO24" s="5">
        <f>ROUND(0.0,2)</f>
        <v/>
      </c>
      <c r="AP24" s="3">
        <f>ROUND(0.0,2)</f>
        <v/>
      </c>
      <c r="AQ24" s="3">
        <f>ROUND(0.0,2)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IFERROR(((0+AO11+AO12+AO13+AO14+AO15+AO16+AO17+AO19+AO20+AO21+AO22+AO23+AO24)/T2),0)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2023-10-02</t>
        </is>
      </c>
      <c r="BB24" s="5">
        <f>ROUND(0.0,2)</f>
        <v/>
      </c>
      <c r="BC24" s="3">
        <f>ROUND(0.0,2)</f>
        <v/>
      </c>
      <c r="BD24" s="3">
        <f>ROUND(0.0,2)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IFERROR(((0+BB11+BB12+BB13+BB14+BB15+BB16+BB17+BB19+BB20+BB21+BB22+BB23+BB24)/T2),0)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2023-10-02</t>
        </is>
      </c>
      <c r="BO24" s="5">
        <f>ROUND(0.0,2)</f>
        <v/>
      </c>
      <c r="BP24" s="3">
        <f>ROUND(0.0,2)</f>
        <v/>
      </c>
      <c r="BQ24" s="3">
        <f>ROUND(0.0,2)</f>
        <v/>
      </c>
      <c r="BR24" s="3">
        <f>ROUND(0.0,2)</f>
        <v/>
      </c>
      <c r="BS24" s="3">
        <f>ROUND(0.0,2)</f>
        <v/>
      </c>
      <c r="BT24" s="3">
        <f>ROUND(0.0,2)</f>
        <v/>
      </c>
      <c r="BU24" s="3">
        <f>ROUND(0.0,2)</f>
        <v/>
      </c>
      <c r="BV24" s="3">
        <f>ROUND(0.0,2)</f>
        <v/>
      </c>
      <c r="BW24" s="4">
        <f>IFERROR((BQ24/BP24),0)</f>
        <v/>
      </c>
      <c r="BX24" s="4">
        <f>IFERROR(((0+BO11+BO12+BO13+BO14+BO15+BO16+BO17+BO19+BO20+BO21+BO22+BO23+BO24)/T2),0)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2023-10-02</t>
        </is>
      </c>
      <c r="CB24" s="5">
        <f>ROUND(0.0,2)</f>
        <v/>
      </c>
      <c r="CC24" s="3">
        <f>ROUND(0.0,2)</f>
        <v/>
      </c>
      <c r="CD24" s="3">
        <f>ROUND(0.0,2)</f>
        <v/>
      </c>
      <c r="CE24" s="3">
        <f>ROUND(0.0,2)</f>
        <v/>
      </c>
      <c r="CF24" s="3">
        <f>ROUND(0.0,2)</f>
        <v/>
      </c>
      <c r="CG24" s="3">
        <f>ROUND(0.0,2)</f>
        <v/>
      </c>
      <c r="CH24" s="3">
        <f>ROUND(0.0,2)</f>
        <v/>
      </c>
      <c r="CI24" s="3">
        <f>ROUND(0.0,2)</f>
        <v/>
      </c>
      <c r="CJ24" s="4">
        <f>IFERROR((CD24/CC24),0)</f>
        <v/>
      </c>
      <c r="CK24" s="4">
        <f>IFERROR(((0+CB11+CB12+CB13+CB14+CB15+CB16+CB17+CB19+CB20+CB21+CB22+CB23+CB24)/T2),0)</f>
        <v/>
      </c>
      <c r="CL24" s="5">
        <f>IFERROR(ROUND(CB24/CD24,2),0)</f>
        <v/>
      </c>
      <c r="CM24" s="5">
        <f>IFERROR(ROUND(CB24/CE24,2),0)</f>
        <v/>
      </c>
    </row>
    <row r="25">
      <c r="A25" s="2" t="inlineStr">
        <is>
          <t>2023-10-03</t>
        </is>
      </c>
      <c r="B25" s="5">
        <f>ROUND(0.0,2)</f>
        <v/>
      </c>
      <c r="C25" s="3">
        <f>ROUND(0.0,2)</f>
        <v/>
      </c>
      <c r="D25" s="3">
        <f>ROUND(0.0,2)</f>
        <v/>
      </c>
      <c r="E25" s="3">
        <f>ROUND(0.0,2)</f>
        <v/>
      </c>
      <c r="F25" s="3">
        <f>ROUND(0.0,2)</f>
        <v/>
      </c>
      <c r="G25" s="3">
        <f>ROUND(0.0,2)</f>
        <v/>
      </c>
      <c r="H25" s="3">
        <f>ROUND(0.0,2)</f>
        <v/>
      </c>
      <c r="I25" s="3">
        <f>ROUND(0.0,2)</f>
        <v/>
      </c>
      <c r="J25" s="4">
        <f>IFERROR((D25/C25),0)</f>
        <v/>
      </c>
      <c r="K25" s="4">
        <f>IFERROR(((0+B11+B12+B13+B14+B15+B16+B17+B19+B20+B21+B22+B23+B24+B25)/T2),0)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2023-10-03</t>
        </is>
      </c>
      <c r="O25" s="5">
        <f>ROUND(0.0,2)</f>
        <v/>
      </c>
      <c r="P25" s="3">
        <f>ROUND(0.0,2)</f>
        <v/>
      </c>
      <c r="Q25" s="3">
        <f>ROUND(0.0,2)</f>
        <v/>
      </c>
      <c r="R25" s="3">
        <f>ROUND(0.0,2)</f>
        <v/>
      </c>
      <c r="S25" s="3">
        <f>ROUND(0.0,2)</f>
        <v/>
      </c>
      <c r="T25" s="3">
        <f>ROUND(0.0,2)</f>
        <v/>
      </c>
      <c r="U25" s="3">
        <f>ROUND(0.0,2)</f>
        <v/>
      </c>
      <c r="V25" s="3">
        <f>ROUND(0.0,2)</f>
        <v/>
      </c>
      <c r="W25" s="4">
        <f>IFERROR((Q25/P25),0)</f>
        <v/>
      </c>
      <c r="X25" s="4">
        <f>IFERROR(((0+O11+O12+O13+O14+O15+O16+O17+O19+O20+O21+O22+O23+O24+O25)/T2),0)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2023-10-03</t>
        </is>
      </c>
      <c r="AB25" s="5">
        <f>ROUND(0.0,2)</f>
        <v/>
      </c>
      <c r="AC25" s="3">
        <f>ROUND(0.0,2)</f>
        <v/>
      </c>
      <c r="AD25" s="3">
        <f>ROUND(0.0,2)</f>
        <v/>
      </c>
      <c r="AE25" s="3">
        <f>ROUND(0.0,2)</f>
        <v/>
      </c>
      <c r="AF25" s="3">
        <f>ROUND(0.0,2)</f>
        <v/>
      </c>
      <c r="AG25" s="3">
        <f>ROUND(0.0,2)</f>
        <v/>
      </c>
      <c r="AH25" s="3">
        <f>ROUND(0.0,2)</f>
        <v/>
      </c>
      <c r="AI25" s="3">
        <f>ROUND(0.0,2)</f>
        <v/>
      </c>
      <c r="AJ25" s="4">
        <f>IFERROR((AD25/AC25),0)</f>
        <v/>
      </c>
      <c r="AK25" s="4">
        <f>IFERROR(((0+AB11+AB12+AB13+AB14+AB15+AB16+AB17+AB19+AB20+AB21+AB22+AB23+AB24+AB25)/T2),0)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2023-10-03</t>
        </is>
      </c>
      <c r="AO25" s="5">
        <f>ROUND(0.0,2)</f>
        <v/>
      </c>
      <c r="AP25" s="3">
        <f>ROUND(0.0,2)</f>
        <v/>
      </c>
      <c r="AQ25" s="3">
        <f>ROUND(0.0,2)</f>
        <v/>
      </c>
      <c r="AR25" s="3">
        <f>ROUND(0.0,2)</f>
        <v/>
      </c>
      <c r="AS25" s="3">
        <f>ROUND(0.0,2)</f>
        <v/>
      </c>
      <c r="AT25" s="3">
        <f>ROUND(0.0,2)</f>
        <v/>
      </c>
      <c r="AU25" s="3">
        <f>ROUND(0.0,2)</f>
        <v/>
      </c>
      <c r="AV25" s="3">
        <f>ROUND(0.0,2)</f>
        <v/>
      </c>
      <c r="AW25" s="4">
        <f>IFERROR((AQ25/AP25),0)</f>
        <v/>
      </c>
      <c r="AX25" s="4">
        <f>IFERROR(((0+AO11+AO12+AO13+AO14+AO15+AO16+AO17+AO19+AO20+AO21+AO22+AO23+AO24+AO25)/T2),0)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2023-10-03</t>
        </is>
      </c>
      <c r="BB25" s="5">
        <f>ROUND(0.0,2)</f>
        <v/>
      </c>
      <c r="BC25" s="3">
        <f>ROUND(0.0,2)</f>
        <v/>
      </c>
      <c r="BD25" s="3">
        <f>ROUND(0.0,2)</f>
        <v/>
      </c>
      <c r="BE25" s="3">
        <f>ROUND(0.0,2)</f>
        <v/>
      </c>
      <c r="BF25" s="3">
        <f>ROUND(0.0,2)</f>
        <v/>
      </c>
      <c r="BG25" s="3">
        <f>ROUND(0.0,2)</f>
        <v/>
      </c>
      <c r="BH25" s="3">
        <f>ROUND(0.0,2)</f>
        <v/>
      </c>
      <c r="BI25" s="3">
        <f>ROUND(0.0,2)</f>
        <v/>
      </c>
      <c r="BJ25" s="4">
        <f>IFERROR((BD25/BC25),0)</f>
        <v/>
      </c>
      <c r="BK25" s="4">
        <f>IFERROR(((0+BB11+BB12+BB13+BB14+BB15+BB16+BB17+BB19+BB20+BB21+BB22+BB23+BB24+BB25)/T2),0)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2023-10-03</t>
        </is>
      </c>
      <c r="BO25" s="5">
        <f>ROUND(0.0,2)</f>
        <v/>
      </c>
      <c r="BP25" s="3">
        <f>ROUND(0.0,2)</f>
        <v/>
      </c>
      <c r="BQ25" s="3">
        <f>ROUND(0.0,2)</f>
        <v/>
      </c>
      <c r="BR25" s="3">
        <f>ROUND(0.0,2)</f>
        <v/>
      </c>
      <c r="BS25" s="3">
        <f>ROUND(0.0,2)</f>
        <v/>
      </c>
      <c r="BT25" s="3">
        <f>ROUND(0.0,2)</f>
        <v/>
      </c>
      <c r="BU25" s="3">
        <f>ROUND(0.0,2)</f>
        <v/>
      </c>
      <c r="BV25" s="3">
        <f>ROUND(0.0,2)</f>
        <v/>
      </c>
      <c r="BW25" s="4">
        <f>IFERROR((BQ25/BP25),0)</f>
        <v/>
      </c>
      <c r="BX25" s="4">
        <f>IFERROR(((0+BO11+BO12+BO13+BO14+BO15+BO16+BO17+BO19+BO20+BO21+BO22+BO23+BO24+BO25)/T2),0)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2023-10-03</t>
        </is>
      </c>
      <c r="CB25" s="5">
        <f>ROUND(0.0,2)</f>
        <v/>
      </c>
      <c r="CC25" s="3">
        <f>ROUND(0.0,2)</f>
        <v/>
      </c>
      <c r="CD25" s="3">
        <f>ROUND(0.0,2)</f>
        <v/>
      </c>
      <c r="CE25" s="3">
        <f>ROUND(0.0,2)</f>
        <v/>
      </c>
      <c r="CF25" s="3">
        <f>ROUND(0.0,2)</f>
        <v/>
      </c>
      <c r="CG25" s="3">
        <f>ROUND(0.0,2)</f>
        <v/>
      </c>
      <c r="CH25" s="3">
        <f>ROUND(0.0,2)</f>
        <v/>
      </c>
      <c r="CI25" s="3">
        <f>ROUND(0.0,2)</f>
        <v/>
      </c>
      <c r="CJ25" s="4">
        <f>IFERROR((CD25/CC25),0)</f>
        <v/>
      </c>
      <c r="CK25" s="4">
        <f>IFERROR(((0+CB11+CB12+CB13+CB14+CB15+CB16+CB17+CB19+CB20+CB21+CB22+CB23+CB24+CB25)/T2),0)</f>
        <v/>
      </c>
      <c r="CL25" s="5">
        <f>IFERROR(ROUND(CB25/CD25,2),0)</f>
        <v/>
      </c>
      <c r="CM25" s="5">
        <f>IFERROR(ROUND(CB25/CE25,2),0)</f>
        <v/>
      </c>
    </row>
    <row r="26">
      <c r="A26" s="2" t="inlineStr">
        <is>
          <t>2 Weekly Total</t>
        </is>
      </c>
      <c r="B26" s="5">
        <f>ROUND(0.0,2)</f>
        <v/>
      </c>
      <c r="C26" s="3">
        <f>ROUND(0.0,2)</f>
        <v/>
      </c>
      <c r="D26" s="3">
        <f>ROUND(0.0,2)</f>
        <v/>
      </c>
      <c r="E26" s="3">
        <f>ROUND(0.0,2)</f>
        <v/>
      </c>
      <c r="F26" s="3">
        <f>ROUND(0.0,2)</f>
        <v/>
      </c>
      <c r="G26" s="3">
        <f>ROUND(0.0,2)</f>
        <v/>
      </c>
      <c r="H26" s="3">
        <f>ROUND(0.0,2)</f>
        <v/>
      </c>
      <c r="I26" s="3">
        <f>ROUND(0.0,2)</f>
        <v/>
      </c>
      <c r="J26" s="4">
        <f>IFERROR((D26/C26),0)</f>
        <v/>
      </c>
      <c r="K26" s="4">
        <f>IFERROR(((0+B11+B12+B13+B14+B15+B16+B17+B19+B20+B21+B22+B23+B24+B25)/T2),0)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 Weekly Total</t>
        </is>
      </c>
      <c r="O26" s="5">
        <f>ROUND(0.0,2)</f>
        <v/>
      </c>
      <c r="P26" s="3">
        <f>ROUND(0.0,2)</f>
        <v/>
      </c>
      <c r="Q26" s="3">
        <f>ROUND(0.0,2)</f>
        <v/>
      </c>
      <c r="R26" s="3">
        <f>ROUND(0.0,2)</f>
        <v/>
      </c>
      <c r="S26" s="3">
        <f>ROUND(0.0,2)</f>
        <v/>
      </c>
      <c r="T26" s="3">
        <f>ROUND(0.0,2)</f>
        <v/>
      </c>
      <c r="U26" s="3">
        <f>ROUND(0.0,2)</f>
        <v/>
      </c>
      <c r="V26" s="3">
        <f>ROUND(0.0,2)</f>
        <v/>
      </c>
      <c r="W26" s="4">
        <f>IFERROR((Q26/P26),0)</f>
        <v/>
      </c>
      <c r="X26" s="4">
        <f>IFERROR(((0+O11+O12+O13+O14+O15+O16+O17+O19+O20+O21+O22+O23+O24+O25)/T2),0)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 Weekly Total</t>
        </is>
      </c>
      <c r="AB26" s="5">
        <f>ROUND(0.0,2)</f>
        <v/>
      </c>
      <c r="AC26" s="3">
        <f>ROUND(0.0,2)</f>
        <v/>
      </c>
      <c r="AD26" s="3">
        <f>ROUND(0.0,2)</f>
        <v/>
      </c>
      <c r="AE26" s="3">
        <f>ROUND(0.0,2)</f>
        <v/>
      </c>
      <c r="AF26" s="3">
        <f>ROUND(0.0,2)</f>
        <v/>
      </c>
      <c r="AG26" s="3">
        <f>ROUND(0.0,2)</f>
        <v/>
      </c>
      <c r="AH26" s="3">
        <f>ROUND(0.0,2)</f>
        <v/>
      </c>
      <c r="AI26" s="3">
        <f>ROUND(0.0,2)</f>
        <v/>
      </c>
      <c r="AJ26" s="4">
        <f>IFERROR((AD26/AC26),0)</f>
        <v/>
      </c>
      <c r="AK26" s="4">
        <f>IFERROR(((0+AB11+AB12+AB13+AB14+AB15+AB16+AB17+AB19+AB20+AB21+AB22+AB23+AB24+AB25)/T2),0)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 Weekly Total</t>
        </is>
      </c>
      <c r="AO26" s="5">
        <f>ROUND(0.0,2)</f>
        <v/>
      </c>
      <c r="AP26" s="3">
        <f>ROUND(0.0,2)</f>
        <v/>
      </c>
      <c r="AQ26" s="3">
        <f>ROUND(0.0,2)</f>
        <v/>
      </c>
      <c r="AR26" s="3">
        <f>ROUND(0.0,2)</f>
        <v/>
      </c>
      <c r="AS26" s="3">
        <f>ROUND(0.0,2)</f>
        <v/>
      </c>
      <c r="AT26" s="3">
        <f>ROUND(0.0,2)</f>
        <v/>
      </c>
      <c r="AU26" s="3">
        <f>ROUND(0.0,2)</f>
        <v/>
      </c>
      <c r="AV26" s="3">
        <f>ROUND(0.0,2)</f>
        <v/>
      </c>
      <c r="AW26" s="4">
        <f>IFERROR((AQ26/AP26),0)</f>
        <v/>
      </c>
      <c r="AX26" s="4">
        <f>IFERROR(((0+AO11+AO12+AO13+AO14+AO15+AO16+AO17+AO19+AO20+AO21+AO22+AO23+AO24+AO25)/T2),0)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 Weekly Total</t>
        </is>
      </c>
      <c r="BB26" s="5">
        <f>ROUND(0.0,2)</f>
        <v/>
      </c>
      <c r="BC26" s="3">
        <f>ROUND(0.0,2)</f>
        <v/>
      </c>
      <c r="BD26" s="3">
        <f>ROUND(0.0,2)</f>
        <v/>
      </c>
      <c r="BE26" s="3">
        <f>ROUND(0.0,2)</f>
        <v/>
      </c>
      <c r="BF26" s="3">
        <f>ROUND(0.0,2)</f>
        <v/>
      </c>
      <c r="BG26" s="3">
        <f>ROUND(0.0,2)</f>
        <v/>
      </c>
      <c r="BH26" s="3">
        <f>ROUND(0.0,2)</f>
        <v/>
      </c>
      <c r="BI26" s="3">
        <f>ROUND(0.0,2)</f>
        <v/>
      </c>
      <c r="BJ26" s="4">
        <f>IFERROR((BD26/BC26),0)</f>
        <v/>
      </c>
      <c r="BK26" s="4">
        <f>IFERROR(((0+BB11+BB12+BB13+BB14+BB15+BB16+BB17+BB19+BB20+BB21+BB22+BB23+BB24+BB25)/T2),0)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 Weekly Total</t>
        </is>
      </c>
      <c r="BO26" s="5">
        <f>ROUND(0.0,2)</f>
        <v/>
      </c>
      <c r="BP26" s="3">
        <f>ROUND(0.0,2)</f>
        <v/>
      </c>
      <c r="BQ26" s="3">
        <f>ROUND(0.0,2)</f>
        <v/>
      </c>
      <c r="BR26" s="3">
        <f>ROUND(0.0,2)</f>
        <v/>
      </c>
      <c r="BS26" s="3">
        <f>ROUND(0.0,2)</f>
        <v/>
      </c>
      <c r="BT26" s="3">
        <f>ROUND(0.0,2)</f>
        <v/>
      </c>
      <c r="BU26" s="3">
        <f>ROUND(0.0,2)</f>
        <v/>
      </c>
      <c r="BV26" s="3">
        <f>ROUND(0.0,2)</f>
        <v/>
      </c>
      <c r="BW26" s="4">
        <f>IFERROR((BQ26/BP26),0)</f>
        <v/>
      </c>
      <c r="BX26" s="4">
        <f>IFERROR(((0+BO11+BO12+BO13+BO14+BO15+BO16+BO17+BO19+BO20+BO21+BO22+BO23+BO24+BO25)/T2),0)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 Weekly Total</t>
        </is>
      </c>
      <c r="CB26" s="5">
        <f>ROUND(0.0,2)</f>
        <v/>
      </c>
      <c r="CC26" s="3">
        <f>ROUND(0.0,2)</f>
        <v/>
      </c>
      <c r="CD26" s="3">
        <f>ROUND(0.0,2)</f>
        <v/>
      </c>
      <c r="CE26" s="3">
        <f>ROUND(0.0,2)</f>
        <v/>
      </c>
      <c r="CF26" s="3">
        <f>ROUND(0.0,2)</f>
        <v/>
      </c>
      <c r="CG26" s="3">
        <f>ROUND(0.0,2)</f>
        <v/>
      </c>
      <c r="CH26" s="3">
        <f>ROUND(0.0,2)</f>
        <v/>
      </c>
      <c r="CI26" s="3">
        <f>ROUND(0.0,2)</f>
        <v/>
      </c>
      <c r="CJ26" s="4">
        <f>IFERROR((CD26/CC26),0)</f>
        <v/>
      </c>
      <c r="CK26" s="4">
        <f>IFERROR(((0+CB11+CB12+CB13+CB14+CB15+CB16+CB17+CB19+CB20+CB21+CB22+CB23+CB24+CB25)/T2),0)</f>
        <v/>
      </c>
      <c r="CL26" s="5">
        <f>IFERROR(ROUND(CB26/CD26,2),0)</f>
        <v/>
      </c>
      <c r="CM26" s="5">
        <f>IFERROR(ROUND(CB26/CE26,2),0)</f>
        <v/>
      </c>
    </row>
    <row r="27">
      <c r="A27" s="2" t="inlineStr">
        <is>
          <t>2023-10-04</t>
        </is>
      </c>
      <c r="B27" s="5">
        <f>ROUND(0.0,2)</f>
        <v/>
      </c>
      <c r="C27" s="3">
        <f>ROUND(0.0,2)</f>
        <v/>
      </c>
      <c r="D27" s="3">
        <f>ROUND(0.0,2)</f>
        <v/>
      </c>
      <c r="E27" s="3">
        <f>ROUND(0.0,2)</f>
        <v/>
      </c>
      <c r="F27" s="3">
        <f>ROUND(0.0,2)</f>
        <v/>
      </c>
      <c r="G27" s="3">
        <f>ROUND(0.0,2)</f>
        <v/>
      </c>
      <c r="H27" s="3">
        <f>ROUND(0.0,2)</f>
        <v/>
      </c>
      <c r="I27" s="3">
        <f>ROUND(0.0,2)</f>
        <v/>
      </c>
      <c r="J27" s="4">
        <f>IFERROR((D27/C27),0)</f>
        <v/>
      </c>
      <c r="K27" s="4">
        <f>IFERROR(((0+B11+B12+B13+B14+B15+B16+B17+B19+B20+B21+B22+B23+B24+B25+B27)/T2),0)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2023-10-04</t>
        </is>
      </c>
      <c r="O27" s="5">
        <f>ROUND(0.0,2)</f>
        <v/>
      </c>
      <c r="P27" s="3">
        <f>ROUND(0.0,2)</f>
        <v/>
      </c>
      <c r="Q27" s="3">
        <f>ROUND(0.0,2)</f>
        <v/>
      </c>
      <c r="R27" s="3">
        <f>ROUND(0.0,2)</f>
        <v/>
      </c>
      <c r="S27" s="3">
        <f>ROUND(0.0,2)</f>
        <v/>
      </c>
      <c r="T27" s="3">
        <f>ROUND(0.0,2)</f>
        <v/>
      </c>
      <c r="U27" s="3">
        <f>ROUND(0.0,2)</f>
        <v/>
      </c>
      <c r="V27" s="3">
        <f>ROUND(0.0,2)</f>
        <v/>
      </c>
      <c r="W27" s="4">
        <f>IFERROR((Q27/P27),0)</f>
        <v/>
      </c>
      <c r="X27" s="4">
        <f>IFERROR(((0+O11+O12+O13+O14+O15+O16+O17+O19+O20+O21+O22+O23+O24+O25+O27)/T2),0)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2023-10-04</t>
        </is>
      </c>
      <c r="AB27" s="5">
        <f>ROUND(0.0,2)</f>
        <v/>
      </c>
      <c r="AC27" s="3">
        <f>ROUND(0.0,2)</f>
        <v/>
      </c>
      <c r="AD27" s="3">
        <f>ROUND(0.0,2)</f>
        <v/>
      </c>
      <c r="AE27" s="3">
        <f>ROUND(0.0,2)</f>
        <v/>
      </c>
      <c r="AF27" s="3">
        <f>ROUND(0.0,2)</f>
        <v/>
      </c>
      <c r="AG27" s="3">
        <f>ROUND(0.0,2)</f>
        <v/>
      </c>
      <c r="AH27" s="3">
        <f>ROUND(0.0,2)</f>
        <v/>
      </c>
      <c r="AI27" s="3">
        <f>ROUND(0.0,2)</f>
        <v/>
      </c>
      <c r="AJ27" s="4">
        <f>IFERROR((AD27/AC27),0)</f>
        <v/>
      </c>
      <c r="AK27" s="4">
        <f>IFERROR(((0+AB11+AB12+AB13+AB14+AB15+AB16+AB17+AB19+AB20+AB21+AB22+AB23+AB24+AB25+AB27)/T2),0)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2023-10-04</t>
        </is>
      </c>
      <c r="AO27" s="5">
        <f>ROUND(0.0,2)</f>
        <v/>
      </c>
      <c r="AP27" s="3">
        <f>ROUND(0.0,2)</f>
        <v/>
      </c>
      <c r="AQ27" s="3">
        <f>ROUND(0.0,2)</f>
        <v/>
      </c>
      <c r="AR27" s="3">
        <f>ROUND(0.0,2)</f>
        <v/>
      </c>
      <c r="AS27" s="3">
        <f>ROUND(0.0,2)</f>
        <v/>
      </c>
      <c r="AT27" s="3">
        <f>ROUND(0.0,2)</f>
        <v/>
      </c>
      <c r="AU27" s="3">
        <f>ROUND(0.0,2)</f>
        <v/>
      </c>
      <c r="AV27" s="3">
        <f>ROUND(0.0,2)</f>
        <v/>
      </c>
      <c r="AW27" s="4">
        <f>IFERROR((AQ27/AP27),0)</f>
        <v/>
      </c>
      <c r="AX27" s="4">
        <f>IFERROR(((0+AO11+AO12+AO13+AO14+AO15+AO16+AO17+AO19+AO20+AO21+AO22+AO23+AO24+AO25+AO27)/T2),0)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2023-10-04</t>
        </is>
      </c>
      <c r="BB27" s="5">
        <f>ROUND(0.0,2)</f>
        <v/>
      </c>
      <c r="BC27" s="3">
        <f>ROUND(0.0,2)</f>
        <v/>
      </c>
      <c r="BD27" s="3">
        <f>ROUND(0.0,2)</f>
        <v/>
      </c>
      <c r="BE27" s="3">
        <f>ROUND(0.0,2)</f>
        <v/>
      </c>
      <c r="BF27" s="3">
        <f>ROUND(0.0,2)</f>
        <v/>
      </c>
      <c r="BG27" s="3">
        <f>ROUND(0.0,2)</f>
        <v/>
      </c>
      <c r="BH27" s="3">
        <f>ROUND(0.0,2)</f>
        <v/>
      </c>
      <c r="BI27" s="3">
        <f>ROUND(0.0,2)</f>
        <v/>
      </c>
      <c r="BJ27" s="4">
        <f>IFERROR((BD27/BC27),0)</f>
        <v/>
      </c>
      <c r="BK27" s="4">
        <f>IFERROR(((0+BB11+BB12+BB13+BB14+BB15+BB16+BB17+BB19+BB20+BB21+BB22+BB23+BB24+BB25+BB27)/T2),0)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2023-10-04</t>
        </is>
      </c>
      <c r="BO27" s="5">
        <f>ROUND(0.0,2)</f>
        <v/>
      </c>
      <c r="BP27" s="3">
        <f>ROUND(0.0,2)</f>
        <v/>
      </c>
      <c r="BQ27" s="3">
        <f>ROUND(0.0,2)</f>
        <v/>
      </c>
      <c r="BR27" s="3">
        <f>ROUND(0.0,2)</f>
        <v/>
      </c>
      <c r="BS27" s="3">
        <f>ROUND(0.0,2)</f>
        <v/>
      </c>
      <c r="BT27" s="3">
        <f>ROUND(0.0,2)</f>
        <v/>
      </c>
      <c r="BU27" s="3">
        <f>ROUND(0.0,2)</f>
        <v/>
      </c>
      <c r="BV27" s="3">
        <f>ROUND(0.0,2)</f>
        <v/>
      </c>
      <c r="BW27" s="4">
        <f>IFERROR((BQ27/BP27),0)</f>
        <v/>
      </c>
      <c r="BX27" s="4">
        <f>IFERROR(((0+BO11+BO12+BO13+BO14+BO15+BO16+BO17+BO19+BO20+BO21+BO22+BO23+BO24+BO25+BO27)/T2),0)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2023-10-04</t>
        </is>
      </c>
      <c r="CB27" s="5">
        <f>ROUND(0.0,2)</f>
        <v/>
      </c>
      <c r="CC27" s="3">
        <f>ROUND(0.0,2)</f>
        <v/>
      </c>
      <c r="CD27" s="3">
        <f>ROUND(0.0,2)</f>
        <v/>
      </c>
      <c r="CE27" s="3">
        <f>ROUND(0.0,2)</f>
        <v/>
      </c>
      <c r="CF27" s="3">
        <f>ROUND(0.0,2)</f>
        <v/>
      </c>
      <c r="CG27" s="3">
        <f>ROUND(0.0,2)</f>
        <v/>
      </c>
      <c r="CH27" s="3">
        <f>ROUND(0.0,2)</f>
        <v/>
      </c>
      <c r="CI27" s="3">
        <f>ROUND(0.0,2)</f>
        <v/>
      </c>
      <c r="CJ27" s="4">
        <f>IFERROR((CD27/CC27),0)</f>
        <v/>
      </c>
      <c r="CK27" s="4">
        <f>IFERROR(((0+CB11+CB12+CB13+CB14+CB15+CB16+CB17+CB19+CB20+CB21+CB22+CB23+CB24+CB25+CB27)/T2),0)</f>
        <v/>
      </c>
      <c r="CL27" s="5">
        <f>IFERROR(ROUND(CB27/CD27,2),0)</f>
        <v/>
      </c>
      <c r="CM27" s="5">
        <f>IFERROR(ROUND(CB27/CE27,2),0)</f>
        <v/>
      </c>
    </row>
    <row r="28">
      <c r="A28" s="2" t="inlineStr">
        <is>
          <t>2023-10-05</t>
        </is>
      </c>
      <c r="B28" s="5">
        <f>ROUND(0.0,2)</f>
        <v/>
      </c>
      <c r="C28" s="3">
        <f>ROUND(0.0,2)</f>
        <v/>
      </c>
      <c r="D28" s="3">
        <f>ROUND(0.0,2)</f>
        <v/>
      </c>
      <c r="E28" s="3">
        <f>ROUND(0.0,2)</f>
        <v/>
      </c>
      <c r="F28" s="3">
        <f>ROUND(0.0,2)</f>
        <v/>
      </c>
      <c r="G28" s="3">
        <f>ROUND(0.0,2)</f>
        <v/>
      </c>
      <c r="H28" s="3">
        <f>ROUND(0.0,2)</f>
        <v/>
      </c>
      <c r="I28" s="3">
        <f>ROUND(0.0,2)</f>
        <v/>
      </c>
      <c r="J28" s="4">
        <f>IFERROR((D28/C28),0)</f>
        <v/>
      </c>
      <c r="K28" s="4">
        <f>IFERROR(((0+B11+B12+B13+B14+B15+B16+B17+B19+B20+B21+B22+B23+B24+B25+B27+B28)/T2),0)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2023-10-05</t>
        </is>
      </c>
      <c r="O28" s="5">
        <f>ROUND(0.0,2)</f>
        <v/>
      </c>
      <c r="P28" s="3">
        <f>ROUND(0.0,2)</f>
        <v/>
      </c>
      <c r="Q28" s="3">
        <f>ROUND(0.0,2)</f>
        <v/>
      </c>
      <c r="R28" s="3">
        <f>ROUND(0.0,2)</f>
        <v/>
      </c>
      <c r="S28" s="3">
        <f>ROUND(0.0,2)</f>
        <v/>
      </c>
      <c r="T28" s="3">
        <f>ROUND(0.0,2)</f>
        <v/>
      </c>
      <c r="U28" s="3">
        <f>ROUND(0.0,2)</f>
        <v/>
      </c>
      <c r="V28" s="3">
        <f>ROUND(0.0,2)</f>
        <v/>
      </c>
      <c r="W28" s="4">
        <f>IFERROR((Q28/P28),0)</f>
        <v/>
      </c>
      <c r="X28" s="4">
        <f>IFERROR(((0+O11+O12+O13+O14+O15+O16+O17+O19+O20+O21+O22+O23+O24+O25+O27+O28)/T2),0)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2023-10-05</t>
        </is>
      </c>
      <c r="AB28" s="5">
        <f>ROUND(0.0,2)</f>
        <v/>
      </c>
      <c r="AC28" s="3">
        <f>ROUND(0.0,2)</f>
        <v/>
      </c>
      <c r="AD28" s="3">
        <f>ROUND(0.0,2)</f>
        <v/>
      </c>
      <c r="AE28" s="3">
        <f>ROUND(0.0,2)</f>
        <v/>
      </c>
      <c r="AF28" s="3">
        <f>ROUND(0.0,2)</f>
        <v/>
      </c>
      <c r="AG28" s="3">
        <f>ROUND(0.0,2)</f>
        <v/>
      </c>
      <c r="AH28" s="3">
        <f>ROUND(0.0,2)</f>
        <v/>
      </c>
      <c r="AI28" s="3">
        <f>ROUND(0.0,2)</f>
        <v/>
      </c>
      <c r="AJ28" s="4">
        <f>IFERROR((AD28/AC28),0)</f>
        <v/>
      </c>
      <c r="AK28" s="4">
        <f>IFERROR(((0+AB11+AB12+AB13+AB14+AB15+AB16+AB17+AB19+AB20+AB21+AB22+AB23+AB24+AB25+AB27+AB28)/T2),0)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2023-10-05</t>
        </is>
      </c>
      <c r="AO28" s="5">
        <f>ROUND(0.0,2)</f>
        <v/>
      </c>
      <c r="AP28" s="3">
        <f>ROUND(0.0,2)</f>
        <v/>
      </c>
      <c r="AQ28" s="3">
        <f>ROUND(0.0,2)</f>
        <v/>
      </c>
      <c r="AR28" s="3">
        <f>ROUND(0.0,2)</f>
        <v/>
      </c>
      <c r="AS28" s="3">
        <f>ROUND(0.0,2)</f>
        <v/>
      </c>
      <c r="AT28" s="3">
        <f>ROUND(0.0,2)</f>
        <v/>
      </c>
      <c r="AU28" s="3">
        <f>ROUND(0.0,2)</f>
        <v/>
      </c>
      <c r="AV28" s="3">
        <f>ROUND(0.0,2)</f>
        <v/>
      </c>
      <c r="AW28" s="4">
        <f>IFERROR((AQ28/AP28),0)</f>
        <v/>
      </c>
      <c r="AX28" s="4">
        <f>IFERROR(((0+AO11+AO12+AO13+AO14+AO15+AO16+AO17+AO19+AO20+AO21+AO22+AO23+AO24+AO25+AO27+AO28)/T2),0)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2023-10-05</t>
        </is>
      </c>
      <c r="BB28" s="5">
        <f>ROUND(0.0,2)</f>
        <v/>
      </c>
      <c r="BC28" s="3">
        <f>ROUND(0.0,2)</f>
        <v/>
      </c>
      <c r="BD28" s="3">
        <f>ROUND(0.0,2)</f>
        <v/>
      </c>
      <c r="BE28" s="3">
        <f>ROUND(0.0,2)</f>
        <v/>
      </c>
      <c r="BF28" s="3">
        <f>ROUND(0.0,2)</f>
        <v/>
      </c>
      <c r="BG28" s="3">
        <f>ROUND(0.0,2)</f>
        <v/>
      </c>
      <c r="BH28" s="3">
        <f>ROUND(0.0,2)</f>
        <v/>
      </c>
      <c r="BI28" s="3">
        <f>ROUND(0.0,2)</f>
        <v/>
      </c>
      <c r="BJ28" s="4">
        <f>IFERROR((BD28/BC28),0)</f>
        <v/>
      </c>
      <c r="BK28" s="4">
        <f>IFERROR(((0+BB11+BB12+BB13+BB14+BB15+BB16+BB17+BB19+BB20+BB21+BB22+BB23+BB24+BB25+BB27+BB28)/T2),0)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2023-10-05</t>
        </is>
      </c>
      <c r="BO28" s="5">
        <f>ROUND(0.0,2)</f>
        <v/>
      </c>
      <c r="BP28" s="3">
        <f>ROUND(0.0,2)</f>
        <v/>
      </c>
      <c r="BQ28" s="3">
        <f>ROUND(0.0,2)</f>
        <v/>
      </c>
      <c r="BR28" s="3">
        <f>ROUND(0.0,2)</f>
        <v/>
      </c>
      <c r="BS28" s="3">
        <f>ROUND(0.0,2)</f>
        <v/>
      </c>
      <c r="BT28" s="3">
        <f>ROUND(0.0,2)</f>
        <v/>
      </c>
      <c r="BU28" s="3">
        <f>ROUND(0.0,2)</f>
        <v/>
      </c>
      <c r="BV28" s="3">
        <f>ROUND(0.0,2)</f>
        <v/>
      </c>
      <c r="BW28" s="4">
        <f>IFERROR((BQ28/BP28),0)</f>
        <v/>
      </c>
      <c r="BX28" s="4">
        <f>IFERROR(((0+BO11+BO12+BO13+BO14+BO15+BO16+BO17+BO19+BO20+BO21+BO22+BO23+BO24+BO25+BO27+BO28)/T2),0)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2023-10-05</t>
        </is>
      </c>
      <c r="CB28" s="5">
        <f>ROUND(0.0,2)</f>
        <v/>
      </c>
      <c r="CC28" s="3">
        <f>ROUND(0.0,2)</f>
        <v/>
      </c>
      <c r="CD28" s="3">
        <f>ROUND(0.0,2)</f>
        <v/>
      </c>
      <c r="CE28" s="3">
        <f>ROUND(0.0,2)</f>
        <v/>
      </c>
      <c r="CF28" s="3">
        <f>ROUND(0.0,2)</f>
        <v/>
      </c>
      <c r="CG28" s="3">
        <f>ROUND(0.0,2)</f>
        <v/>
      </c>
      <c r="CH28" s="3">
        <f>ROUND(0.0,2)</f>
        <v/>
      </c>
      <c r="CI28" s="3">
        <f>ROUND(0.0,2)</f>
        <v/>
      </c>
      <c r="CJ28" s="4">
        <f>IFERROR((CD28/CC28),0)</f>
        <v/>
      </c>
      <c r="CK28" s="4">
        <f>IFERROR(((0+CB11+CB12+CB13+CB14+CB15+CB16+CB17+CB19+CB20+CB21+CB22+CB23+CB24+CB25+CB27+CB28)/T2),0)</f>
        <v/>
      </c>
      <c r="CL28" s="5">
        <f>IFERROR(ROUND(CB28/CD28,2),0)</f>
        <v/>
      </c>
      <c r="CM28" s="5">
        <f>IFERROR(ROUND(CB28/CE28,2),0)</f>
        <v/>
      </c>
    </row>
    <row r="29">
      <c r="A29" s="2" t="inlineStr">
        <is>
          <t>2023-10-06</t>
        </is>
      </c>
      <c r="B29" s="5">
        <f>ROUND(0.0,2)</f>
        <v/>
      </c>
      <c r="C29" s="3">
        <f>ROUND(0.0,2)</f>
        <v/>
      </c>
      <c r="D29" s="3">
        <f>ROUND(0.0,2)</f>
        <v/>
      </c>
      <c r="E29" s="3">
        <f>ROUND(0.0,2)</f>
        <v/>
      </c>
      <c r="F29" s="3">
        <f>ROUND(0.0,2)</f>
        <v/>
      </c>
      <c r="G29" s="3">
        <f>ROUND(0.0,2)</f>
        <v/>
      </c>
      <c r="H29" s="3">
        <f>ROUND(0.0,2)</f>
        <v/>
      </c>
      <c r="I29" s="3">
        <f>ROUND(0.0,2)</f>
        <v/>
      </c>
      <c r="J29" s="4">
        <f>IFERROR((D29/C29),0)</f>
        <v/>
      </c>
      <c r="K29" s="4">
        <f>IFERROR(((0+B11+B12+B13+B14+B15+B16+B17+B19+B20+B21+B22+B23+B24+B25+B27+B28+B29)/T2),0)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2023-10-06</t>
        </is>
      </c>
      <c r="O29" s="5">
        <f>ROUND(0.0,2)</f>
        <v/>
      </c>
      <c r="P29" s="3">
        <f>ROUND(0.0,2)</f>
        <v/>
      </c>
      <c r="Q29" s="3">
        <f>ROUND(0.0,2)</f>
        <v/>
      </c>
      <c r="R29" s="3">
        <f>ROUND(0.0,2)</f>
        <v/>
      </c>
      <c r="S29" s="3">
        <f>ROUND(0.0,2)</f>
        <v/>
      </c>
      <c r="T29" s="3">
        <f>ROUND(0.0,2)</f>
        <v/>
      </c>
      <c r="U29" s="3">
        <f>ROUND(0.0,2)</f>
        <v/>
      </c>
      <c r="V29" s="3">
        <f>ROUND(0.0,2)</f>
        <v/>
      </c>
      <c r="W29" s="4">
        <f>IFERROR((Q29/P29),0)</f>
        <v/>
      </c>
      <c r="X29" s="4">
        <f>IFERROR(((0+O11+O12+O13+O14+O15+O16+O17+O19+O20+O21+O22+O23+O24+O25+O27+O28+O29)/T2),0)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2023-10-06</t>
        </is>
      </c>
      <c r="AB29" s="5">
        <f>ROUND(0.0,2)</f>
        <v/>
      </c>
      <c r="AC29" s="3">
        <f>ROUND(0.0,2)</f>
        <v/>
      </c>
      <c r="AD29" s="3">
        <f>ROUND(0.0,2)</f>
        <v/>
      </c>
      <c r="AE29" s="3">
        <f>ROUND(0.0,2)</f>
        <v/>
      </c>
      <c r="AF29" s="3">
        <f>ROUND(0.0,2)</f>
        <v/>
      </c>
      <c r="AG29" s="3">
        <f>ROUND(0.0,2)</f>
        <v/>
      </c>
      <c r="AH29" s="3">
        <f>ROUND(0.0,2)</f>
        <v/>
      </c>
      <c r="AI29" s="3">
        <f>ROUND(0.0,2)</f>
        <v/>
      </c>
      <c r="AJ29" s="4">
        <f>IFERROR((AD29/AC29),0)</f>
        <v/>
      </c>
      <c r="AK29" s="4">
        <f>IFERROR(((0+AB11+AB12+AB13+AB14+AB15+AB16+AB17+AB19+AB20+AB21+AB22+AB23+AB24+AB25+AB27+AB28+AB29)/T2),0)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2023-10-06</t>
        </is>
      </c>
      <c r="AO29" s="5">
        <f>ROUND(0.0,2)</f>
        <v/>
      </c>
      <c r="AP29" s="3">
        <f>ROUND(0.0,2)</f>
        <v/>
      </c>
      <c r="AQ29" s="3">
        <f>ROUND(0.0,2)</f>
        <v/>
      </c>
      <c r="AR29" s="3">
        <f>ROUND(0.0,2)</f>
        <v/>
      </c>
      <c r="AS29" s="3">
        <f>ROUND(0.0,2)</f>
        <v/>
      </c>
      <c r="AT29" s="3">
        <f>ROUND(0.0,2)</f>
        <v/>
      </c>
      <c r="AU29" s="3">
        <f>ROUND(0.0,2)</f>
        <v/>
      </c>
      <c r="AV29" s="3">
        <f>ROUND(0.0,2)</f>
        <v/>
      </c>
      <c r="AW29" s="4">
        <f>IFERROR((AQ29/AP29),0)</f>
        <v/>
      </c>
      <c r="AX29" s="4">
        <f>IFERROR(((0+AO11+AO12+AO13+AO14+AO15+AO16+AO17+AO19+AO20+AO21+AO22+AO23+AO24+AO25+AO27+AO28+AO29)/T2),0)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2023-10-06</t>
        </is>
      </c>
      <c r="BB29" s="5">
        <f>ROUND(0.0,2)</f>
        <v/>
      </c>
      <c r="BC29" s="3">
        <f>ROUND(0.0,2)</f>
        <v/>
      </c>
      <c r="BD29" s="3">
        <f>ROUND(0.0,2)</f>
        <v/>
      </c>
      <c r="BE29" s="3">
        <f>ROUND(0.0,2)</f>
        <v/>
      </c>
      <c r="BF29" s="3">
        <f>ROUND(0.0,2)</f>
        <v/>
      </c>
      <c r="BG29" s="3">
        <f>ROUND(0.0,2)</f>
        <v/>
      </c>
      <c r="BH29" s="3">
        <f>ROUND(0.0,2)</f>
        <v/>
      </c>
      <c r="BI29" s="3">
        <f>ROUND(0.0,2)</f>
        <v/>
      </c>
      <c r="BJ29" s="4">
        <f>IFERROR((BD29/BC29),0)</f>
        <v/>
      </c>
      <c r="BK29" s="4">
        <f>IFERROR(((0+BB11+BB12+BB13+BB14+BB15+BB16+BB17+BB19+BB20+BB21+BB22+BB23+BB24+BB25+BB27+BB28+BB29)/T2),0)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2023-10-06</t>
        </is>
      </c>
      <c r="BO29" s="5">
        <f>ROUND(0.0,2)</f>
        <v/>
      </c>
      <c r="BP29" s="3">
        <f>ROUND(0.0,2)</f>
        <v/>
      </c>
      <c r="BQ29" s="3">
        <f>ROUND(0.0,2)</f>
        <v/>
      </c>
      <c r="BR29" s="3">
        <f>ROUND(0.0,2)</f>
        <v/>
      </c>
      <c r="BS29" s="3">
        <f>ROUND(0.0,2)</f>
        <v/>
      </c>
      <c r="BT29" s="3">
        <f>ROUND(0.0,2)</f>
        <v/>
      </c>
      <c r="BU29" s="3">
        <f>ROUND(0.0,2)</f>
        <v/>
      </c>
      <c r="BV29" s="3">
        <f>ROUND(0.0,2)</f>
        <v/>
      </c>
      <c r="BW29" s="4">
        <f>IFERROR((BQ29/BP29),0)</f>
        <v/>
      </c>
      <c r="BX29" s="4">
        <f>IFERROR(((0+BO11+BO12+BO13+BO14+BO15+BO16+BO17+BO19+BO20+BO21+BO22+BO23+BO24+BO25+BO27+BO28+BO29)/T2),0)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2023-10-06</t>
        </is>
      </c>
      <c r="CB29" s="5">
        <f>ROUND(0.0,2)</f>
        <v/>
      </c>
      <c r="CC29" s="3">
        <f>ROUND(0.0,2)</f>
        <v/>
      </c>
      <c r="CD29" s="3">
        <f>ROUND(0.0,2)</f>
        <v/>
      </c>
      <c r="CE29" s="3">
        <f>ROUND(0.0,2)</f>
        <v/>
      </c>
      <c r="CF29" s="3">
        <f>ROUND(0.0,2)</f>
        <v/>
      </c>
      <c r="CG29" s="3">
        <f>ROUND(0.0,2)</f>
        <v/>
      </c>
      <c r="CH29" s="3">
        <f>ROUND(0.0,2)</f>
        <v/>
      </c>
      <c r="CI29" s="3">
        <f>ROUND(0.0,2)</f>
        <v/>
      </c>
      <c r="CJ29" s="4">
        <f>IFERROR((CD29/CC29),0)</f>
        <v/>
      </c>
      <c r="CK29" s="4">
        <f>IFERROR(((0+CB11+CB12+CB13+CB14+CB15+CB16+CB17+CB19+CB20+CB21+CB22+CB23+CB24+CB25+CB27+CB28+CB29)/T2),0)</f>
        <v/>
      </c>
      <c r="CL29" s="5">
        <f>IFERROR(ROUND(CB29/CD29,2),0)</f>
        <v/>
      </c>
      <c r="CM29" s="5">
        <f>IFERROR(ROUND(CB29/CE29,2),0)</f>
        <v/>
      </c>
    </row>
    <row r="30">
      <c r="A30" s="2" t="inlineStr">
        <is>
          <t>2023-10-07</t>
        </is>
      </c>
      <c r="B30" s="5">
        <f>ROUND(0.0,2)</f>
        <v/>
      </c>
      <c r="C30" s="3">
        <f>ROUND(0.0,2)</f>
        <v/>
      </c>
      <c r="D30" s="3">
        <f>ROUND(0.0,2)</f>
        <v/>
      </c>
      <c r="E30" s="3">
        <f>ROUND(0.0,2)</f>
        <v/>
      </c>
      <c r="F30" s="3">
        <f>ROUND(0.0,2)</f>
        <v/>
      </c>
      <c r="G30" s="3">
        <f>ROUND(0.0,2)</f>
        <v/>
      </c>
      <c r="H30" s="3">
        <f>ROUND(0.0,2)</f>
        <v/>
      </c>
      <c r="I30" s="3">
        <f>ROUND(0.0,2)</f>
        <v/>
      </c>
      <c r="J30" s="4">
        <f>IFERROR((D30/C30),0)</f>
        <v/>
      </c>
      <c r="K30" s="4">
        <f>IFERROR(((0+B11+B12+B13+B14+B15+B16+B17+B19+B20+B21+B22+B23+B24+B25+B27+B28+B29+B30)/T2),0)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2023-10-07</t>
        </is>
      </c>
      <c r="O30" s="5">
        <f>ROUND(0.0,2)</f>
        <v/>
      </c>
      <c r="P30" s="3">
        <f>ROUND(0.0,2)</f>
        <v/>
      </c>
      <c r="Q30" s="3">
        <f>ROUND(0.0,2)</f>
        <v/>
      </c>
      <c r="R30" s="3">
        <f>ROUND(0.0,2)</f>
        <v/>
      </c>
      <c r="S30" s="3">
        <f>ROUND(0.0,2)</f>
        <v/>
      </c>
      <c r="T30" s="3">
        <f>ROUND(0.0,2)</f>
        <v/>
      </c>
      <c r="U30" s="3">
        <f>ROUND(0.0,2)</f>
        <v/>
      </c>
      <c r="V30" s="3">
        <f>ROUND(0.0,2)</f>
        <v/>
      </c>
      <c r="W30" s="4">
        <f>IFERROR((Q30/P30),0)</f>
        <v/>
      </c>
      <c r="X30" s="4">
        <f>IFERROR(((0+O11+O12+O13+O14+O15+O16+O17+O19+O20+O21+O22+O23+O24+O25+O27+O28+O29+O30)/T2),0)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2023-10-07</t>
        </is>
      </c>
      <c r="AB30" s="5">
        <f>ROUND(0.0,2)</f>
        <v/>
      </c>
      <c r="AC30" s="3">
        <f>ROUND(0.0,2)</f>
        <v/>
      </c>
      <c r="AD30" s="3">
        <f>ROUND(0.0,2)</f>
        <v/>
      </c>
      <c r="AE30" s="3">
        <f>ROUND(0.0,2)</f>
        <v/>
      </c>
      <c r="AF30" s="3">
        <f>ROUND(0.0,2)</f>
        <v/>
      </c>
      <c r="AG30" s="3">
        <f>ROUND(0.0,2)</f>
        <v/>
      </c>
      <c r="AH30" s="3">
        <f>ROUND(0.0,2)</f>
        <v/>
      </c>
      <c r="AI30" s="3">
        <f>ROUND(0.0,2)</f>
        <v/>
      </c>
      <c r="AJ30" s="4">
        <f>IFERROR((AD30/AC30),0)</f>
        <v/>
      </c>
      <c r="AK30" s="4">
        <f>IFERROR(((0+AB11+AB12+AB13+AB14+AB15+AB16+AB17+AB19+AB20+AB21+AB22+AB23+AB24+AB25+AB27+AB28+AB29+AB30)/T2),0)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2023-10-07</t>
        </is>
      </c>
      <c r="AO30" s="5">
        <f>ROUND(0.0,2)</f>
        <v/>
      </c>
      <c r="AP30" s="3">
        <f>ROUND(0.0,2)</f>
        <v/>
      </c>
      <c r="AQ30" s="3">
        <f>ROUND(0.0,2)</f>
        <v/>
      </c>
      <c r="AR30" s="3">
        <f>ROUND(0.0,2)</f>
        <v/>
      </c>
      <c r="AS30" s="3">
        <f>ROUND(0.0,2)</f>
        <v/>
      </c>
      <c r="AT30" s="3">
        <f>ROUND(0.0,2)</f>
        <v/>
      </c>
      <c r="AU30" s="3">
        <f>ROUND(0.0,2)</f>
        <v/>
      </c>
      <c r="AV30" s="3">
        <f>ROUND(0.0,2)</f>
        <v/>
      </c>
      <c r="AW30" s="4">
        <f>IFERROR((AQ30/AP30),0)</f>
        <v/>
      </c>
      <c r="AX30" s="4">
        <f>IFERROR(((0+AO11+AO12+AO13+AO14+AO15+AO16+AO17+AO19+AO20+AO21+AO22+AO23+AO24+AO25+AO27+AO28+AO29+AO30)/T2),0)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2023-10-07</t>
        </is>
      </c>
      <c r="BB30" s="5">
        <f>ROUND(0.0,2)</f>
        <v/>
      </c>
      <c r="BC30" s="3">
        <f>ROUND(0.0,2)</f>
        <v/>
      </c>
      <c r="BD30" s="3">
        <f>ROUND(0.0,2)</f>
        <v/>
      </c>
      <c r="BE30" s="3">
        <f>ROUND(0.0,2)</f>
        <v/>
      </c>
      <c r="BF30" s="3">
        <f>ROUND(0.0,2)</f>
        <v/>
      </c>
      <c r="BG30" s="3">
        <f>ROUND(0.0,2)</f>
        <v/>
      </c>
      <c r="BH30" s="3">
        <f>ROUND(0.0,2)</f>
        <v/>
      </c>
      <c r="BI30" s="3">
        <f>ROUND(0.0,2)</f>
        <v/>
      </c>
      <c r="BJ30" s="4">
        <f>IFERROR((BD30/BC30),0)</f>
        <v/>
      </c>
      <c r="BK30" s="4">
        <f>IFERROR(((0+BB11+BB12+BB13+BB14+BB15+BB16+BB17+BB19+BB20+BB21+BB22+BB23+BB24+BB25+BB27+BB28+BB29+BB30)/T2),0)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2023-10-07</t>
        </is>
      </c>
      <c r="BO30" s="5">
        <f>ROUND(0.0,2)</f>
        <v/>
      </c>
      <c r="BP30" s="3">
        <f>ROUND(0.0,2)</f>
        <v/>
      </c>
      <c r="BQ30" s="3">
        <f>ROUND(0.0,2)</f>
        <v/>
      </c>
      <c r="BR30" s="3">
        <f>ROUND(0.0,2)</f>
        <v/>
      </c>
      <c r="BS30" s="3">
        <f>ROUND(0.0,2)</f>
        <v/>
      </c>
      <c r="BT30" s="3">
        <f>ROUND(0.0,2)</f>
        <v/>
      </c>
      <c r="BU30" s="3">
        <f>ROUND(0.0,2)</f>
        <v/>
      </c>
      <c r="BV30" s="3">
        <f>ROUND(0.0,2)</f>
        <v/>
      </c>
      <c r="BW30" s="4">
        <f>IFERROR((BQ30/BP30),0)</f>
        <v/>
      </c>
      <c r="BX30" s="4">
        <f>IFERROR(((0+BO11+BO12+BO13+BO14+BO15+BO16+BO17+BO19+BO20+BO21+BO22+BO23+BO24+BO25+BO27+BO28+BO29+BO30)/T2),0)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2023-10-07</t>
        </is>
      </c>
      <c r="CB30" s="5">
        <f>ROUND(0.0,2)</f>
        <v/>
      </c>
      <c r="CC30" s="3">
        <f>ROUND(0.0,2)</f>
        <v/>
      </c>
      <c r="CD30" s="3">
        <f>ROUND(0.0,2)</f>
        <v/>
      </c>
      <c r="CE30" s="3">
        <f>ROUND(0.0,2)</f>
        <v/>
      </c>
      <c r="CF30" s="3">
        <f>ROUND(0.0,2)</f>
        <v/>
      </c>
      <c r="CG30" s="3">
        <f>ROUND(0.0,2)</f>
        <v/>
      </c>
      <c r="CH30" s="3">
        <f>ROUND(0.0,2)</f>
        <v/>
      </c>
      <c r="CI30" s="3">
        <f>ROUND(0.0,2)</f>
        <v/>
      </c>
      <c r="CJ30" s="4">
        <f>IFERROR((CD30/CC30),0)</f>
        <v/>
      </c>
      <c r="CK30" s="4">
        <f>IFERROR(((0+CB11+CB12+CB13+CB14+CB15+CB16+CB17+CB19+CB20+CB21+CB22+CB23+CB24+CB25+CB27+CB28+CB29+CB30)/T2),0)</f>
        <v/>
      </c>
      <c r="CL30" s="5">
        <f>IFERROR(ROUND(CB30/CD30,2),0)</f>
        <v/>
      </c>
      <c r="CM30" s="5">
        <f>IFERROR(ROUND(CB30/CE30,2),0)</f>
        <v/>
      </c>
    </row>
    <row r="31">
      <c r="A31" s="2" t="inlineStr">
        <is>
          <t>2023-10-08</t>
        </is>
      </c>
      <c r="B31" s="5">
        <f>ROUND(0.0,2)</f>
        <v/>
      </c>
      <c r="C31" s="3">
        <f>ROUND(0.0,2)</f>
        <v/>
      </c>
      <c r="D31" s="3">
        <f>ROUND(0.0,2)</f>
        <v/>
      </c>
      <c r="E31" s="3">
        <f>ROUND(0.0,2)</f>
        <v/>
      </c>
      <c r="F31" s="3">
        <f>ROUND(0.0,2)</f>
        <v/>
      </c>
      <c r="G31" s="3">
        <f>ROUND(0.0,2)</f>
        <v/>
      </c>
      <c r="H31" s="3">
        <f>ROUND(0.0,2)</f>
        <v/>
      </c>
      <c r="I31" s="3">
        <f>ROUND(0.0,2)</f>
        <v/>
      </c>
      <c r="J31" s="4">
        <f>IFERROR((D31/C31),0)</f>
        <v/>
      </c>
      <c r="K31" s="4">
        <f>IFERROR(((0+B11+B12+B13+B14+B15+B16+B17+B19+B20+B21+B22+B23+B24+B25+B27+B28+B29+B30+B31)/T2),0)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2023-10-08</t>
        </is>
      </c>
      <c r="O31" s="5">
        <f>ROUND(0.0,2)</f>
        <v/>
      </c>
      <c r="P31" s="3">
        <f>ROUND(0.0,2)</f>
        <v/>
      </c>
      <c r="Q31" s="3">
        <f>ROUND(0.0,2)</f>
        <v/>
      </c>
      <c r="R31" s="3">
        <f>ROUND(0.0,2)</f>
        <v/>
      </c>
      <c r="S31" s="3">
        <f>ROUND(0.0,2)</f>
        <v/>
      </c>
      <c r="T31" s="3">
        <f>ROUND(0.0,2)</f>
        <v/>
      </c>
      <c r="U31" s="3">
        <f>ROUND(0.0,2)</f>
        <v/>
      </c>
      <c r="V31" s="3">
        <f>ROUND(0.0,2)</f>
        <v/>
      </c>
      <c r="W31" s="4">
        <f>IFERROR((Q31/P31),0)</f>
        <v/>
      </c>
      <c r="X31" s="4">
        <f>IFERROR(((0+O11+O12+O13+O14+O15+O16+O17+O19+O20+O21+O22+O23+O24+O25+O27+O28+O29+O30+O31)/T2),0)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2023-10-08</t>
        </is>
      </c>
      <c r="AB31" s="5">
        <f>ROUND(0.0,2)</f>
        <v/>
      </c>
      <c r="AC31" s="3">
        <f>ROUND(0.0,2)</f>
        <v/>
      </c>
      <c r="AD31" s="3">
        <f>ROUND(0.0,2)</f>
        <v/>
      </c>
      <c r="AE31" s="3">
        <f>ROUND(0.0,2)</f>
        <v/>
      </c>
      <c r="AF31" s="3">
        <f>ROUND(0.0,2)</f>
        <v/>
      </c>
      <c r="AG31" s="3">
        <f>ROUND(0.0,2)</f>
        <v/>
      </c>
      <c r="AH31" s="3">
        <f>ROUND(0.0,2)</f>
        <v/>
      </c>
      <c r="AI31" s="3">
        <f>ROUND(0.0,2)</f>
        <v/>
      </c>
      <c r="AJ31" s="4">
        <f>IFERROR((AD31/AC31),0)</f>
        <v/>
      </c>
      <c r="AK31" s="4">
        <f>IFERROR(((0+AB11+AB12+AB13+AB14+AB15+AB16+AB17+AB19+AB20+AB21+AB22+AB23+AB24+AB25+AB27+AB28+AB29+AB30+AB31)/T2),0)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2023-10-08</t>
        </is>
      </c>
      <c r="AO31" s="5">
        <f>ROUND(0.0,2)</f>
        <v/>
      </c>
      <c r="AP31" s="3">
        <f>ROUND(0.0,2)</f>
        <v/>
      </c>
      <c r="AQ31" s="3">
        <f>ROUND(0.0,2)</f>
        <v/>
      </c>
      <c r="AR31" s="3">
        <f>ROUND(0.0,2)</f>
        <v/>
      </c>
      <c r="AS31" s="3">
        <f>ROUND(0.0,2)</f>
        <v/>
      </c>
      <c r="AT31" s="3">
        <f>ROUND(0.0,2)</f>
        <v/>
      </c>
      <c r="AU31" s="3">
        <f>ROUND(0.0,2)</f>
        <v/>
      </c>
      <c r="AV31" s="3">
        <f>ROUND(0.0,2)</f>
        <v/>
      </c>
      <c r="AW31" s="4">
        <f>IFERROR((AQ31/AP31),0)</f>
        <v/>
      </c>
      <c r="AX31" s="4">
        <f>IFERROR(((0+AO11+AO12+AO13+AO14+AO15+AO16+AO17+AO19+AO20+AO21+AO22+AO23+AO24+AO25+AO27+AO28+AO29+AO30+AO31)/T2),0)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2023-10-08</t>
        </is>
      </c>
      <c r="BB31" s="5">
        <f>ROUND(0.0,2)</f>
        <v/>
      </c>
      <c r="BC31" s="3">
        <f>ROUND(0.0,2)</f>
        <v/>
      </c>
      <c r="BD31" s="3">
        <f>ROUND(0.0,2)</f>
        <v/>
      </c>
      <c r="BE31" s="3">
        <f>ROUND(0.0,2)</f>
        <v/>
      </c>
      <c r="BF31" s="3">
        <f>ROUND(0.0,2)</f>
        <v/>
      </c>
      <c r="BG31" s="3">
        <f>ROUND(0.0,2)</f>
        <v/>
      </c>
      <c r="BH31" s="3">
        <f>ROUND(0.0,2)</f>
        <v/>
      </c>
      <c r="BI31" s="3">
        <f>ROUND(0.0,2)</f>
        <v/>
      </c>
      <c r="BJ31" s="4">
        <f>IFERROR((BD31/BC31),0)</f>
        <v/>
      </c>
      <c r="BK31" s="4">
        <f>IFERROR(((0+BB11+BB12+BB13+BB14+BB15+BB16+BB17+BB19+BB20+BB21+BB22+BB23+BB24+BB25+BB27+BB28+BB29+BB30+BB31)/T2),0)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2023-10-08</t>
        </is>
      </c>
      <c r="BO31" s="5">
        <f>ROUND(0.0,2)</f>
        <v/>
      </c>
      <c r="BP31" s="3">
        <f>ROUND(0.0,2)</f>
        <v/>
      </c>
      <c r="BQ31" s="3">
        <f>ROUND(0.0,2)</f>
        <v/>
      </c>
      <c r="BR31" s="3">
        <f>ROUND(0.0,2)</f>
        <v/>
      </c>
      <c r="BS31" s="3">
        <f>ROUND(0.0,2)</f>
        <v/>
      </c>
      <c r="BT31" s="3">
        <f>ROUND(0.0,2)</f>
        <v/>
      </c>
      <c r="BU31" s="3">
        <f>ROUND(0.0,2)</f>
        <v/>
      </c>
      <c r="BV31" s="3">
        <f>ROUND(0.0,2)</f>
        <v/>
      </c>
      <c r="BW31" s="4">
        <f>IFERROR((BQ31/BP31),0)</f>
        <v/>
      </c>
      <c r="BX31" s="4">
        <f>IFERROR(((0+BO11+BO12+BO13+BO14+BO15+BO16+BO17+BO19+BO20+BO21+BO22+BO23+BO24+BO25+BO27+BO28+BO29+BO30+BO31)/T2),0)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2023-10-08</t>
        </is>
      </c>
      <c r="CB31" s="5">
        <f>ROUND(0.0,2)</f>
        <v/>
      </c>
      <c r="CC31" s="3">
        <f>ROUND(0.0,2)</f>
        <v/>
      </c>
      <c r="CD31" s="3">
        <f>ROUND(0.0,2)</f>
        <v/>
      </c>
      <c r="CE31" s="3">
        <f>ROUND(0.0,2)</f>
        <v/>
      </c>
      <c r="CF31" s="3">
        <f>ROUND(0.0,2)</f>
        <v/>
      </c>
      <c r="CG31" s="3">
        <f>ROUND(0.0,2)</f>
        <v/>
      </c>
      <c r="CH31" s="3">
        <f>ROUND(0.0,2)</f>
        <v/>
      </c>
      <c r="CI31" s="3">
        <f>ROUND(0.0,2)</f>
        <v/>
      </c>
      <c r="CJ31" s="4">
        <f>IFERROR((CD31/CC31),0)</f>
        <v/>
      </c>
      <c r="CK31" s="4">
        <f>IFERROR(((0+CB11+CB12+CB13+CB14+CB15+CB16+CB17+CB19+CB20+CB21+CB22+CB23+CB24+CB25+CB27+CB28+CB29+CB30+CB31)/T2),0)</f>
        <v/>
      </c>
      <c r="CL31" s="5">
        <f>IFERROR(ROUND(CB31/CD31,2),0)</f>
        <v/>
      </c>
      <c r="CM31" s="5">
        <f>IFERROR(ROUND(CB31/CE31,2),0)</f>
        <v/>
      </c>
    </row>
    <row r="32">
      <c r="A32" s="2" t="inlineStr">
        <is>
          <t>2023-10-09</t>
        </is>
      </c>
      <c r="B32" s="5">
        <f>ROUND(0.0,2)</f>
        <v/>
      </c>
      <c r="C32" s="3">
        <f>ROUND(0.0,2)</f>
        <v/>
      </c>
      <c r="D32" s="3">
        <f>ROUND(0.0,2)</f>
        <v/>
      </c>
      <c r="E32" s="3">
        <f>ROUND(0.0,2)</f>
        <v/>
      </c>
      <c r="F32" s="3">
        <f>ROUND(0.0,2)</f>
        <v/>
      </c>
      <c r="G32" s="3">
        <f>ROUND(0.0,2)</f>
        <v/>
      </c>
      <c r="H32" s="3">
        <f>ROUND(0.0,2)</f>
        <v/>
      </c>
      <c r="I32" s="3">
        <f>ROUND(0.0,2)</f>
        <v/>
      </c>
      <c r="J32" s="4">
        <f>IFERROR((D32/C32),0)</f>
        <v/>
      </c>
      <c r="K32" s="4">
        <f>IFERROR(((0+B11+B12+B13+B14+B15+B16+B17+B19+B20+B21+B22+B23+B24+B25+B27+B28+B29+B30+B31+B32)/T2),0)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2023-10-09</t>
        </is>
      </c>
      <c r="O32" s="5">
        <f>ROUND(0.0,2)</f>
        <v/>
      </c>
      <c r="P32" s="3">
        <f>ROUND(0.0,2)</f>
        <v/>
      </c>
      <c r="Q32" s="3">
        <f>ROUND(0.0,2)</f>
        <v/>
      </c>
      <c r="R32" s="3">
        <f>ROUND(0.0,2)</f>
        <v/>
      </c>
      <c r="S32" s="3">
        <f>ROUND(0.0,2)</f>
        <v/>
      </c>
      <c r="T32" s="3">
        <f>ROUND(0.0,2)</f>
        <v/>
      </c>
      <c r="U32" s="3">
        <f>ROUND(0.0,2)</f>
        <v/>
      </c>
      <c r="V32" s="3">
        <f>ROUND(0.0,2)</f>
        <v/>
      </c>
      <c r="W32" s="4">
        <f>IFERROR((Q32/P32),0)</f>
        <v/>
      </c>
      <c r="X32" s="4">
        <f>IFERROR(((0+O11+O12+O13+O14+O15+O16+O17+O19+O20+O21+O22+O23+O24+O25+O27+O28+O29+O30+O31+O32)/T2),0)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2023-10-09</t>
        </is>
      </c>
      <c r="AB32" s="5">
        <f>ROUND(0.0,2)</f>
        <v/>
      </c>
      <c r="AC32" s="3">
        <f>ROUND(0.0,2)</f>
        <v/>
      </c>
      <c r="AD32" s="3">
        <f>ROUND(0.0,2)</f>
        <v/>
      </c>
      <c r="AE32" s="3">
        <f>ROUND(0.0,2)</f>
        <v/>
      </c>
      <c r="AF32" s="3">
        <f>ROUND(0.0,2)</f>
        <v/>
      </c>
      <c r="AG32" s="3">
        <f>ROUND(0.0,2)</f>
        <v/>
      </c>
      <c r="AH32" s="3">
        <f>ROUND(0.0,2)</f>
        <v/>
      </c>
      <c r="AI32" s="3">
        <f>ROUND(0.0,2)</f>
        <v/>
      </c>
      <c r="AJ32" s="4">
        <f>IFERROR((AD32/AC32),0)</f>
        <v/>
      </c>
      <c r="AK32" s="4">
        <f>IFERROR(((0+AB11+AB12+AB13+AB14+AB15+AB16+AB17+AB19+AB20+AB21+AB22+AB23+AB24+AB25+AB27+AB28+AB29+AB30+AB31+AB32)/T2),0)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2023-10-09</t>
        </is>
      </c>
      <c r="AO32" s="5">
        <f>ROUND(0.0,2)</f>
        <v/>
      </c>
      <c r="AP32" s="3">
        <f>ROUND(0.0,2)</f>
        <v/>
      </c>
      <c r="AQ32" s="3">
        <f>ROUND(0.0,2)</f>
        <v/>
      </c>
      <c r="AR32" s="3">
        <f>ROUND(0.0,2)</f>
        <v/>
      </c>
      <c r="AS32" s="3">
        <f>ROUND(0.0,2)</f>
        <v/>
      </c>
      <c r="AT32" s="3">
        <f>ROUND(0.0,2)</f>
        <v/>
      </c>
      <c r="AU32" s="3">
        <f>ROUND(0.0,2)</f>
        <v/>
      </c>
      <c r="AV32" s="3">
        <f>ROUND(0.0,2)</f>
        <v/>
      </c>
      <c r="AW32" s="4">
        <f>IFERROR((AQ32/AP32),0)</f>
        <v/>
      </c>
      <c r="AX32" s="4">
        <f>IFERROR(((0+AO11+AO12+AO13+AO14+AO15+AO16+AO17+AO19+AO20+AO21+AO22+AO23+AO24+AO25+AO27+AO28+AO29+AO30+AO31+AO32)/T2),0)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2023-10-09</t>
        </is>
      </c>
      <c r="BB32" s="5">
        <f>ROUND(0.0,2)</f>
        <v/>
      </c>
      <c r="BC32" s="3">
        <f>ROUND(0.0,2)</f>
        <v/>
      </c>
      <c r="BD32" s="3">
        <f>ROUND(0.0,2)</f>
        <v/>
      </c>
      <c r="BE32" s="3">
        <f>ROUND(0.0,2)</f>
        <v/>
      </c>
      <c r="BF32" s="3">
        <f>ROUND(0.0,2)</f>
        <v/>
      </c>
      <c r="BG32" s="3">
        <f>ROUND(0.0,2)</f>
        <v/>
      </c>
      <c r="BH32" s="3">
        <f>ROUND(0.0,2)</f>
        <v/>
      </c>
      <c r="BI32" s="3">
        <f>ROUND(0.0,2)</f>
        <v/>
      </c>
      <c r="BJ32" s="4">
        <f>IFERROR((BD32/BC32),0)</f>
        <v/>
      </c>
      <c r="BK32" s="4">
        <f>IFERROR(((0+BB11+BB12+BB13+BB14+BB15+BB16+BB17+BB19+BB20+BB21+BB22+BB23+BB24+BB25+BB27+BB28+BB29+BB30+BB31+BB32)/T2),0)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2023-10-09</t>
        </is>
      </c>
      <c r="BO32" s="5">
        <f>ROUND(0.0,2)</f>
        <v/>
      </c>
      <c r="BP32" s="3">
        <f>ROUND(0.0,2)</f>
        <v/>
      </c>
      <c r="BQ32" s="3">
        <f>ROUND(0.0,2)</f>
        <v/>
      </c>
      <c r="BR32" s="3">
        <f>ROUND(0.0,2)</f>
        <v/>
      </c>
      <c r="BS32" s="3">
        <f>ROUND(0.0,2)</f>
        <v/>
      </c>
      <c r="BT32" s="3">
        <f>ROUND(0.0,2)</f>
        <v/>
      </c>
      <c r="BU32" s="3">
        <f>ROUND(0.0,2)</f>
        <v/>
      </c>
      <c r="BV32" s="3">
        <f>ROUND(0.0,2)</f>
        <v/>
      </c>
      <c r="BW32" s="4">
        <f>IFERROR((BQ32/BP32),0)</f>
        <v/>
      </c>
      <c r="BX32" s="4">
        <f>IFERROR(((0+BO11+BO12+BO13+BO14+BO15+BO16+BO17+BO19+BO20+BO21+BO22+BO23+BO24+BO25+BO27+BO28+BO29+BO30+BO31+BO32)/T2),0)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2023-10-09</t>
        </is>
      </c>
      <c r="CB32" s="5">
        <f>ROUND(0.0,2)</f>
        <v/>
      </c>
      <c r="CC32" s="3">
        <f>ROUND(0.0,2)</f>
        <v/>
      </c>
      <c r="CD32" s="3">
        <f>ROUND(0.0,2)</f>
        <v/>
      </c>
      <c r="CE32" s="3">
        <f>ROUND(0.0,2)</f>
        <v/>
      </c>
      <c r="CF32" s="3">
        <f>ROUND(0.0,2)</f>
        <v/>
      </c>
      <c r="CG32" s="3">
        <f>ROUND(0.0,2)</f>
        <v/>
      </c>
      <c r="CH32" s="3">
        <f>ROUND(0.0,2)</f>
        <v/>
      </c>
      <c r="CI32" s="3">
        <f>ROUND(0.0,2)</f>
        <v/>
      </c>
      <c r="CJ32" s="4">
        <f>IFERROR((CD32/CC32),0)</f>
        <v/>
      </c>
      <c r="CK32" s="4">
        <f>IFERROR(((0+CB11+CB12+CB13+CB14+CB15+CB16+CB17+CB19+CB20+CB21+CB22+CB23+CB24+CB25+CB27+CB28+CB29+CB30+CB31+CB32)/T2),0)</f>
        <v/>
      </c>
      <c r="CL32" s="5">
        <f>IFERROR(ROUND(CB32/CD32,2),0)</f>
        <v/>
      </c>
      <c r="CM32" s="5">
        <f>IFERROR(ROUND(CB32/CE32,2),0)</f>
        <v/>
      </c>
    </row>
    <row r="33">
      <c r="A33" s="2" t="inlineStr">
        <is>
          <t>2023-10-10</t>
        </is>
      </c>
      <c r="B33" s="5">
        <f>ROUND(0.0,2)</f>
        <v/>
      </c>
      <c r="C33" s="3">
        <f>ROUND(0.0,2)</f>
        <v/>
      </c>
      <c r="D33" s="3">
        <f>ROUND(0.0,2)</f>
        <v/>
      </c>
      <c r="E33" s="3">
        <f>ROUND(0.0,2)</f>
        <v/>
      </c>
      <c r="F33" s="3">
        <f>ROUND(0.0,2)</f>
        <v/>
      </c>
      <c r="G33" s="3">
        <f>ROUND(0.0,2)</f>
        <v/>
      </c>
      <c r="H33" s="3">
        <f>ROUND(0.0,2)</f>
        <v/>
      </c>
      <c r="I33" s="3">
        <f>ROUND(0.0,2)</f>
        <v/>
      </c>
      <c r="J33" s="4">
        <f>IFERROR((D33/C33),0)</f>
        <v/>
      </c>
      <c r="K33" s="4">
        <f>IFERROR(((0+B11+B12+B13+B14+B15+B16+B17+B19+B20+B21+B22+B23+B24+B25+B27+B28+B29+B30+B31+B32+B33)/T2),0)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2023-10-10</t>
        </is>
      </c>
      <c r="O33" s="5">
        <f>ROUND(0.0,2)</f>
        <v/>
      </c>
      <c r="P33" s="3">
        <f>ROUND(0.0,2)</f>
        <v/>
      </c>
      <c r="Q33" s="3">
        <f>ROUND(0.0,2)</f>
        <v/>
      </c>
      <c r="R33" s="3">
        <f>ROUND(0.0,2)</f>
        <v/>
      </c>
      <c r="S33" s="3">
        <f>ROUND(0.0,2)</f>
        <v/>
      </c>
      <c r="T33" s="3">
        <f>ROUND(0.0,2)</f>
        <v/>
      </c>
      <c r="U33" s="3">
        <f>ROUND(0.0,2)</f>
        <v/>
      </c>
      <c r="V33" s="3">
        <f>ROUND(0.0,2)</f>
        <v/>
      </c>
      <c r="W33" s="4">
        <f>IFERROR((Q33/P33),0)</f>
        <v/>
      </c>
      <c r="X33" s="4">
        <f>IFERROR(((0+O11+O12+O13+O14+O15+O16+O17+O19+O20+O21+O22+O23+O24+O25+O27+O28+O29+O30+O31+O32+O33)/T2),0)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2023-10-10</t>
        </is>
      </c>
      <c r="AB33" s="5">
        <f>ROUND(0.0,2)</f>
        <v/>
      </c>
      <c r="AC33" s="3">
        <f>ROUND(0.0,2)</f>
        <v/>
      </c>
      <c r="AD33" s="3">
        <f>ROUND(0.0,2)</f>
        <v/>
      </c>
      <c r="AE33" s="3">
        <f>ROUND(0.0,2)</f>
        <v/>
      </c>
      <c r="AF33" s="3">
        <f>ROUND(0.0,2)</f>
        <v/>
      </c>
      <c r="AG33" s="3">
        <f>ROUND(0.0,2)</f>
        <v/>
      </c>
      <c r="AH33" s="3">
        <f>ROUND(0.0,2)</f>
        <v/>
      </c>
      <c r="AI33" s="3">
        <f>ROUND(0.0,2)</f>
        <v/>
      </c>
      <c r="AJ33" s="4">
        <f>IFERROR((AD33/AC33),0)</f>
        <v/>
      </c>
      <c r="AK33" s="4">
        <f>IFERROR(((0+AB11+AB12+AB13+AB14+AB15+AB16+AB17+AB19+AB20+AB21+AB22+AB23+AB24+AB25+AB27+AB28+AB29+AB30+AB31+AB32+AB33)/T2),0)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2023-10-10</t>
        </is>
      </c>
      <c r="AO33" s="5">
        <f>ROUND(0.0,2)</f>
        <v/>
      </c>
      <c r="AP33" s="3">
        <f>ROUND(0.0,2)</f>
        <v/>
      </c>
      <c r="AQ33" s="3">
        <f>ROUND(0.0,2)</f>
        <v/>
      </c>
      <c r="AR33" s="3">
        <f>ROUND(0.0,2)</f>
        <v/>
      </c>
      <c r="AS33" s="3">
        <f>ROUND(0.0,2)</f>
        <v/>
      </c>
      <c r="AT33" s="3">
        <f>ROUND(0.0,2)</f>
        <v/>
      </c>
      <c r="AU33" s="3">
        <f>ROUND(0.0,2)</f>
        <v/>
      </c>
      <c r="AV33" s="3">
        <f>ROUND(0.0,2)</f>
        <v/>
      </c>
      <c r="AW33" s="4">
        <f>IFERROR((AQ33/AP33),0)</f>
        <v/>
      </c>
      <c r="AX33" s="4">
        <f>IFERROR(((0+AO11+AO12+AO13+AO14+AO15+AO16+AO17+AO19+AO20+AO21+AO22+AO23+AO24+AO25+AO27+AO28+AO29+AO30+AO31+AO32+AO33)/T2),0)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2023-10-10</t>
        </is>
      </c>
      <c r="BB33" s="5">
        <f>ROUND(0.0,2)</f>
        <v/>
      </c>
      <c r="BC33" s="3">
        <f>ROUND(0.0,2)</f>
        <v/>
      </c>
      <c r="BD33" s="3">
        <f>ROUND(0.0,2)</f>
        <v/>
      </c>
      <c r="BE33" s="3">
        <f>ROUND(0.0,2)</f>
        <v/>
      </c>
      <c r="BF33" s="3">
        <f>ROUND(0.0,2)</f>
        <v/>
      </c>
      <c r="BG33" s="3">
        <f>ROUND(0.0,2)</f>
        <v/>
      </c>
      <c r="BH33" s="3">
        <f>ROUND(0.0,2)</f>
        <v/>
      </c>
      <c r="BI33" s="3">
        <f>ROUND(0.0,2)</f>
        <v/>
      </c>
      <c r="BJ33" s="4">
        <f>IFERROR((BD33/BC33),0)</f>
        <v/>
      </c>
      <c r="BK33" s="4">
        <f>IFERROR(((0+BB11+BB12+BB13+BB14+BB15+BB16+BB17+BB19+BB20+BB21+BB22+BB23+BB24+BB25+BB27+BB28+BB29+BB30+BB31+BB32+BB33)/T2),0)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2023-10-10</t>
        </is>
      </c>
      <c r="BO33" s="5">
        <f>ROUND(0.0,2)</f>
        <v/>
      </c>
      <c r="BP33" s="3">
        <f>ROUND(0.0,2)</f>
        <v/>
      </c>
      <c r="BQ33" s="3">
        <f>ROUND(0.0,2)</f>
        <v/>
      </c>
      <c r="BR33" s="3">
        <f>ROUND(0.0,2)</f>
        <v/>
      </c>
      <c r="BS33" s="3">
        <f>ROUND(0.0,2)</f>
        <v/>
      </c>
      <c r="BT33" s="3">
        <f>ROUND(0.0,2)</f>
        <v/>
      </c>
      <c r="BU33" s="3">
        <f>ROUND(0.0,2)</f>
        <v/>
      </c>
      <c r="BV33" s="3">
        <f>ROUND(0.0,2)</f>
        <v/>
      </c>
      <c r="BW33" s="4">
        <f>IFERROR((BQ33/BP33),0)</f>
        <v/>
      </c>
      <c r="BX33" s="4">
        <f>IFERROR(((0+BO11+BO12+BO13+BO14+BO15+BO16+BO17+BO19+BO20+BO21+BO22+BO23+BO24+BO25+BO27+BO28+BO29+BO30+BO31+BO32+BO33)/T2),0)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2023-10-10</t>
        </is>
      </c>
      <c r="CB33" s="5">
        <f>ROUND(0.0,2)</f>
        <v/>
      </c>
      <c r="CC33" s="3">
        <f>ROUND(0.0,2)</f>
        <v/>
      </c>
      <c r="CD33" s="3">
        <f>ROUND(0.0,2)</f>
        <v/>
      </c>
      <c r="CE33" s="3">
        <f>ROUND(0.0,2)</f>
        <v/>
      </c>
      <c r="CF33" s="3">
        <f>ROUND(0.0,2)</f>
        <v/>
      </c>
      <c r="CG33" s="3">
        <f>ROUND(0.0,2)</f>
        <v/>
      </c>
      <c r="CH33" s="3">
        <f>ROUND(0.0,2)</f>
        <v/>
      </c>
      <c r="CI33" s="3">
        <f>ROUND(0.0,2)</f>
        <v/>
      </c>
      <c r="CJ33" s="4">
        <f>IFERROR((CD33/CC33),0)</f>
        <v/>
      </c>
      <c r="CK33" s="4">
        <f>IFERROR(((0+CB11+CB12+CB13+CB14+CB15+CB16+CB17+CB19+CB20+CB21+CB22+CB23+CB24+CB25+CB27+CB28+CB29+CB30+CB31+CB32+CB33)/T2),0)</f>
        <v/>
      </c>
      <c r="CL33" s="5">
        <f>IFERROR(ROUND(CB33/CD33,2),0)</f>
        <v/>
      </c>
      <c r="CM33" s="5">
        <f>IFERROR(ROUND(CB33/CE33,2),0)</f>
        <v/>
      </c>
    </row>
    <row r="34">
      <c r="A34" s="2" t="inlineStr">
        <is>
          <t>3 Weekly Total</t>
        </is>
      </c>
      <c r="B34" s="5">
        <f>ROUND(0.0,2)</f>
        <v/>
      </c>
      <c r="C34" s="3">
        <f>ROUND(0.0,2)</f>
        <v/>
      </c>
      <c r="D34" s="3">
        <f>ROUND(0.0,2)</f>
        <v/>
      </c>
      <c r="E34" s="3">
        <f>ROUND(0.0,2)</f>
        <v/>
      </c>
      <c r="F34" s="3">
        <f>ROUND(0.0,2)</f>
        <v/>
      </c>
      <c r="G34" s="3">
        <f>ROUND(0.0,2)</f>
        <v/>
      </c>
      <c r="H34" s="3">
        <f>ROUND(0.0,2)</f>
        <v/>
      </c>
      <c r="I34" s="3">
        <f>ROUND(0.0,2)</f>
        <v/>
      </c>
      <c r="J34" s="4">
        <f>IFERROR((D34/C34),0)</f>
        <v/>
      </c>
      <c r="K34" s="4">
        <f>IFERROR(((0+B11+B12+B13+B14+B15+B16+B17+B19+B20+B21+B22+B23+B24+B25+B27+B28+B29+B30+B31+B32+B33)/T2),0)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3 Weekly Total</t>
        </is>
      </c>
      <c r="O34" s="5">
        <f>ROUND(0.0,2)</f>
        <v/>
      </c>
      <c r="P34" s="3">
        <f>ROUND(0.0,2)</f>
        <v/>
      </c>
      <c r="Q34" s="3">
        <f>ROUND(0.0,2)</f>
        <v/>
      </c>
      <c r="R34" s="3">
        <f>ROUND(0.0,2)</f>
        <v/>
      </c>
      <c r="S34" s="3">
        <f>ROUND(0.0,2)</f>
        <v/>
      </c>
      <c r="T34" s="3">
        <f>ROUND(0.0,2)</f>
        <v/>
      </c>
      <c r="U34" s="3">
        <f>ROUND(0.0,2)</f>
        <v/>
      </c>
      <c r="V34" s="3">
        <f>ROUND(0.0,2)</f>
        <v/>
      </c>
      <c r="W34" s="4">
        <f>IFERROR((Q34/P34),0)</f>
        <v/>
      </c>
      <c r="X34" s="4">
        <f>IFERROR(((0+O11+O12+O13+O14+O15+O16+O17+O19+O20+O21+O22+O23+O24+O25+O27+O28+O29+O30+O31+O32+O33)/T2),0)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3 Weekly Total</t>
        </is>
      </c>
      <c r="AB34" s="5">
        <f>ROUND(0.0,2)</f>
        <v/>
      </c>
      <c r="AC34" s="3">
        <f>ROUND(0.0,2)</f>
        <v/>
      </c>
      <c r="AD34" s="3">
        <f>ROUND(0.0,2)</f>
        <v/>
      </c>
      <c r="AE34" s="3">
        <f>ROUND(0.0,2)</f>
        <v/>
      </c>
      <c r="AF34" s="3">
        <f>ROUND(0.0,2)</f>
        <v/>
      </c>
      <c r="AG34" s="3">
        <f>ROUND(0.0,2)</f>
        <v/>
      </c>
      <c r="AH34" s="3">
        <f>ROUND(0.0,2)</f>
        <v/>
      </c>
      <c r="AI34" s="3">
        <f>ROUND(0.0,2)</f>
        <v/>
      </c>
      <c r="AJ34" s="4">
        <f>IFERROR((AD34/AC34),0)</f>
        <v/>
      </c>
      <c r="AK34" s="4">
        <f>IFERROR(((0+AB11+AB12+AB13+AB14+AB15+AB16+AB17+AB19+AB20+AB21+AB22+AB23+AB24+AB25+AB27+AB28+AB29+AB30+AB31+AB32+AB33)/T2),0)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3 Weekly Total</t>
        </is>
      </c>
      <c r="AO34" s="5">
        <f>ROUND(0.0,2)</f>
        <v/>
      </c>
      <c r="AP34" s="3">
        <f>ROUND(0.0,2)</f>
        <v/>
      </c>
      <c r="AQ34" s="3">
        <f>ROUND(0.0,2)</f>
        <v/>
      </c>
      <c r="AR34" s="3">
        <f>ROUND(0.0,2)</f>
        <v/>
      </c>
      <c r="AS34" s="3">
        <f>ROUND(0.0,2)</f>
        <v/>
      </c>
      <c r="AT34" s="3">
        <f>ROUND(0.0,2)</f>
        <v/>
      </c>
      <c r="AU34" s="3">
        <f>ROUND(0.0,2)</f>
        <v/>
      </c>
      <c r="AV34" s="3">
        <f>ROUND(0.0,2)</f>
        <v/>
      </c>
      <c r="AW34" s="4">
        <f>IFERROR((AQ34/AP34),0)</f>
        <v/>
      </c>
      <c r="AX34" s="4">
        <f>IFERROR(((0+AO11+AO12+AO13+AO14+AO15+AO16+AO17+AO19+AO20+AO21+AO22+AO23+AO24+AO25+AO27+AO28+AO29+AO30+AO31+AO32+AO33)/T2),0)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3 Weekly Total</t>
        </is>
      </c>
      <c r="BB34" s="5">
        <f>ROUND(0.0,2)</f>
        <v/>
      </c>
      <c r="BC34" s="3">
        <f>ROUND(0.0,2)</f>
        <v/>
      </c>
      <c r="BD34" s="3">
        <f>ROUND(0.0,2)</f>
        <v/>
      </c>
      <c r="BE34" s="3">
        <f>ROUND(0.0,2)</f>
        <v/>
      </c>
      <c r="BF34" s="3">
        <f>ROUND(0.0,2)</f>
        <v/>
      </c>
      <c r="BG34" s="3">
        <f>ROUND(0.0,2)</f>
        <v/>
      </c>
      <c r="BH34" s="3">
        <f>ROUND(0.0,2)</f>
        <v/>
      </c>
      <c r="BI34" s="3">
        <f>ROUND(0.0,2)</f>
        <v/>
      </c>
      <c r="BJ34" s="4">
        <f>IFERROR((BD34/BC34),0)</f>
        <v/>
      </c>
      <c r="BK34" s="4">
        <f>IFERROR(((0+BB11+BB12+BB13+BB14+BB15+BB16+BB17+BB19+BB20+BB21+BB22+BB23+BB24+BB25+BB27+BB28+BB29+BB30+BB31+BB32+BB33)/T2),0)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3 Weekly Total</t>
        </is>
      </c>
      <c r="BO34" s="5">
        <f>ROUND(0.0,2)</f>
        <v/>
      </c>
      <c r="BP34" s="3">
        <f>ROUND(0.0,2)</f>
        <v/>
      </c>
      <c r="BQ34" s="3">
        <f>ROUND(0.0,2)</f>
        <v/>
      </c>
      <c r="BR34" s="3">
        <f>ROUND(0.0,2)</f>
        <v/>
      </c>
      <c r="BS34" s="3">
        <f>ROUND(0.0,2)</f>
        <v/>
      </c>
      <c r="BT34" s="3">
        <f>ROUND(0.0,2)</f>
        <v/>
      </c>
      <c r="BU34" s="3">
        <f>ROUND(0.0,2)</f>
        <v/>
      </c>
      <c r="BV34" s="3">
        <f>ROUND(0.0,2)</f>
        <v/>
      </c>
      <c r="BW34" s="4">
        <f>IFERROR((BQ34/BP34),0)</f>
        <v/>
      </c>
      <c r="BX34" s="4">
        <f>IFERROR(((0+BO11+BO12+BO13+BO14+BO15+BO16+BO17+BO19+BO20+BO21+BO22+BO23+BO24+BO25+BO27+BO28+BO29+BO30+BO31+BO32+BO33)/T2),0)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3 Weekly Total</t>
        </is>
      </c>
      <c r="CB34" s="5">
        <f>ROUND(0.0,2)</f>
        <v/>
      </c>
      <c r="CC34" s="3">
        <f>ROUND(0.0,2)</f>
        <v/>
      </c>
      <c r="CD34" s="3">
        <f>ROUND(0.0,2)</f>
        <v/>
      </c>
      <c r="CE34" s="3">
        <f>ROUND(0.0,2)</f>
        <v/>
      </c>
      <c r="CF34" s="3">
        <f>ROUND(0.0,2)</f>
        <v/>
      </c>
      <c r="CG34" s="3">
        <f>ROUND(0.0,2)</f>
        <v/>
      </c>
      <c r="CH34" s="3">
        <f>ROUND(0.0,2)</f>
        <v/>
      </c>
      <c r="CI34" s="3">
        <f>ROUND(0.0,2)</f>
        <v/>
      </c>
      <c r="CJ34" s="4">
        <f>IFERROR((CD34/CC34),0)</f>
        <v/>
      </c>
      <c r="CK34" s="4">
        <f>IFERROR(((0+CB11+CB12+CB13+CB14+CB15+CB16+CB17+CB19+CB20+CB21+CB22+CB23+CB24+CB25+CB27+CB28+CB29+CB30+CB31+CB32+CB33)/T2),0)</f>
        <v/>
      </c>
      <c r="CL34" s="5">
        <f>IFERROR(ROUND(CB34/CD34,2),0)</f>
        <v/>
      </c>
      <c r="CM34" s="5">
        <f>IFERROR(ROUND(CB34/CE34,2),0)</f>
        <v/>
      </c>
    </row>
    <row r="35">
      <c r="A35" s="2" t="inlineStr">
        <is>
          <t>2023-10-11</t>
        </is>
      </c>
      <c r="B35" s="5">
        <f>ROUND(0.0,2)</f>
        <v/>
      </c>
      <c r="C35" s="3">
        <f>ROUND(0.0,2)</f>
        <v/>
      </c>
      <c r="D35" s="3">
        <f>ROUND(0.0,2)</f>
        <v/>
      </c>
      <c r="E35" s="3">
        <f>ROUND(0.0,2)</f>
        <v/>
      </c>
      <c r="F35" s="3">
        <f>ROUND(0.0,2)</f>
        <v/>
      </c>
      <c r="G35" s="3">
        <f>ROUND(0.0,2)</f>
        <v/>
      </c>
      <c r="H35" s="3">
        <f>ROUND(0.0,2)</f>
        <v/>
      </c>
      <c r="I35" s="3">
        <f>ROUND(0.0,2)</f>
        <v/>
      </c>
      <c r="J35" s="4">
        <f>IFERROR((D35/C35),0)</f>
        <v/>
      </c>
      <c r="K35" s="4">
        <f>IFERROR(((0+B11+B12+B13+B14+B15+B16+B17+B19+B20+B21+B22+B23+B24+B25+B27+B28+B29+B30+B31+B32+B33+B35)/T2),0)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2023-10-11</t>
        </is>
      </c>
      <c r="O35" s="5">
        <f>ROUND(0.0,2)</f>
        <v/>
      </c>
      <c r="P35" s="3">
        <f>ROUND(0.0,2)</f>
        <v/>
      </c>
      <c r="Q35" s="3">
        <f>ROUND(0.0,2)</f>
        <v/>
      </c>
      <c r="R35" s="3">
        <f>ROUND(0.0,2)</f>
        <v/>
      </c>
      <c r="S35" s="3">
        <f>ROUND(0.0,2)</f>
        <v/>
      </c>
      <c r="T35" s="3">
        <f>ROUND(0.0,2)</f>
        <v/>
      </c>
      <c r="U35" s="3">
        <f>ROUND(0.0,2)</f>
        <v/>
      </c>
      <c r="V35" s="3">
        <f>ROUND(0.0,2)</f>
        <v/>
      </c>
      <c r="W35" s="4">
        <f>IFERROR((Q35/P35),0)</f>
        <v/>
      </c>
      <c r="X35" s="4">
        <f>IFERROR(((0+O11+O12+O13+O14+O15+O16+O17+O19+O20+O21+O22+O23+O24+O25+O27+O28+O29+O30+O31+O32+O33+O35)/T2),0)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2023-10-11</t>
        </is>
      </c>
      <c r="AB35" s="5">
        <f>ROUND(0.0,2)</f>
        <v/>
      </c>
      <c r="AC35" s="3">
        <f>ROUND(0.0,2)</f>
        <v/>
      </c>
      <c r="AD35" s="3">
        <f>ROUND(0.0,2)</f>
        <v/>
      </c>
      <c r="AE35" s="3">
        <f>ROUND(0.0,2)</f>
        <v/>
      </c>
      <c r="AF35" s="3">
        <f>ROUND(0.0,2)</f>
        <v/>
      </c>
      <c r="AG35" s="3">
        <f>ROUND(0.0,2)</f>
        <v/>
      </c>
      <c r="AH35" s="3">
        <f>ROUND(0.0,2)</f>
        <v/>
      </c>
      <c r="AI35" s="3">
        <f>ROUND(0.0,2)</f>
        <v/>
      </c>
      <c r="AJ35" s="4">
        <f>IFERROR((AD35/AC35),0)</f>
        <v/>
      </c>
      <c r="AK35" s="4">
        <f>IFERROR(((0+AB11+AB12+AB13+AB14+AB15+AB16+AB17+AB19+AB20+AB21+AB22+AB23+AB24+AB25+AB27+AB28+AB29+AB30+AB31+AB32+AB33+AB35)/T2),0)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2023-10-11</t>
        </is>
      </c>
      <c r="AO35" s="5">
        <f>ROUND(0.0,2)</f>
        <v/>
      </c>
      <c r="AP35" s="3">
        <f>ROUND(0.0,2)</f>
        <v/>
      </c>
      <c r="AQ35" s="3">
        <f>ROUND(0.0,2)</f>
        <v/>
      </c>
      <c r="AR35" s="3">
        <f>ROUND(0.0,2)</f>
        <v/>
      </c>
      <c r="AS35" s="3">
        <f>ROUND(0.0,2)</f>
        <v/>
      </c>
      <c r="AT35" s="3">
        <f>ROUND(0.0,2)</f>
        <v/>
      </c>
      <c r="AU35" s="3">
        <f>ROUND(0.0,2)</f>
        <v/>
      </c>
      <c r="AV35" s="3">
        <f>ROUND(0.0,2)</f>
        <v/>
      </c>
      <c r="AW35" s="4">
        <f>IFERROR((AQ35/AP35),0)</f>
        <v/>
      </c>
      <c r="AX35" s="4">
        <f>IFERROR(((0+AO11+AO12+AO13+AO14+AO15+AO16+AO17+AO19+AO20+AO21+AO22+AO23+AO24+AO25+AO27+AO28+AO29+AO30+AO31+AO32+AO33+AO35)/T2),0)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2023-10-11</t>
        </is>
      </c>
      <c r="BB35" s="5">
        <f>ROUND(0.0,2)</f>
        <v/>
      </c>
      <c r="BC35" s="3">
        <f>ROUND(0.0,2)</f>
        <v/>
      </c>
      <c r="BD35" s="3">
        <f>ROUND(0.0,2)</f>
        <v/>
      </c>
      <c r="BE35" s="3">
        <f>ROUND(0.0,2)</f>
        <v/>
      </c>
      <c r="BF35" s="3">
        <f>ROUND(0.0,2)</f>
        <v/>
      </c>
      <c r="BG35" s="3">
        <f>ROUND(0.0,2)</f>
        <v/>
      </c>
      <c r="BH35" s="3">
        <f>ROUND(0.0,2)</f>
        <v/>
      </c>
      <c r="BI35" s="3">
        <f>ROUND(0.0,2)</f>
        <v/>
      </c>
      <c r="BJ35" s="4">
        <f>IFERROR((BD35/BC35),0)</f>
        <v/>
      </c>
      <c r="BK35" s="4">
        <f>IFERROR(((0+BB11+BB12+BB13+BB14+BB15+BB16+BB17+BB19+BB20+BB21+BB22+BB23+BB24+BB25+BB27+BB28+BB29+BB30+BB31+BB32+BB33+BB35)/T2),0)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2023-10-11</t>
        </is>
      </c>
      <c r="BO35" s="5">
        <f>ROUND(0.0,2)</f>
        <v/>
      </c>
      <c r="BP35" s="3">
        <f>ROUND(0.0,2)</f>
        <v/>
      </c>
      <c r="BQ35" s="3">
        <f>ROUND(0.0,2)</f>
        <v/>
      </c>
      <c r="BR35" s="3">
        <f>ROUND(0.0,2)</f>
        <v/>
      </c>
      <c r="BS35" s="3">
        <f>ROUND(0.0,2)</f>
        <v/>
      </c>
      <c r="BT35" s="3">
        <f>ROUND(0.0,2)</f>
        <v/>
      </c>
      <c r="BU35" s="3">
        <f>ROUND(0.0,2)</f>
        <v/>
      </c>
      <c r="BV35" s="3">
        <f>ROUND(0.0,2)</f>
        <v/>
      </c>
      <c r="BW35" s="4">
        <f>IFERROR((BQ35/BP35),0)</f>
        <v/>
      </c>
      <c r="BX35" s="4">
        <f>IFERROR(((0+BO11+BO12+BO13+BO14+BO15+BO16+BO17+BO19+BO20+BO21+BO22+BO23+BO24+BO25+BO27+BO28+BO29+BO30+BO31+BO32+BO33+BO35)/T2),0)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2023-10-11</t>
        </is>
      </c>
      <c r="CB35" s="5">
        <f>ROUND(0.0,2)</f>
        <v/>
      </c>
      <c r="CC35" s="3">
        <f>ROUND(0.0,2)</f>
        <v/>
      </c>
      <c r="CD35" s="3">
        <f>ROUND(0.0,2)</f>
        <v/>
      </c>
      <c r="CE35" s="3">
        <f>ROUND(0.0,2)</f>
        <v/>
      </c>
      <c r="CF35" s="3">
        <f>ROUND(0.0,2)</f>
        <v/>
      </c>
      <c r="CG35" s="3">
        <f>ROUND(0.0,2)</f>
        <v/>
      </c>
      <c r="CH35" s="3">
        <f>ROUND(0.0,2)</f>
        <v/>
      </c>
      <c r="CI35" s="3">
        <f>ROUND(0.0,2)</f>
        <v/>
      </c>
      <c r="CJ35" s="4">
        <f>IFERROR((CD35/CC35),0)</f>
        <v/>
      </c>
      <c r="CK35" s="4">
        <f>IFERROR(((0+CB11+CB12+CB13+CB14+CB15+CB16+CB17+CB19+CB20+CB21+CB22+CB23+CB24+CB25+CB27+CB28+CB29+CB30+CB31+CB32+CB33+CB35)/T2),0)</f>
        <v/>
      </c>
      <c r="CL35" s="5">
        <f>IFERROR(ROUND(CB35/CD35,2),0)</f>
        <v/>
      </c>
      <c r="CM35" s="5">
        <f>IFERROR(ROUND(CB35/CE35,2),0)</f>
        <v/>
      </c>
    </row>
    <row r="36">
      <c r="A36" s="2" t="inlineStr">
        <is>
          <t>2023-10-12</t>
        </is>
      </c>
      <c r="B36" s="5">
        <f>ROUND(0.0,2)</f>
        <v/>
      </c>
      <c r="C36" s="3">
        <f>ROUND(0.0,2)</f>
        <v/>
      </c>
      <c r="D36" s="3">
        <f>ROUND(0.0,2)</f>
        <v/>
      </c>
      <c r="E36" s="3">
        <f>ROUND(0.0,2)</f>
        <v/>
      </c>
      <c r="F36" s="3">
        <f>ROUND(0.0,2)</f>
        <v/>
      </c>
      <c r="G36" s="3">
        <f>ROUND(0.0,2)</f>
        <v/>
      </c>
      <c r="H36" s="3">
        <f>ROUND(0.0,2)</f>
        <v/>
      </c>
      <c r="I36" s="3">
        <f>ROUND(0.0,2)</f>
        <v/>
      </c>
      <c r="J36" s="4">
        <f>IFERROR((D36/C36),0)</f>
        <v/>
      </c>
      <c r="K36" s="4">
        <f>IFERROR(((0+B11+B12+B13+B14+B15+B16+B17+B19+B20+B21+B22+B23+B24+B25+B27+B28+B29+B30+B31+B32+B33+B35+B36)/T2),0)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2023-10-12</t>
        </is>
      </c>
      <c r="O36" s="5">
        <f>ROUND(0.0,2)</f>
        <v/>
      </c>
      <c r="P36" s="3">
        <f>ROUND(0.0,2)</f>
        <v/>
      </c>
      <c r="Q36" s="3">
        <f>ROUND(0.0,2)</f>
        <v/>
      </c>
      <c r="R36" s="3">
        <f>ROUND(0.0,2)</f>
        <v/>
      </c>
      <c r="S36" s="3">
        <f>ROUND(0.0,2)</f>
        <v/>
      </c>
      <c r="T36" s="3">
        <f>ROUND(0.0,2)</f>
        <v/>
      </c>
      <c r="U36" s="3">
        <f>ROUND(0.0,2)</f>
        <v/>
      </c>
      <c r="V36" s="3">
        <f>ROUND(0.0,2)</f>
        <v/>
      </c>
      <c r="W36" s="4">
        <f>IFERROR((Q36/P36),0)</f>
        <v/>
      </c>
      <c r="X36" s="4">
        <f>IFERROR(((0+O11+O12+O13+O14+O15+O16+O17+O19+O20+O21+O22+O23+O24+O25+O27+O28+O29+O30+O31+O32+O33+O35+O36)/T2),0)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2023-10-12</t>
        </is>
      </c>
      <c r="AB36" s="5">
        <f>ROUND(0.0,2)</f>
        <v/>
      </c>
      <c r="AC36" s="3">
        <f>ROUND(0.0,2)</f>
        <v/>
      </c>
      <c r="AD36" s="3">
        <f>ROUND(0.0,2)</f>
        <v/>
      </c>
      <c r="AE36" s="3">
        <f>ROUND(0.0,2)</f>
        <v/>
      </c>
      <c r="AF36" s="3">
        <f>ROUND(0.0,2)</f>
        <v/>
      </c>
      <c r="AG36" s="3">
        <f>ROUND(0.0,2)</f>
        <v/>
      </c>
      <c r="AH36" s="3">
        <f>ROUND(0.0,2)</f>
        <v/>
      </c>
      <c r="AI36" s="3">
        <f>ROUND(0.0,2)</f>
        <v/>
      </c>
      <c r="AJ36" s="4">
        <f>IFERROR((AD36/AC36),0)</f>
        <v/>
      </c>
      <c r="AK36" s="4">
        <f>IFERROR(((0+AB11+AB12+AB13+AB14+AB15+AB16+AB17+AB19+AB20+AB21+AB22+AB23+AB24+AB25+AB27+AB28+AB29+AB30+AB31+AB32+AB33+AB35+AB36)/T2),0)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2023-10-12</t>
        </is>
      </c>
      <c r="AO36" s="5">
        <f>ROUND(0.0,2)</f>
        <v/>
      </c>
      <c r="AP36" s="3">
        <f>ROUND(0.0,2)</f>
        <v/>
      </c>
      <c r="AQ36" s="3">
        <f>ROUND(0.0,2)</f>
        <v/>
      </c>
      <c r="AR36" s="3">
        <f>ROUND(0.0,2)</f>
        <v/>
      </c>
      <c r="AS36" s="3">
        <f>ROUND(0.0,2)</f>
        <v/>
      </c>
      <c r="AT36" s="3">
        <f>ROUND(0.0,2)</f>
        <v/>
      </c>
      <c r="AU36" s="3">
        <f>ROUND(0.0,2)</f>
        <v/>
      </c>
      <c r="AV36" s="3">
        <f>ROUND(0.0,2)</f>
        <v/>
      </c>
      <c r="AW36" s="4">
        <f>IFERROR((AQ36/AP36),0)</f>
        <v/>
      </c>
      <c r="AX36" s="4">
        <f>IFERROR(((0+AO11+AO12+AO13+AO14+AO15+AO16+AO17+AO19+AO20+AO21+AO22+AO23+AO24+AO25+AO27+AO28+AO29+AO30+AO31+AO32+AO33+AO35+AO36)/T2),0)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2023-10-12</t>
        </is>
      </c>
      <c r="BB36" s="5">
        <f>ROUND(0.0,2)</f>
        <v/>
      </c>
      <c r="BC36" s="3">
        <f>ROUND(0.0,2)</f>
        <v/>
      </c>
      <c r="BD36" s="3">
        <f>ROUND(0.0,2)</f>
        <v/>
      </c>
      <c r="BE36" s="3">
        <f>ROUND(0.0,2)</f>
        <v/>
      </c>
      <c r="BF36" s="3">
        <f>ROUND(0.0,2)</f>
        <v/>
      </c>
      <c r="BG36" s="3">
        <f>ROUND(0.0,2)</f>
        <v/>
      </c>
      <c r="BH36" s="3">
        <f>ROUND(0.0,2)</f>
        <v/>
      </c>
      <c r="BI36" s="3">
        <f>ROUND(0.0,2)</f>
        <v/>
      </c>
      <c r="BJ36" s="4">
        <f>IFERROR((BD36/BC36),0)</f>
        <v/>
      </c>
      <c r="BK36" s="4">
        <f>IFERROR(((0+BB11+BB12+BB13+BB14+BB15+BB16+BB17+BB19+BB20+BB21+BB22+BB23+BB24+BB25+BB27+BB28+BB29+BB30+BB31+BB32+BB33+BB35+BB36)/T2),0)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2023-10-12</t>
        </is>
      </c>
      <c r="BO36" s="5">
        <f>ROUND(0.0,2)</f>
        <v/>
      </c>
      <c r="BP36" s="3">
        <f>ROUND(0.0,2)</f>
        <v/>
      </c>
      <c r="BQ36" s="3">
        <f>ROUND(0.0,2)</f>
        <v/>
      </c>
      <c r="BR36" s="3">
        <f>ROUND(0.0,2)</f>
        <v/>
      </c>
      <c r="BS36" s="3">
        <f>ROUND(0.0,2)</f>
        <v/>
      </c>
      <c r="BT36" s="3">
        <f>ROUND(0.0,2)</f>
        <v/>
      </c>
      <c r="BU36" s="3">
        <f>ROUND(0.0,2)</f>
        <v/>
      </c>
      <c r="BV36" s="3">
        <f>ROUND(0.0,2)</f>
        <v/>
      </c>
      <c r="BW36" s="4">
        <f>IFERROR((BQ36/BP36),0)</f>
        <v/>
      </c>
      <c r="BX36" s="4">
        <f>IFERROR(((0+BO11+BO12+BO13+BO14+BO15+BO16+BO17+BO19+BO20+BO21+BO22+BO23+BO24+BO25+BO27+BO28+BO29+BO30+BO31+BO32+BO33+BO35+BO36)/T2),0)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2023-10-12</t>
        </is>
      </c>
      <c r="CB36" s="5">
        <f>ROUND(0.0,2)</f>
        <v/>
      </c>
      <c r="CC36" s="3">
        <f>ROUND(0.0,2)</f>
        <v/>
      </c>
      <c r="CD36" s="3">
        <f>ROUND(0.0,2)</f>
        <v/>
      </c>
      <c r="CE36" s="3">
        <f>ROUND(0.0,2)</f>
        <v/>
      </c>
      <c r="CF36" s="3">
        <f>ROUND(0.0,2)</f>
        <v/>
      </c>
      <c r="CG36" s="3">
        <f>ROUND(0.0,2)</f>
        <v/>
      </c>
      <c r="CH36" s="3">
        <f>ROUND(0.0,2)</f>
        <v/>
      </c>
      <c r="CI36" s="3">
        <f>ROUND(0.0,2)</f>
        <v/>
      </c>
      <c r="CJ36" s="4">
        <f>IFERROR((CD36/CC36),0)</f>
        <v/>
      </c>
      <c r="CK36" s="4">
        <f>IFERROR(((0+CB11+CB12+CB13+CB14+CB15+CB16+CB17+CB19+CB20+CB21+CB22+CB23+CB24+CB25+CB27+CB28+CB29+CB30+CB31+CB32+CB33+CB35+CB36)/T2),0)</f>
        <v/>
      </c>
      <c r="CL36" s="5">
        <f>IFERROR(ROUND(CB36/CD36,2),0)</f>
        <v/>
      </c>
      <c r="CM36" s="5">
        <f>IFERROR(ROUND(CB36/CE36,2),0)</f>
        <v/>
      </c>
    </row>
    <row r="37">
      <c r="A37" s="2" t="inlineStr">
        <is>
          <t>2023-10-13</t>
        </is>
      </c>
      <c r="B37" s="5">
        <f>ROUND(0.0,2)</f>
        <v/>
      </c>
      <c r="C37" s="3">
        <f>ROUND(0.0,2)</f>
        <v/>
      </c>
      <c r="D37" s="3">
        <f>ROUND(0.0,2)</f>
        <v/>
      </c>
      <c r="E37" s="3">
        <f>ROUND(0.0,2)</f>
        <v/>
      </c>
      <c r="F37" s="3">
        <f>ROUND(0.0,2)</f>
        <v/>
      </c>
      <c r="G37" s="3">
        <f>ROUND(0.0,2)</f>
        <v/>
      </c>
      <c r="H37" s="3">
        <f>ROUND(0.0,2)</f>
        <v/>
      </c>
      <c r="I37" s="3">
        <f>ROUND(0.0,2)</f>
        <v/>
      </c>
      <c r="J37" s="4">
        <f>IFERROR((D37/C37),0)</f>
        <v/>
      </c>
      <c r="K37" s="4">
        <f>IFERROR(((0+B11+B12+B13+B14+B15+B16+B17+B19+B20+B21+B22+B23+B24+B25+B27+B28+B29+B30+B31+B32+B33+B35+B36+B37)/T2),0)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2023-10-13</t>
        </is>
      </c>
      <c r="O37" s="5">
        <f>ROUND(0.0,2)</f>
        <v/>
      </c>
      <c r="P37" s="3">
        <f>ROUND(0.0,2)</f>
        <v/>
      </c>
      <c r="Q37" s="3">
        <f>ROUND(0.0,2)</f>
        <v/>
      </c>
      <c r="R37" s="3">
        <f>ROUND(0.0,2)</f>
        <v/>
      </c>
      <c r="S37" s="3">
        <f>ROUND(0.0,2)</f>
        <v/>
      </c>
      <c r="T37" s="3">
        <f>ROUND(0.0,2)</f>
        <v/>
      </c>
      <c r="U37" s="3">
        <f>ROUND(0.0,2)</f>
        <v/>
      </c>
      <c r="V37" s="3">
        <f>ROUND(0.0,2)</f>
        <v/>
      </c>
      <c r="W37" s="4">
        <f>IFERROR((Q37/P37),0)</f>
        <v/>
      </c>
      <c r="X37" s="4">
        <f>IFERROR(((0+O11+O12+O13+O14+O15+O16+O17+O19+O20+O21+O22+O23+O24+O25+O27+O28+O29+O30+O31+O32+O33+O35+O36+O37)/T2),0)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2023-10-13</t>
        </is>
      </c>
      <c r="AB37" s="5">
        <f>ROUND(0.0,2)</f>
        <v/>
      </c>
      <c r="AC37" s="3">
        <f>ROUND(0.0,2)</f>
        <v/>
      </c>
      <c r="AD37" s="3">
        <f>ROUND(0.0,2)</f>
        <v/>
      </c>
      <c r="AE37" s="3">
        <f>ROUND(0.0,2)</f>
        <v/>
      </c>
      <c r="AF37" s="3">
        <f>ROUND(0.0,2)</f>
        <v/>
      </c>
      <c r="AG37" s="3">
        <f>ROUND(0.0,2)</f>
        <v/>
      </c>
      <c r="AH37" s="3">
        <f>ROUND(0.0,2)</f>
        <v/>
      </c>
      <c r="AI37" s="3">
        <f>ROUND(0.0,2)</f>
        <v/>
      </c>
      <c r="AJ37" s="4">
        <f>IFERROR((AD37/AC37),0)</f>
        <v/>
      </c>
      <c r="AK37" s="4">
        <f>IFERROR(((0+AB11+AB12+AB13+AB14+AB15+AB16+AB17+AB19+AB20+AB21+AB22+AB23+AB24+AB25+AB27+AB28+AB29+AB30+AB31+AB32+AB33+AB35+AB36+AB37)/T2),0)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2023-10-13</t>
        </is>
      </c>
      <c r="AO37" s="5">
        <f>ROUND(0.0,2)</f>
        <v/>
      </c>
      <c r="AP37" s="3">
        <f>ROUND(0.0,2)</f>
        <v/>
      </c>
      <c r="AQ37" s="3">
        <f>ROUND(0.0,2)</f>
        <v/>
      </c>
      <c r="AR37" s="3">
        <f>ROUND(0.0,2)</f>
        <v/>
      </c>
      <c r="AS37" s="3">
        <f>ROUND(0.0,2)</f>
        <v/>
      </c>
      <c r="AT37" s="3">
        <f>ROUND(0.0,2)</f>
        <v/>
      </c>
      <c r="AU37" s="3">
        <f>ROUND(0.0,2)</f>
        <v/>
      </c>
      <c r="AV37" s="3">
        <f>ROUND(0.0,2)</f>
        <v/>
      </c>
      <c r="AW37" s="4">
        <f>IFERROR((AQ37/AP37),0)</f>
        <v/>
      </c>
      <c r="AX37" s="4">
        <f>IFERROR(((0+AO11+AO12+AO13+AO14+AO15+AO16+AO17+AO19+AO20+AO21+AO22+AO23+AO24+AO25+AO27+AO28+AO29+AO30+AO31+AO32+AO33+AO35+AO36+AO37)/T2),0)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2023-10-13</t>
        </is>
      </c>
      <c r="BB37" s="5">
        <f>ROUND(0.0,2)</f>
        <v/>
      </c>
      <c r="BC37" s="3">
        <f>ROUND(0.0,2)</f>
        <v/>
      </c>
      <c r="BD37" s="3">
        <f>ROUND(0.0,2)</f>
        <v/>
      </c>
      <c r="BE37" s="3">
        <f>ROUND(0.0,2)</f>
        <v/>
      </c>
      <c r="BF37" s="3">
        <f>ROUND(0.0,2)</f>
        <v/>
      </c>
      <c r="BG37" s="3">
        <f>ROUND(0.0,2)</f>
        <v/>
      </c>
      <c r="BH37" s="3">
        <f>ROUND(0.0,2)</f>
        <v/>
      </c>
      <c r="BI37" s="3">
        <f>ROUND(0.0,2)</f>
        <v/>
      </c>
      <c r="BJ37" s="4">
        <f>IFERROR((BD37/BC37),0)</f>
        <v/>
      </c>
      <c r="BK37" s="4">
        <f>IFERROR(((0+BB11+BB12+BB13+BB14+BB15+BB16+BB17+BB19+BB20+BB21+BB22+BB23+BB24+BB25+BB27+BB28+BB29+BB30+BB31+BB32+BB33+BB35+BB36+BB37)/T2),0)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2023-10-13</t>
        </is>
      </c>
      <c r="BO37" s="5">
        <f>ROUND(0.0,2)</f>
        <v/>
      </c>
      <c r="BP37" s="3">
        <f>ROUND(0.0,2)</f>
        <v/>
      </c>
      <c r="BQ37" s="3">
        <f>ROUND(0.0,2)</f>
        <v/>
      </c>
      <c r="BR37" s="3">
        <f>ROUND(0.0,2)</f>
        <v/>
      </c>
      <c r="BS37" s="3">
        <f>ROUND(0.0,2)</f>
        <v/>
      </c>
      <c r="BT37" s="3">
        <f>ROUND(0.0,2)</f>
        <v/>
      </c>
      <c r="BU37" s="3">
        <f>ROUND(0.0,2)</f>
        <v/>
      </c>
      <c r="BV37" s="3">
        <f>ROUND(0.0,2)</f>
        <v/>
      </c>
      <c r="BW37" s="4">
        <f>IFERROR((BQ37/BP37),0)</f>
        <v/>
      </c>
      <c r="BX37" s="4">
        <f>IFERROR(((0+BO11+BO12+BO13+BO14+BO15+BO16+BO17+BO19+BO20+BO21+BO22+BO23+BO24+BO25+BO27+BO28+BO29+BO30+BO31+BO32+BO33+BO35+BO36+BO37)/T2),0)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2023-10-13</t>
        </is>
      </c>
      <c r="CB37" s="5">
        <f>ROUND(0.0,2)</f>
        <v/>
      </c>
      <c r="CC37" s="3">
        <f>ROUND(0.0,2)</f>
        <v/>
      </c>
      <c r="CD37" s="3">
        <f>ROUND(0.0,2)</f>
        <v/>
      </c>
      <c r="CE37" s="3">
        <f>ROUND(0.0,2)</f>
        <v/>
      </c>
      <c r="CF37" s="3">
        <f>ROUND(0.0,2)</f>
        <v/>
      </c>
      <c r="CG37" s="3">
        <f>ROUND(0.0,2)</f>
        <v/>
      </c>
      <c r="CH37" s="3">
        <f>ROUND(0.0,2)</f>
        <v/>
      </c>
      <c r="CI37" s="3">
        <f>ROUND(0.0,2)</f>
        <v/>
      </c>
      <c r="CJ37" s="4">
        <f>IFERROR((CD37/CC37),0)</f>
        <v/>
      </c>
      <c r="CK37" s="4">
        <f>IFERROR(((0+CB11+CB12+CB13+CB14+CB15+CB16+CB17+CB19+CB20+CB21+CB22+CB23+CB24+CB25+CB27+CB28+CB29+CB30+CB31+CB32+CB33+CB35+CB36+CB37)/T2),0)</f>
        <v/>
      </c>
      <c r="CL37" s="5">
        <f>IFERROR(ROUND(CB37/CD37,2),0)</f>
        <v/>
      </c>
      <c r="CM37" s="5">
        <f>IFERROR(ROUND(CB37/CE37,2),0)</f>
        <v/>
      </c>
    </row>
    <row r="38">
      <c r="A38" s="2" t="inlineStr">
        <is>
          <t>2023-10-14</t>
        </is>
      </c>
      <c r="B38" s="5">
        <f>ROUND(0.0,2)</f>
        <v/>
      </c>
      <c r="C38" s="3">
        <f>ROUND(0.0,2)</f>
        <v/>
      </c>
      <c r="D38" s="3">
        <f>ROUND(0.0,2)</f>
        <v/>
      </c>
      <c r="E38" s="3">
        <f>ROUND(0.0,2)</f>
        <v/>
      </c>
      <c r="F38" s="3">
        <f>ROUND(0.0,2)</f>
        <v/>
      </c>
      <c r="G38" s="3">
        <f>ROUND(0.0,2)</f>
        <v/>
      </c>
      <c r="H38" s="3">
        <f>ROUND(0.0,2)</f>
        <v/>
      </c>
      <c r="I38" s="3">
        <f>ROUND(0.0,2)</f>
        <v/>
      </c>
      <c r="J38" s="4">
        <f>IFERROR((D38/C38),0)</f>
        <v/>
      </c>
      <c r="K38" s="4">
        <f>IFERROR(((0+B11+B12+B13+B14+B15+B16+B17+B19+B20+B21+B22+B23+B24+B25+B27+B28+B29+B30+B31+B32+B33+B35+B36+B37+B38)/T2),0)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2023-10-14</t>
        </is>
      </c>
      <c r="O38" s="5">
        <f>ROUND(0.0,2)</f>
        <v/>
      </c>
      <c r="P38" s="3">
        <f>ROUND(0.0,2)</f>
        <v/>
      </c>
      <c r="Q38" s="3">
        <f>ROUND(0.0,2)</f>
        <v/>
      </c>
      <c r="R38" s="3">
        <f>ROUND(0.0,2)</f>
        <v/>
      </c>
      <c r="S38" s="3">
        <f>ROUND(0.0,2)</f>
        <v/>
      </c>
      <c r="T38" s="3">
        <f>ROUND(0.0,2)</f>
        <v/>
      </c>
      <c r="U38" s="3">
        <f>ROUND(0.0,2)</f>
        <v/>
      </c>
      <c r="V38" s="3">
        <f>ROUND(0.0,2)</f>
        <v/>
      </c>
      <c r="W38" s="4">
        <f>IFERROR((Q38/P38),0)</f>
        <v/>
      </c>
      <c r="X38" s="4">
        <f>IFERROR(((0+O11+O12+O13+O14+O15+O16+O17+O19+O20+O21+O22+O23+O24+O25+O27+O28+O29+O30+O31+O32+O33+O35+O36+O37+O38)/T2),0)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2023-10-14</t>
        </is>
      </c>
      <c r="AB38" s="5">
        <f>ROUND(0.0,2)</f>
        <v/>
      </c>
      <c r="AC38" s="3">
        <f>ROUND(0.0,2)</f>
        <v/>
      </c>
      <c r="AD38" s="3">
        <f>ROUND(0.0,2)</f>
        <v/>
      </c>
      <c r="AE38" s="3">
        <f>ROUND(0.0,2)</f>
        <v/>
      </c>
      <c r="AF38" s="3">
        <f>ROUND(0.0,2)</f>
        <v/>
      </c>
      <c r="AG38" s="3">
        <f>ROUND(0.0,2)</f>
        <v/>
      </c>
      <c r="AH38" s="3">
        <f>ROUND(0.0,2)</f>
        <v/>
      </c>
      <c r="AI38" s="3">
        <f>ROUND(0.0,2)</f>
        <v/>
      </c>
      <c r="AJ38" s="4">
        <f>IFERROR((AD38/AC38),0)</f>
        <v/>
      </c>
      <c r="AK38" s="4">
        <f>IFERROR(((0+AB11+AB12+AB13+AB14+AB15+AB16+AB17+AB19+AB20+AB21+AB22+AB23+AB24+AB25+AB27+AB28+AB29+AB30+AB31+AB32+AB33+AB35+AB36+AB37+AB38)/T2),0)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2023-10-14</t>
        </is>
      </c>
      <c r="AO38" s="5">
        <f>ROUND(0.0,2)</f>
        <v/>
      </c>
      <c r="AP38" s="3">
        <f>ROUND(0.0,2)</f>
        <v/>
      </c>
      <c r="AQ38" s="3">
        <f>ROUND(0.0,2)</f>
        <v/>
      </c>
      <c r="AR38" s="3">
        <f>ROUND(0.0,2)</f>
        <v/>
      </c>
      <c r="AS38" s="3">
        <f>ROUND(0.0,2)</f>
        <v/>
      </c>
      <c r="AT38" s="3">
        <f>ROUND(0.0,2)</f>
        <v/>
      </c>
      <c r="AU38" s="3">
        <f>ROUND(0.0,2)</f>
        <v/>
      </c>
      <c r="AV38" s="3">
        <f>ROUND(0.0,2)</f>
        <v/>
      </c>
      <c r="AW38" s="4">
        <f>IFERROR((AQ38/AP38),0)</f>
        <v/>
      </c>
      <c r="AX38" s="4">
        <f>IFERROR(((0+AO11+AO12+AO13+AO14+AO15+AO16+AO17+AO19+AO20+AO21+AO22+AO23+AO24+AO25+AO27+AO28+AO29+AO30+AO31+AO32+AO33+AO35+AO36+AO37+AO38)/T2),0)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2023-10-14</t>
        </is>
      </c>
      <c r="BB38" s="5">
        <f>ROUND(0.0,2)</f>
        <v/>
      </c>
      <c r="BC38" s="3">
        <f>ROUND(0.0,2)</f>
        <v/>
      </c>
      <c r="BD38" s="3">
        <f>ROUND(0.0,2)</f>
        <v/>
      </c>
      <c r="BE38" s="3">
        <f>ROUND(0.0,2)</f>
        <v/>
      </c>
      <c r="BF38" s="3">
        <f>ROUND(0.0,2)</f>
        <v/>
      </c>
      <c r="BG38" s="3">
        <f>ROUND(0.0,2)</f>
        <v/>
      </c>
      <c r="BH38" s="3">
        <f>ROUND(0.0,2)</f>
        <v/>
      </c>
      <c r="BI38" s="3">
        <f>ROUND(0.0,2)</f>
        <v/>
      </c>
      <c r="BJ38" s="4">
        <f>IFERROR((BD38/BC38),0)</f>
        <v/>
      </c>
      <c r="BK38" s="4">
        <f>IFERROR(((0+BB11+BB12+BB13+BB14+BB15+BB16+BB17+BB19+BB20+BB21+BB22+BB23+BB24+BB25+BB27+BB28+BB29+BB30+BB31+BB32+BB33+BB35+BB36+BB37+BB38)/T2),0)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2023-10-14</t>
        </is>
      </c>
      <c r="BO38" s="5">
        <f>ROUND(0.0,2)</f>
        <v/>
      </c>
      <c r="BP38" s="3">
        <f>ROUND(0.0,2)</f>
        <v/>
      </c>
      <c r="BQ38" s="3">
        <f>ROUND(0.0,2)</f>
        <v/>
      </c>
      <c r="BR38" s="3">
        <f>ROUND(0.0,2)</f>
        <v/>
      </c>
      <c r="BS38" s="3">
        <f>ROUND(0.0,2)</f>
        <v/>
      </c>
      <c r="BT38" s="3">
        <f>ROUND(0.0,2)</f>
        <v/>
      </c>
      <c r="BU38" s="3">
        <f>ROUND(0.0,2)</f>
        <v/>
      </c>
      <c r="BV38" s="3">
        <f>ROUND(0.0,2)</f>
        <v/>
      </c>
      <c r="BW38" s="4">
        <f>IFERROR((BQ38/BP38),0)</f>
        <v/>
      </c>
      <c r="BX38" s="4">
        <f>IFERROR(((0+BO11+BO12+BO13+BO14+BO15+BO16+BO17+BO19+BO20+BO21+BO22+BO23+BO24+BO25+BO27+BO28+BO29+BO30+BO31+BO32+BO33+BO35+BO36+BO37+BO38)/T2),0)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2023-10-14</t>
        </is>
      </c>
      <c r="CB38" s="5">
        <f>ROUND(0.0,2)</f>
        <v/>
      </c>
      <c r="CC38" s="3">
        <f>ROUND(0.0,2)</f>
        <v/>
      </c>
      <c r="CD38" s="3">
        <f>ROUND(0.0,2)</f>
        <v/>
      </c>
      <c r="CE38" s="3">
        <f>ROUND(0.0,2)</f>
        <v/>
      </c>
      <c r="CF38" s="3">
        <f>ROUND(0.0,2)</f>
        <v/>
      </c>
      <c r="CG38" s="3">
        <f>ROUND(0.0,2)</f>
        <v/>
      </c>
      <c r="CH38" s="3">
        <f>ROUND(0.0,2)</f>
        <v/>
      </c>
      <c r="CI38" s="3">
        <f>ROUND(0.0,2)</f>
        <v/>
      </c>
      <c r="CJ38" s="4">
        <f>IFERROR((CD38/CC38),0)</f>
        <v/>
      </c>
      <c r="CK38" s="4">
        <f>IFERROR(((0+CB11+CB12+CB13+CB14+CB15+CB16+CB17+CB19+CB20+CB21+CB22+CB23+CB24+CB25+CB27+CB28+CB29+CB30+CB31+CB32+CB33+CB35+CB36+CB37+CB38)/T2),0)</f>
        <v/>
      </c>
      <c r="CL38" s="5">
        <f>IFERROR(ROUND(CB38/CD38,2),0)</f>
        <v/>
      </c>
      <c r="CM38" s="5">
        <f>IFERROR(ROUND(CB38/CE38,2),0)</f>
        <v/>
      </c>
    </row>
    <row r="39">
      <c r="A39" s="2" t="inlineStr">
        <is>
          <t>2023-10-15</t>
        </is>
      </c>
      <c r="B39" s="5">
        <f>ROUND(0.0,2)</f>
        <v/>
      </c>
      <c r="C39" s="3">
        <f>ROUND(0.0,2)</f>
        <v/>
      </c>
      <c r="D39" s="3">
        <f>ROUND(0.0,2)</f>
        <v/>
      </c>
      <c r="E39" s="3">
        <f>ROUND(0.0,2)</f>
        <v/>
      </c>
      <c r="F39" s="3">
        <f>ROUND(0.0,2)</f>
        <v/>
      </c>
      <c r="G39" s="3">
        <f>ROUND(0.0,2)</f>
        <v/>
      </c>
      <c r="H39" s="3">
        <f>ROUND(0.0,2)</f>
        <v/>
      </c>
      <c r="I39" s="3">
        <f>ROUND(0.0,2)</f>
        <v/>
      </c>
      <c r="J39" s="4">
        <f>IFERROR((D39/C39),0)</f>
        <v/>
      </c>
      <c r="K39" s="4">
        <f>IFERROR(((0+B11+B12+B13+B14+B15+B16+B17+B19+B20+B21+B22+B23+B24+B25+B27+B28+B29+B30+B31+B32+B33+B35+B36+B37+B38+B39)/T2),0)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2023-10-15</t>
        </is>
      </c>
      <c r="O39" s="5">
        <f>ROUND(0.0,2)</f>
        <v/>
      </c>
      <c r="P39" s="3">
        <f>ROUND(0.0,2)</f>
        <v/>
      </c>
      <c r="Q39" s="3">
        <f>ROUND(0.0,2)</f>
        <v/>
      </c>
      <c r="R39" s="3">
        <f>ROUND(0.0,2)</f>
        <v/>
      </c>
      <c r="S39" s="3">
        <f>ROUND(0.0,2)</f>
        <v/>
      </c>
      <c r="T39" s="3">
        <f>ROUND(0.0,2)</f>
        <v/>
      </c>
      <c r="U39" s="3">
        <f>ROUND(0.0,2)</f>
        <v/>
      </c>
      <c r="V39" s="3">
        <f>ROUND(0.0,2)</f>
        <v/>
      </c>
      <c r="W39" s="4">
        <f>IFERROR((Q39/P39),0)</f>
        <v/>
      </c>
      <c r="X39" s="4">
        <f>IFERROR(((0+O11+O12+O13+O14+O15+O16+O17+O19+O20+O21+O22+O23+O24+O25+O27+O28+O29+O30+O31+O32+O33+O35+O36+O37+O38+O39)/T2),0)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2023-10-15</t>
        </is>
      </c>
      <c r="AB39" s="5">
        <f>ROUND(0.0,2)</f>
        <v/>
      </c>
      <c r="AC39" s="3">
        <f>ROUND(0.0,2)</f>
        <v/>
      </c>
      <c r="AD39" s="3">
        <f>ROUND(0.0,2)</f>
        <v/>
      </c>
      <c r="AE39" s="3">
        <f>ROUND(0.0,2)</f>
        <v/>
      </c>
      <c r="AF39" s="3">
        <f>ROUND(0.0,2)</f>
        <v/>
      </c>
      <c r="AG39" s="3">
        <f>ROUND(0.0,2)</f>
        <v/>
      </c>
      <c r="AH39" s="3">
        <f>ROUND(0.0,2)</f>
        <v/>
      </c>
      <c r="AI39" s="3">
        <f>ROUND(0.0,2)</f>
        <v/>
      </c>
      <c r="AJ39" s="4">
        <f>IFERROR((AD39/AC39),0)</f>
        <v/>
      </c>
      <c r="AK39" s="4">
        <f>IFERROR(((0+AB11+AB12+AB13+AB14+AB15+AB16+AB17+AB19+AB20+AB21+AB22+AB23+AB24+AB25+AB27+AB28+AB29+AB30+AB31+AB32+AB33+AB35+AB36+AB37+AB38+AB39)/T2),0)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2023-10-15</t>
        </is>
      </c>
      <c r="AO39" s="5">
        <f>ROUND(0.0,2)</f>
        <v/>
      </c>
      <c r="AP39" s="3">
        <f>ROUND(0.0,2)</f>
        <v/>
      </c>
      <c r="AQ39" s="3">
        <f>ROUND(0.0,2)</f>
        <v/>
      </c>
      <c r="AR39" s="3">
        <f>ROUND(0.0,2)</f>
        <v/>
      </c>
      <c r="AS39" s="3">
        <f>ROUND(0.0,2)</f>
        <v/>
      </c>
      <c r="AT39" s="3">
        <f>ROUND(0.0,2)</f>
        <v/>
      </c>
      <c r="AU39" s="3">
        <f>ROUND(0.0,2)</f>
        <v/>
      </c>
      <c r="AV39" s="3">
        <f>ROUND(0.0,2)</f>
        <v/>
      </c>
      <c r="AW39" s="4">
        <f>IFERROR((AQ39/AP39),0)</f>
        <v/>
      </c>
      <c r="AX39" s="4">
        <f>IFERROR(((0+AO11+AO12+AO13+AO14+AO15+AO16+AO17+AO19+AO20+AO21+AO22+AO23+AO24+AO25+AO27+AO28+AO29+AO30+AO31+AO32+AO33+AO35+AO36+AO37+AO38+AO39)/T2),0)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2023-10-15</t>
        </is>
      </c>
      <c r="BB39" s="5">
        <f>ROUND(0.0,2)</f>
        <v/>
      </c>
      <c r="BC39" s="3">
        <f>ROUND(0.0,2)</f>
        <v/>
      </c>
      <c r="BD39" s="3">
        <f>ROUND(0.0,2)</f>
        <v/>
      </c>
      <c r="BE39" s="3">
        <f>ROUND(0.0,2)</f>
        <v/>
      </c>
      <c r="BF39" s="3">
        <f>ROUND(0.0,2)</f>
        <v/>
      </c>
      <c r="BG39" s="3">
        <f>ROUND(0.0,2)</f>
        <v/>
      </c>
      <c r="BH39" s="3">
        <f>ROUND(0.0,2)</f>
        <v/>
      </c>
      <c r="BI39" s="3">
        <f>ROUND(0.0,2)</f>
        <v/>
      </c>
      <c r="BJ39" s="4">
        <f>IFERROR((BD39/BC39),0)</f>
        <v/>
      </c>
      <c r="BK39" s="4">
        <f>IFERROR(((0+BB11+BB12+BB13+BB14+BB15+BB16+BB17+BB19+BB20+BB21+BB22+BB23+BB24+BB25+BB27+BB28+BB29+BB30+BB31+BB32+BB33+BB35+BB36+BB37+BB38+BB39)/T2),0)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2023-10-15</t>
        </is>
      </c>
      <c r="BO39" s="5">
        <f>ROUND(0.0,2)</f>
        <v/>
      </c>
      <c r="BP39" s="3">
        <f>ROUND(0.0,2)</f>
        <v/>
      </c>
      <c r="BQ39" s="3">
        <f>ROUND(0.0,2)</f>
        <v/>
      </c>
      <c r="BR39" s="3">
        <f>ROUND(0.0,2)</f>
        <v/>
      </c>
      <c r="BS39" s="3">
        <f>ROUND(0.0,2)</f>
        <v/>
      </c>
      <c r="BT39" s="3">
        <f>ROUND(0.0,2)</f>
        <v/>
      </c>
      <c r="BU39" s="3">
        <f>ROUND(0.0,2)</f>
        <v/>
      </c>
      <c r="BV39" s="3">
        <f>ROUND(0.0,2)</f>
        <v/>
      </c>
      <c r="BW39" s="4">
        <f>IFERROR((BQ39/BP39),0)</f>
        <v/>
      </c>
      <c r="BX39" s="4">
        <f>IFERROR(((0+BO11+BO12+BO13+BO14+BO15+BO16+BO17+BO19+BO20+BO21+BO22+BO23+BO24+BO25+BO27+BO28+BO29+BO30+BO31+BO32+BO33+BO35+BO36+BO37+BO38+BO39)/T2),0)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2023-10-15</t>
        </is>
      </c>
      <c r="CB39" s="5">
        <f>ROUND(0.0,2)</f>
        <v/>
      </c>
      <c r="CC39" s="3">
        <f>ROUND(0.0,2)</f>
        <v/>
      </c>
      <c r="CD39" s="3">
        <f>ROUND(0.0,2)</f>
        <v/>
      </c>
      <c r="CE39" s="3">
        <f>ROUND(0.0,2)</f>
        <v/>
      </c>
      <c r="CF39" s="3">
        <f>ROUND(0.0,2)</f>
        <v/>
      </c>
      <c r="CG39" s="3">
        <f>ROUND(0.0,2)</f>
        <v/>
      </c>
      <c r="CH39" s="3">
        <f>ROUND(0.0,2)</f>
        <v/>
      </c>
      <c r="CI39" s="3">
        <f>ROUND(0.0,2)</f>
        <v/>
      </c>
      <c r="CJ39" s="4">
        <f>IFERROR((CD39/CC39),0)</f>
        <v/>
      </c>
      <c r="CK39" s="4">
        <f>IFERROR(((0+CB11+CB12+CB13+CB14+CB15+CB16+CB17+CB19+CB20+CB21+CB22+CB23+CB24+CB25+CB27+CB28+CB29+CB30+CB31+CB32+CB33+CB35+CB36+CB37+CB38+CB39)/T2),0)</f>
        <v/>
      </c>
      <c r="CL39" s="5">
        <f>IFERROR(ROUND(CB39/CD39,2),0)</f>
        <v/>
      </c>
      <c r="CM39" s="5">
        <f>IFERROR(ROUND(CB39/CE39,2),0)</f>
        <v/>
      </c>
    </row>
    <row r="40">
      <c r="A40" s="2" t="inlineStr">
        <is>
          <t>2023-10-16</t>
        </is>
      </c>
      <c r="B40" s="5">
        <f>ROUND(0.0,2)</f>
        <v/>
      </c>
      <c r="C40" s="3">
        <f>ROUND(0.0,2)</f>
        <v/>
      </c>
      <c r="D40" s="3">
        <f>ROUND(0.0,2)</f>
        <v/>
      </c>
      <c r="E40" s="3">
        <f>ROUND(0.0,2)</f>
        <v/>
      </c>
      <c r="F40" s="3">
        <f>ROUND(0.0,2)</f>
        <v/>
      </c>
      <c r="G40" s="3">
        <f>ROUND(0.0,2)</f>
        <v/>
      </c>
      <c r="H40" s="3">
        <f>ROUND(0.0,2)</f>
        <v/>
      </c>
      <c r="I40" s="3">
        <f>ROUND(0.0,2)</f>
        <v/>
      </c>
      <c r="J40" s="4">
        <f>IFERROR((D40/C40),0)</f>
        <v/>
      </c>
      <c r="K40" s="4">
        <f>IFERROR(((0+B11+B12+B13+B14+B15+B16+B17+B19+B20+B21+B22+B23+B24+B25+B27+B28+B29+B30+B31+B32+B33+B35+B36+B37+B38+B39+B40)/T2),0)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2023-10-16</t>
        </is>
      </c>
      <c r="O40" s="5">
        <f>ROUND(0.0,2)</f>
        <v/>
      </c>
      <c r="P40" s="3">
        <f>ROUND(0.0,2)</f>
        <v/>
      </c>
      <c r="Q40" s="3">
        <f>ROUND(0.0,2)</f>
        <v/>
      </c>
      <c r="R40" s="3">
        <f>ROUND(0.0,2)</f>
        <v/>
      </c>
      <c r="S40" s="3">
        <f>ROUND(0.0,2)</f>
        <v/>
      </c>
      <c r="T40" s="3">
        <f>ROUND(0.0,2)</f>
        <v/>
      </c>
      <c r="U40" s="3">
        <f>ROUND(0.0,2)</f>
        <v/>
      </c>
      <c r="V40" s="3">
        <f>ROUND(0.0,2)</f>
        <v/>
      </c>
      <c r="W40" s="4">
        <f>IFERROR((Q40/P40),0)</f>
        <v/>
      </c>
      <c r="X40" s="4">
        <f>IFERROR(((0+O11+O12+O13+O14+O15+O16+O17+O19+O20+O21+O22+O23+O24+O25+O27+O28+O29+O30+O31+O32+O33+O35+O36+O37+O38+O39+O40)/T2),0)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2023-10-16</t>
        </is>
      </c>
      <c r="AB40" s="5">
        <f>ROUND(0.0,2)</f>
        <v/>
      </c>
      <c r="AC40" s="3">
        <f>ROUND(0.0,2)</f>
        <v/>
      </c>
      <c r="AD40" s="3">
        <f>ROUND(0.0,2)</f>
        <v/>
      </c>
      <c r="AE40" s="3">
        <f>ROUND(0.0,2)</f>
        <v/>
      </c>
      <c r="AF40" s="3">
        <f>ROUND(0.0,2)</f>
        <v/>
      </c>
      <c r="AG40" s="3">
        <f>ROUND(0.0,2)</f>
        <v/>
      </c>
      <c r="AH40" s="3">
        <f>ROUND(0.0,2)</f>
        <v/>
      </c>
      <c r="AI40" s="3">
        <f>ROUND(0.0,2)</f>
        <v/>
      </c>
      <c r="AJ40" s="4">
        <f>IFERROR((AD40/AC40),0)</f>
        <v/>
      </c>
      <c r="AK40" s="4">
        <f>IFERROR(((0+AB11+AB12+AB13+AB14+AB15+AB16+AB17+AB19+AB20+AB21+AB22+AB23+AB24+AB25+AB27+AB28+AB29+AB30+AB31+AB32+AB33+AB35+AB36+AB37+AB38+AB39+AB40)/T2),0)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2023-10-16</t>
        </is>
      </c>
      <c r="AO40" s="5">
        <f>ROUND(0.0,2)</f>
        <v/>
      </c>
      <c r="AP40" s="3">
        <f>ROUND(0.0,2)</f>
        <v/>
      </c>
      <c r="AQ40" s="3">
        <f>ROUND(0.0,2)</f>
        <v/>
      </c>
      <c r="AR40" s="3">
        <f>ROUND(0.0,2)</f>
        <v/>
      </c>
      <c r="AS40" s="3">
        <f>ROUND(0.0,2)</f>
        <v/>
      </c>
      <c r="AT40" s="3">
        <f>ROUND(0.0,2)</f>
        <v/>
      </c>
      <c r="AU40" s="3">
        <f>ROUND(0.0,2)</f>
        <v/>
      </c>
      <c r="AV40" s="3">
        <f>ROUND(0.0,2)</f>
        <v/>
      </c>
      <c r="AW40" s="4">
        <f>IFERROR((AQ40/AP40),0)</f>
        <v/>
      </c>
      <c r="AX40" s="4">
        <f>IFERROR(((0+AO11+AO12+AO13+AO14+AO15+AO16+AO17+AO19+AO20+AO21+AO22+AO23+AO24+AO25+AO27+AO28+AO29+AO30+AO31+AO32+AO33+AO35+AO36+AO37+AO38+AO39+AO40)/T2),0)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2023-10-16</t>
        </is>
      </c>
      <c r="BB40" s="5">
        <f>ROUND(0.0,2)</f>
        <v/>
      </c>
      <c r="BC40" s="3">
        <f>ROUND(0.0,2)</f>
        <v/>
      </c>
      <c r="BD40" s="3">
        <f>ROUND(0.0,2)</f>
        <v/>
      </c>
      <c r="BE40" s="3">
        <f>ROUND(0.0,2)</f>
        <v/>
      </c>
      <c r="BF40" s="3">
        <f>ROUND(0.0,2)</f>
        <v/>
      </c>
      <c r="BG40" s="3">
        <f>ROUND(0.0,2)</f>
        <v/>
      </c>
      <c r="BH40" s="3">
        <f>ROUND(0.0,2)</f>
        <v/>
      </c>
      <c r="BI40" s="3">
        <f>ROUND(0.0,2)</f>
        <v/>
      </c>
      <c r="BJ40" s="4">
        <f>IFERROR((BD40/BC40),0)</f>
        <v/>
      </c>
      <c r="BK40" s="4">
        <f>IFERROR(((0+BB11+BB12+BB13+BB14+BB15+BB16+BB17+BB19+BB20+BB21+BB22+BB23+BB24+BB25+BB27+BB28+BB29+BB30+BB31+BB32+BB33+BB35+BB36+BB37+BB38+BB39+BB40)/T2),0)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2023-10-16</t>
        </is>
      </c>
      <c r="BO40" s="5">
        <f>ROUND(0.0,2)</f>
        <v/>
      </c>
      <c r="BP40" s="3">
        <f>ROUND(0.0,2)</f>
        <v/>
      </c>
      <c r="BQ40" s="3">
        <f>ROUND(0.0,2)</f>
        <v/>
      </c>
      <c r="BR40" s="3">
        <f>ROUND(0.0,2)</f>
        <v/>
      </c>
      <c r="BS40" s="3">
        <f>ROUND(0.0,2)</f>
        <v/>
      </c>
      <c r="BT40" s="3">
        <f>ROUND(0.0,2)</f>
        <v/>
      </c>
      <c r="BU40" s="3">
        <f>ROUND(0.0,2)</f>
        <v/>
      </c>
      <c r="BV40" s="3">
        <f>ROUND(0.0,2)</f>
        <v/>
      </c>
      <c r="BW40" s="4">
        <f>IFERROR((BQ40/BP40),0)</f>
        <v/>
      </c>
      <c r="BX40" s="4">
        <f>IFERROR(((0+BO11+BO12+BO13+BO14+BO15+BO16+BO17+BO19+BO20+BO21+BO22+BO23+BO24+BO25+BO27+BO28+BO29+BO30+BO31+BO32+BO33+BO35+BO36+BO37+BO38+BO39+BO40)/T2),0)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2023-10-16</t>
        </is>
      </c>
      <c r="CB40" s="5">
        <f>ROUND(0.0,2)</f>
        <v/>
      </c>
      <c r="CC40" s="3">
        <f>ROUND(0.0,2)</f>
        <v/>
      </c>
      <c r="CD40" s="3">
        <f>ROUND(0.0,2)</f>
        <v/>
      </c>
      <c r="CE40" s="3">
        <f>ROUND(0.0,2)</f>
        <v/>
      </c>
      <c r="CF40" s="3">
        <f>ROUND(0.0,2)</f>
        <v/>
      </c>
      <c r="CG40" s="3">
        <f>ROUND(0.0,2)</f>
        <v/>
      </c>
      <c r="CH40" s="3">
        <f>ROUND(0.0,2)</f>
        <v/>
      </c>
      <c r="CI40" s="3">
        <f>ROUND(0.0,2)</f>
        <v/>
      </c>
      <c r="CJ40" s="4">
        <f>IFERROR((CD40/CC40),0)</f>
        <v/>
      </c>
      <c r="CK40" s="4">
        <f>IFERROR(((0+CB11+CB12+CB13+CB14+CB15+CB16+CB17+CB19+CB20+CB21+CB22+CB23+CB24+CB25+CB27+CB28+CB29+CB30+CB31+CB32+CB33+CB35+CB36+CB37+CB38+CB39+CB40)/T2),0)</f>
        <v/>
      </c>
      <c r="CL40" s="5">
        <f>IFERROR(ROUND(CB40/CD40,2),0)</f>
        <v/>
      </c>
      <c r="CM40" s="5">
        <f>IFERROR(ROUND(CB40/CE40,2),0)</f>
        <v/>
      </c>
    </row>
    <row r="41">
      <c r="A41" s="2" t="inlineStr">
        <is>
          <t>2023-10-17</t>
        </is>
      </c>
      <c r="B41" s="5">
        <f>ROUND(0.0,2)</f>
        <v/>
      </c>
      <c r="C41" s="3">
        <f>ROUND(0.0,2)</f>
        <v/>
      </c>
      <c r="D41" s="3">
        <f>ROUND(0.0,2)</f>
        <v/>
      </c>
      <c r="E41" s="3">
        <f>ROUND(0.0,2)</f>
        <v/>
      </c>
      <c r="F41" s="3">
        <f>ROUND(0.0,2)</f>
        <v/>
      </c>
      <c r="G41" s="3">
        <f>ROUND(0.0,2)</f>
        <v/>
      </c>
      <c r="H41" s="3">
        <f>ROUND(0.0,2)</f>
        <v/>
      </c>
      <c r="I41" s="3">
        <f>ROUND(0.0,2)</f>
        <v/>
      </c>
      <c r="J41" s="4">
        <f>IFERROR((D41/C41),0)</f>
        <v/>
      </c>
      <c r="K41" s="4">
        <f>IFERROR(((0+B11+B12+B13+B14+B15+B16+B17+B19+B20+B21+B22+B23+B24+B25+B27+B28+B29+B30+B31+B32+B33+B35+B36+B37+B38+B39+B40+B41)/T2),0)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2023-10-17</t>
        </is>
      </c>
      <c r="O41" s="5">
        <f>ROUND(0.0,2)</f>
        <v/>
      </c>
      <c r="P41" s="3">
        <f>ROUND(0.0,2)</f>
        <v/>
      </c>
      <c r="Q41" s="3">
        <f>ROUND(0.0,2)</f>
        <v/>
      </c>
      <c r="R41" s="3">
        <f>ROUND(0.0,2)</f>
        <v/>
      </c>
      <c r="S41" s="3">
        <f>ROUND(0.0,2)</f>
        <v/>
      </c>
      <c r="T41" s="3">
        <f>ROUND(0.0,2)</f>
        <v/>
      </c>
      <c r="U41" s="3">
        <f>ROUND(0.0,2)</f>
        <v/>
      </c>
      <c r="V41" s="3">
        <f>ROUND(0.0,2)</f>
        <v/>
      </c>
      <c r="W41" s="4">
        <f>IFERROR((Q41/P41),0)</f>
        <v/>
      </c>
      <c r="X41" s="4">
        <f>IFERROR(((0+O11+O12+O13+O14+O15+O16+O17+O19+O20+O21+O22+O23+O24+O25+O27+O28+O29+O30+O31+O32+O33+O35+O36+O37+O38+O39+O40+O41)/T2),0)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2023-10-17</t>
        </is>
      </c>
      <c r="AB41" s="5">
        <f>ROUND(0.0,2)</f>
        <v/>
      </c>
      <c r="AC41" s="3">
        <f>ROUND(0.0,2)</f>
        <v/>
      </c>
      <c r="AD41" s="3">
        <f>ROUND(0.0,2)</f>
        <v/>
      </c>
      <c r="AE41" s="3">
        <f>ROUND(0.0,2)</f>
        <v/>
      </c>
      <c r="AF41" s="3">
        <f>ROUND(0.0,2)</f>
        <v/>
      </c>
      <c r="AG41" s="3">
        <f>ROUND(0.0,2)</f>
        <v/>
      </c>
      <c r="AH41" s="3">
        <f>ROUND(0.0,2)</f>
        <v/>
      </c>
      <c r="AI41" s="3">
        <f>ROUND(0.0,2)</f>
        <v/>
      </c>
      <c r="AJ41" s="4">
        <f>IFERROR((AD41/AC41),0)</f>
        <v/>
      </c>
      <c r="AK41" s="4">
        <f>IFERROR(((0+AB11+AB12+AB13+AB14+AB15+AB16+AB17+AB19+AB20+AB21+AB22+AB23+AB24+AB25+AB27+AB28+AB29+AB30+AB31+AB32+AB33+AB35+AB36+AB37+AB38+AB39+AB40+AB41)/T2),0)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2023-10-17</t>
        </is>
      </c>
      <c r="AO41" s="5">
        <f>ROUND(0.0,2)</f>
        <v/>
      </c>
      <c r="AP41" s="3">
        <f>ROUND(0.0,2)</f>
        <v/>
      </c>
      <c r="AQ41" s="3">
        <f>ROUND(0.0,2)</f>
        <v/>
      </c>
      <c r="AR41" s="3">
        <f>ROUND(0.0,2)</f>
        <v/>
      </c>
      <c r="AS41" s="3">
        <f>ROUND(0.0,2)</f>
        <v/>
      </c>
      <c r="AT41" s="3">
        <f>ROUND(0.0,2)</f>
        <v/>
      </c>
      <c r="AU41" s="3">
        <f>ROUND(0.0,2)</f>
        <v/>
      </c>
      <c r="AV41" s="3">
        <f>ROUND(0.0,2)</f>
        <v/>
      </c>
      <c r="AW41" s="4">
        <f>IFERROR((AQ41/AP41),0)</f>
        <v/>
      </c>
      <c r="AX41" s="4">
        <f>IFERROR(((0+AO11+AO12+AO13+AO14+AO15+AO16+AO17+AO19+AO20+AO21+AO22+AO23+AO24+AO25+AO27+AO28+AO29+AO30+AO31+AO32+AO33+AO35+AO36+AO37+AO38+AO39+AO40+AO41)/T2),0)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2023-10-17</t>
        </is>
      </c>
      <c r="BB41" s="5">
        <f>ROUND(0.0,2)</f>
        <v/>
      </c>
      <c r="BC41" s="3">
        <f>ROUND(0.0,2)</f>
        <v/>
      </c>
      <c r="BD41" s="3">
        <f>ROUND(0.0,2)</f>
        <v/>
      </c>
      <c r="BE41" s="3">
        <f>ROUND(0.0,2)</f>
        <v/>
      </c>
      <c r="BF41" s="3">
        <f>ROUND(0.0,2)</f>
        <v/>
      </c>
      <c r="BG41" s="3">
        <f>ROUND(0.0,2)</f>
        <v/>
      </c>
      <c r="BH41" s="3">
        <f>ROUND(0.0,2)</f>
        <v/>
      </c>
      <c r="BI41" s="3">
        <f>ROUND(0.0,2)</f>
        <v/>
      </c>
      <c r="BJ41" s="4">
        <f>IFERROR((BD41/BC41),0)</f>
        <v/>
      </c>
      <c r="BK41" s="4">
        <f>IFERROR(((0+BB11+BB12+BB13+BB14+BB15+BB16+BB17+BB19+BB20+BB21+BB22+BB23+BB24+BB25+BB27+BB28+BB29+BB30+BB31+BB32+BB33+BB35+BB36+BB37+BB38+BB39+BB40+BB41)/T2),0)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2023-10-17</t>
        </is>
      </c>
      <c r="BO41" s="5">
        <f>ROUND(0.0,2)</f>
        <v/>
      </c>
      <c r="BP41" s="3">
        <f>ROUND(0.0,2)</f>
        <v/>
      </c>
      <c r="BQ41" s="3">
        <f>ROUND(0.0,2)</f>
        <v/>
      </c>
      <c r="BR41" s="3">
        <f>ROUND(0.0,2)</f>
        <v/>
      </c>
      <c r="BS41" s="3">
        <f>ROUND(0.0,2)</f>
        <v/>
      </c>
      <c r="BT41" s="3">
        <f>ROUND(0.0,2)</f>
        <v/>
      </c>
      <c r="BU41" s="3">
        <f>ROUND(0.0,2)</f>
        <v/>
      </c>
      <c r="BV41" s="3">
        <f>ROUND(0.0,2)</f>
        <v/>
      </c>
      <c r="BW41" s="4">
        <f>IFERROR((BQ41/BP41),0)</f>
        <v/>
      </c>
      <c r="BX41" s="4">
        <f>IFERROR(((0+BO11+BO12+BO13+BO14+BO15+BO16+BO17+BO19+BO20+BO21+BO22+BO23+BO24+BO25+BO27+BO28+BO29+BO30+BO31+BO32+BO33+BO35+BO36+BO37+BO38+BO39+BO40+BO41)/T2),0)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2023-10-17</t>
        </is>
      </c>
      <c r="CB41" s="5">
        <f>ROUND(0.0,2)</f>
        <v/>
      </c>
      <c r="CC41" s="3">
        <f>ROUND(0.0,2)</f>
        <v/>
      </c>
      <c r="CD41" s="3">
        <f>ROUND(0.0,2)</f>
        <v/>
      </c>
      <c r="CE41" s="3">
        <f>ROUND(0.0,2)</f>
        <v/>
      </c>
      <c r="CF41" s="3">
        <f>ROUND(0.0,2)</f>
        <v/>
      </c>
      <c r="CG41" s="3">
        <f>ROUND(0.0,2)</f>
        <v/>
      </c>
      <c r="CH41" s="3">
        <f>ROUND(0.0,2)</f>
        <v/>
      </c>
      <c r="CI41" s="3">
        <f>ROUND(0.0,2)</f>
        <v/>
      </c>
      <c r="CJ41" s="4">
        <f>IFERROR((CD41/CC41),0)</f>
        <v/>
      </c>
      <c r="CK41" s="4">
        <f>IFERROR(((0+CB11+CB12+CB13+CB14+CB15+CB16+CB17+CB19+CB20+CB21+CB22+CB23+CB24+CB25+CB27+CB28+CB29+CB30+CB31+CB32+CB33+CB35+CB36+CB37+CB38+CB39+CB40+CB41)/T2),0)</f>
        <v/>
      </c>
      <c r="CL41" s="5">
        <f>IFERROR(ROUND(CB41/CD41,2),0)</f>
        <v/>
      </c>
      <c r="CM41" s="5">
        <f>IFERROR(ROUND(CB41/CE41,2),0)</f>
        <v/>
      </c>
    </row>
    <row r="42">
      <c r="A42" s="2" t="inlineStr">
        <is>
          <t>4 Weekly Total</t>
        </is>
      </c>
      <c r="B42" s="5">
        <f>ROUND(0.0,2)</f>
        <v/>
      </c>
      <c r="C42" s="3">
        <f>ROUND(0.0,2)</f>
        <v/>
      </c>
      <c r="D42" s="3">
        <f>ROUND(0.0,2)</f>
        <v/>
      </c>
      <c r="E42" s="3">
        <f>ROUND(0.0,2)</f>
        <v/>
      </c>
      <c r="F42" s="3">
        <f>ROUND(0.0,2)</f>
        <v/>
      </c>
      <c r="G42" s="3">
        <f>ROUND(0.0,2)</f>
        <v/>
      </c>
      <c r="H42" s="3">
        <f>ROUND(0.0,2)</f>
        <v/>
      </c>
      <c r="I42" s="3">
        <f>ROUND(0.0,2)</f>
        <v/>
      </c>
      <c r="J42" s="4">
        <f>IFERROR((D42/C42),0)</f>
        <v/>
      </c>
      <c r="K42" s="4">
        <f>IFERROR(((0+B11+B12+B13+B14+B15+B16+B17+B19+B20+B21+B22+B23+B24+B25+B27+B28+B29+B30+B31+B32+B33+B35+B36+B37+B38+B39+B40+B41)/T2),0)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4 Weekly Total</t>
        </is>
      </c>
      <c r="O42" s="5">
        <f>ROUND(0.0,2)</f>
        <v/>
      </c>
      <c r="P42" s="3">
        <f>ROUND(0.0,2)</f>
        <v/>
      </c>
      <c r="Q42" s="3">
        <f>ROUND(0.0,2)</f>
        <v/>
      </c>
      <c r="R42" s="3">
        <f>ROUND(0.0,2)</f>
        <v/>
      </c>
      <c r="S42" s="3">
        <f>ROUND(0.0,2)</f>
        <v/>
      </c>
      <c r="T42" s="3">
        <f>ROUND(0.0,2)</f>
        <v/>
      </c>
      <c r="U42" s="3">
        <f>ROUND(0.0,2)</f>
        <v/>
      </c>
      <c r="V42" s="3">
        <f>ROUND(0.0,2)</f>
        <v/>
      </c>
      <c r="W42" s="4">
        <f>IFERROR((Q42/P42),0)</f>
        <v/>
      </c>
      <c r="X42" s="4">
        <f>IFERROR(((0+O11+O12+O13+O14+O15+O16+O17+O19+O20+O21+O22+O23+O24+O25+O27+O28+O29+O30+O31+O32+O33+O35+O36+O37+O38+O39+O40+O41)/T2),0)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4 Weekly Total</t>
        </is>
      </c>
      <c r="AB42" s="5">
        <f>ROUND(0.0,2)</f>
        <v/>
      </c>
      <c r="AC42" s="3">
        <f>ROUND(0.0,2)</f>
        <v/>
      </c>
      <c r="AD42" s="3">
        <f>ROUND(0.0,2)</f>
        <v/>
      </c>
      <c r="AE42" s="3">
        <f>ROUND(0.0,2)</f>
        <v/>
      </c>
      <c r="AF42" s="3">
        <f>ROUND(0.0,2)</f>
        <v/>
      </c>
      <c r="AG42" s="3">
        <f>ROUND(0.0,2)</f>
        <v/>
      </c>
      <c r="AH42" s="3">
        <f>ROUND(0.0,2)</f>
        <v/>
      </c>
      <c r="AI42" s="3">
        <f>ROUND(0.0,2)</f>
        <v/>
      </c>
      <c r="AJ42" s="4">
        <f>IFERROR((AD42/AC42),0)</f>
        <v/>
      </c>
      <c r="AK42" s="4">
        <f>IFERROR(((0+AB11+AB12+AB13+AB14+AB15+AB16+AB17+AB19+AB20+AB21+AB22+AB23+AB24+AB25+AB27+AB28+AB29+AB30+AB31+AB32+AB33+AB35+AB36+AB37+AB38+AB39+AB40+AB41)/T2),0)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4 Weekly Total</t>
        </is>
      </c>
      <c r="AO42" s="5">
        <f>ROUND(0.0,2)</f>
        <v/>
      </c>
      <c r="AP42" s="3">
        <f>ROUND(0.0,2)</f>
        <v/>
      </c>
      <c r="AQ42" s="3">
        <f>ROUND(0.0,2)</f>
        <v/>
      </c>
      <c r="AR42" s="3">
        <f>ROUND(0.0,2)</f>
        <v/>
      </c>
      <c r="AS42" s="3">
        <f>ROUND(0.0,2)</f>
        <v/>
      </c>
      <c r="AT42" s="3">
        <f>ROUND(0.0,2)</f>
        <v/>
      </c>
      <c r="AU42" s="3">
        <f>ROUND(0.0,2)</f>
        <v/>
      </c>
      <c r="AV42" s="3">
        <f>ROUND(0.0,2)</f>
        <v/>
      </c>
      <c r="AW42" s="4">
        <f>IFERROR((AQ42/AP42),0)</f>
        <v/>
      </c>
      <c r="AX42" s="4">
        <f>IFERROR(((0+AO11+AO12+AO13+AO14+AO15+AO16+AO17+AO19+AO20+AO21+AO22+AO23+AO24+AO25+AO27+AO28+AO29+AO30+AO31+AO32+AO33+AO35+AO36+AO37+AO38+AO39+AO40+AO41)/T2),0)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4 Weekly Total</t>
        </is>
      </c>
      <c r="BB42" s="5">
        <f>ROUND(0.0,2)</f>
        <v/>
      </c>
      <c r="BC42" s="3">
        <f>ROUND(0.0,2)</f>
        <v/>
      </c>
      <c r="BD42" s="3">
        <f>ROUND(0.0,2)</f>
        <v/>
      </c>
      <c r="BE42" s="3">
        <f>ROUND(0.0,2)</f>
        <v/>
      </c>
      <c r="BF42" s="3">
        <f>ROUND(0.0,2)</f>
        <v/>
      </c>
      <c r="BG42" s="3">
        <f>ROUND(0.0,2)</f>
        <v/>
      </c>
      <c r="BH42" s="3">
        <f>ROUND(0.0,2)</f>
        <v/>
      </c>
      <c r="BI42" s="3">
        <f>ROUND(0.0,2)</f>
        <v/>
      </c>
      <c r="BJ42" s="4">
        <f>IFERROR((BD42/BC42),0)</f>
        <v/>
      </c>
      <c r="BK42" s="4">
        <f>IFERROR(((0+BB11+BB12+BB13+BB14+BB15+BB16+BB17+BB19+BB20+BB21+BB22+BB23+BB24+BB25+BB27+BB28+BB29+BB30+BB31+BB32+BB33+BB35+BB36+BB37+BB38+BB39+BB40+BB41)/T2),0)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4 Weekly Total</t>
        </is>
      </c>
      <c r="BO42" s="5">
        <f>ROUND(0.0,2)</f>
        <v/>
      </c>
      <c r="BP42" s="3">
        <f>ROUND(0.0,2)</f>
        <v/>
      </c>
      <c r="BQ42" s="3">
        <f>ROUND(0.0,2)</f>
        <v/>
      </c>
      <c r="BR42" s="3">
        <f>ROUND(0.0,2)</f>
        <v/>
      </c>
      <c r="BS42" s="3">
        <f>ROUND(0.0,2)</f>
        <v/>
      </c>
      <c r="BT42" s="3">
        <f>ROUND(0.0,2)</f>
        <v/>
      </c>
      <c r="BU42" s="3">
        <f>ROUND(0.0,2)</f>
        <v/>
      </c>
      <c r="BV42" s="3">
        <f>ROUND(0.0,2)</f>
        <v/>
      </c>
      <c r="BW42" s="4">
        <f>IFERROR((BQ42/BP42),0)</f>
        <v/>
      </c>
      <c r="BX42" s="4">
        <f>IFERROR(((0+BO11+BO12+BO13+BO14+BO15+BO16+BO17+BO19+BO20+BO21+BO22+BO23+BO24+BO25+BO27+BO28+BO29+BO30+BO31+BO32+BO33+BO35+BO36+BO37+BO38+BO39+BO40+BO41)/T2),0)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4 Weekly Total</t>
        </is>
      </c>
      <c r="CB42" s="5">
        <f>ROUND(0.0,2)</f>
        <v/>
      </c>
      <c r="CC42" s="3">
        <f>ROUND(0.0,2)</f>
        <v/>
      </c>
      <c r="CD42" s="3">
        <f>ROUND(0.0,2)</f>
        <v/>
      </c>
      <c r="CE42" s="3">
        <f>ROUND(0.0,2)</f>
        <v/>
      </c>
      <c r="CF42" s="3">
        <f>ROUND(0.0,2)</f>
        <v/>
      </c>
      <c r="CG42" s="3">
        <f>ROUND(0.0,2)</f>
        <v/>
      </c>
      <c r="CH42" s="3">
        <f>ROUND(0.0,2)</f>
        <v/>
      </c>
      <c r="CI42" s="3">
        <f>ROUND(0.0,2)</f>
        <v/>
      </c>
      <c r="CJ42" s="4">
        <f>IFERROR((CD42/CC42),0)</f>
        <v/>
      </c>
      <c r="CK42" s="4">
        <f>IFERROR(((0+CB11+CB12+CB13+CB14+CB15+CB16+CB17+CB19+CB20+CB21+CB22+CB23+CB24+CB25+CB27+CB28+CB29+CB30+CB31+CB32+CB33+CB35+CB36+CB37+CB38+CB39+CB40+CB41)/T2),0)</f>
        <v/>
      </c>
      <c r="CL42" s="5">
        <f>IFERROR(ROUND(CB42/CD42,2),0)</f>
        <v/>
      </c>
      <c r="CM42" s="5">
        <f>IFERROR(ROUND(CB42/CE42,2),0)</f>
        <v/>
      </c>
    </row>
    <row r="43">
      <c r="A43" s="2" t="inlineStr">
        <is>
          <t>2023-10-18</t>
        </is>
      </c>
      <c r="B43" s="5">
        <f>ROUND(0.0,2)</f>
        <v/>
      </c>
      <c r="C43" s="3">
        <f>ROUND(0.0,2)</f>
        <v/>
      </c>
      <c r="D43" s="3">
        <f>ROUND(0.0,2)</f>
        <v/>
      </c>
      <c r="E43" s="3">
        <f>ROUND(0.0,2)</f>
        <v/>
      </c>
      <c r="F43" s="3">
        <f>ROUND(0.0,2)</f>
        <v/>
      </c>
      <c r="G43" s="3">
        <f>ROUND(0.0,2)</f>
        <v/>
      </c>
      <c r="H43" s="3">
        <f>ROUND(0.0,2)</f>
        <v/>
      </c>
      <c r="I43" s="3">
        <f>ROUND(0.0,2)</f>
        <v/>
      </c>
      <c r="J43" s="4">
        <f>IFERROR((D43/C43),0)</f>
        <v/>
      </c>
      <c r="K43" s="4">
        <f>IFERROR(((0+B11+B12+B13+B14+B15+B16+B17+B19+B20+B21+B22+B23+B24+B25+B27+B28+B29+B30+B31+B32+B33+B35+B36+B37+B38+B39+B40+B41+B43)/T2),0)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2023-10-18</t>
        </is>
      </c>
      <c r="O43" s="5">
        <f>ROUND(0.0,2)</f>
        <v/>
      </c>
      <c r="P43" s="3">
        <f>ROUND(0.0,2)</f>
        <v/>
      </c>
      <c r="Q43" s="3">
        <f>ROUND(0.0,2)</f>
        <v/>
      </c>
      <c r="R43" s="3">
        <f>ROUND(0.0,2)</f>
        <v/>
      </c>
      <c r="S43" s="3">
        <f>ROUND(0.0,2)</f>
        <v/>
      </c>
      <c r="T43" s="3">
        <f>ROUND(0.0,2)</f>
        <v/>
      </c>
      <c r="U43" s="3">
        <f>ROUND(0.0,2)</f>
        <v/>
      </c>
      <c r="V43" s="3">
        <f>ROUND(0.0,2)</f>
        <v/>
      </c>
      <c r="W43" s="4">
        <f>IFERROR((Q43/P43),0)</f>
        <v/>
      </c>
      <c r="X43" s="4">
        <f>IFERROR(((0+O11+O12+O13+O14+O15+O16+O17+O19+O20+O21+O22+O23+O24+O25+O27+O28+O29+O30+O31+O32+O33+O35+O36+O37+O38+O39+O40+O41+O43)/T2),0)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2023-10-18</t>
        </is>
      </c>
      <c r="AB43" s="5">
        <f>ROUND(0.0,2)</f>
        <v/>
      </c>
      <c r="AC43" s="3">
        <f>ROUND(0.0,2)</f>
        <v/>
      </c>
      <c r="AD43" s="3">
        <f>ROUND(0.0,2)</f>
        <v/>
      </c>
      <c r="AE43" s="3">
        <f>ROUND(0.0,2)</f>
        <v/>
      </c>
      <c r="AF43" s="3">
        <f>ROUND(0.0,2)</f>
        <v/>
      </c>
      <c r="AG43" s="3">
        <f>ROUND(0.0,2)</f>
        <v/>
      </c>
      <c r="AH43" s="3">
        <f>ROUND(0.0,2)</f>
        <v/>
      </c>
      <c r="AI43" s="3">
        <f>ROUND(0.0,2)</f>
        <v/>
      </c>
      <c r="AJ43" s="4">
        <f>IFERROR((AD43/AC43),0)</f>
        <v/>
      </c>
      <c r="AK43" s="4">
        <f>IFERROR(((0+AB11+AB12+AB13+AB14+AB15+AB16+AB17+AB19+AB20+AB21+AB22+AB23+AB24+AB25+AB27+AB28+AB29+AB30+AB31+AB32+AB33+AB35+AB36+AB37+AB38+AB39+AB40+AB41+AB43)/T2),0)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2023-10-18</t>
        </is>
      </c>
      <c r="AO43" s="5">
        <f>ROUND(0.0,2)</f>
        <v/>
      </c>
      <c r="AP43" s="3">
        <f>ROUND(0.0,2)</f>
        <v/>
      </c>
      <c r="AQ43" s="3">
        <f>ROUND(0.0,2)</f>
        <v/>
      </c>
      <c r="AR43" s="3">
        <f>ROUND(0.0,2)</f>
        <v/>
      </c>
      <c r="AS43" s="3">
        <f>ROUND(0.0,2)</f>
        <v/>
      </c>
      <c r="AT43" s="3">
        <f>ROUND(0.0,2)</f>
        <v/>
      </c>
      <c r="AU43" s="3">
        <f>ROUND(0.0,2)</f>
        <v/>
      </c>
      <c r="AV43" s="3">
        <f>ROUND(0.0,2)</f>
        <v/>
      </c>
      <c r="AW43" s="4">
        <f>IFERROR((AQ43/AP43),0)</f>
        <v/>
      </c>
      <c r="AX43" s="4">
        <f>IFERROR(((0+AO11+AO12+AO13+AO14+AO15+AO16+AO17+AO19+AO20+AO21+AO22+AO23+AO24+AO25+AO27+AO28+AO29+AO30+AO31+AO32+AO33+AO35+AO36+AO37+AO38+AO39+AO40+AO41+AO43)/T2),0)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2023-10-18</t>
        </is>
      </c>
      <c r="BB43" s="5">
        <f>ROUND(0.0,2)</f>
        <v/>
      </c>
      <c r="BC43" s="3">
        <f>ROUND(0.0,2)</f>
        <v/>
      </c>
      <c r="BD43" s="3">
        <f>ROUND(0.0,2)</f>
        <v/>
      </c>
      <c r="BE43" s="3">
        <f>ROUND(0.0,2)</f>
        <v/>
      </c>
      <c r="BF43" s="3">
        <f>ROUND(0.0,2)</f>
        <v/>
      </c>
      <c r="BG43" s="3">
        <f>ROUND(0.0,2)</f>
        <v/>
      </c>
      <c r="BH43" s="3">
        <f>ROUND(0.0,2)</f>
        <v/>
      </c>
      <c r="BI43" s="3">
        <f>ROUND(0.0,2)</f>
        <v/>
      </c>
      <c r="BJ43" s="4">
        <f>IFERROR((BD43/BC43),0)</f>
        <v/>
      </c>
      <c r="BK43" s="4">
        <f>IFERROR(((0+BB11+BB12+BB13+BB14+BB15+BB16+BB17+BB19+BB20+BB21+BB22+BB23+BB24+BB25+BB27+BB28+BB29+BB30+BB31+BB32+BB33+BB35+BB36+BB37+BB38+BB39+BB40+BB41+BB43)/T2),0)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2023-10-18</t>
        </is>
      </c>
      <c r="BO43" s="5">
        <f>ROUND(0.0,2)</f>
        <v/>
      </c>
      <c r="BP43" s="3">
        <f>ROUND(0.0,2)</f>
        <v/>
      </c>
      <c r="BQ43" s="3">
        <f>ROUND(0.0,2)</f>
        <v/>
      </c>
      <c r="BR43" s="3">
        <f>ROUND(0.0,2)</f>
        <v/>
      </c>
      <c r="BS43" s="3">
        <f>ROUND(0.0,2)</f>
        <v/>
      </c>
      <c r="BT43" s="3">
        <f>ROUND(0.0,2)</f>
        <v/>
      </c>
      <c r="BU43" s="3">
        <f>ROUND(0.0,2)</f>
        <v/>
      </c>
      <c r="BV43" s="3">
        <f>ROUND(0.0,2)</f>
        <v/>
      </c>
      <c r="BW43" s="4">
        <f>IFERROR((BQ43/BP43),0)</f>
        <v/>
      </c>
      <c r="BX43" s="4">
        <f>IFERROR(((0+BO11+BO12+BO13+BO14+BO15+BO16+BO17+BO19+BO20+BO21+BO22+BO23+BO24+BO25+BO27+BO28+BO29+BO30+BO31+BO32+BO33+BO35+BO36+BO37+BO38+BO39+BO40+BO41+BO43)/T2),0)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2023-10-18</t>
        </is>
      </c>
      <c r="CB43" s="5">
        <f>ROUND(0.0,2)</f>
        <v/>
      </c>
      <c r="CC43" s="3">
        <f>ROUND(0.0,2)</f>
        <v/>
      </c>
      <c r="CD43" s="3">
        <f>ROUND(0.0,2)</f>
        <v/>
      </c>
      <c r="CE43" s="3">
        <f>ROUND(0.0,2)</f>
        <v/>
      </c>
      <c r="CF43" s="3">
        <f>ROUND(0.0,2)</f>
        <v/>
      </c>
      <c r="CG43" s="3">
        <f>ROUND(0.0,2)</f>
        <v/>
      </c>
      <c r="CH43" s="3">
        <f>ROUND(0.0,2)</f>
        <v/>
      </c>
      <c r="CI43" s="3">
        <f>ROUND(0.0,2)</f>
        <v/>
      </c>
      <c r="CJ43" s="4">
        <f>IFERROR((CD43/CC43),0)</f>
        <v/>
      </c>
      <c r="CK43" s="4">
        <f>IFERROR(((0+CB11+CB12+CB13+CB14+CB15+CB16+CB17+CB19+CB20+CB21+CB22+CB23+CB24+CB25+CB27+CB28+CB29+CB30+CB31+CB32+CB33+CB35+CB36+CB37+CB38+CB39+CB40+CB41+CB43)/T2),0)</f>
        <v/>
      </c>
      <c r="CL43" s="5">
        <f>IFERROR(ROUND(CB43/CD43,2),0)</f>
        <v/>
      </c>
      <c r="CM43" s="5">
        <f>IFERROR(ROUND(CB43/CE43,2),0)</f>
        <v/>
      </c>
    </row>
    <row r="44">
      <c r="A44" s="2" t="inlineStr">
        <is>
          <t>2023-10-19</t>
        </is>
      </c>
      <c r="B44" s="5">
        <f>ROUND(0.0,2)</f>
        <v/>
      </c>
      <c r="C44" s="3">
        <f>ROUND(0.0,2)</f>
        <v/>
      </c>
      <c r="D44" s="3">
        <f>ROUND(0.0,2)</f>
        <v/>
      </c>
      <c r="E44" s="3">
        <f>ROUND(0.0,2)</f>
        <v/>
      </c>
      <c r="F44" s="3">
        <f>ROUND(0.0,2)</f>
        <v/>
      </c>
      <c r="G44" s="3">
        <f>ROUND(0.0,2)</f>
        <v/>
      </c>
      <c r="H44" s="3">
        <f>ROUND(0.0,2)</f>
        <v/>
      </c>
      <c r="I44" s="3">
        <f>ROUND(0.0,2)</f>
        <v/>
      </c>
      <c r="J44" s="4">
        <f>IFERROR((D44/C44),0)</f>
        <v/>
      </c>
      <c r="K44" s="4">
        <f>IFERROR(((0+B11+B12+B13+B14+B15+B16+B17+B19+B20+B21+B22+B23+B24+B25+B27+B28+B29+B30+B31+B32+B33+B35+B36+B37+B38+B39+B40+B41+B43+B44)/T2),0)</f>
        <v/>
      </c>
      <c r="L44" s="5">
        <f>IFERROR(ROUND(B44/D44,2),0)</f>
        <v/>
      </c>
      <c r="M44" s="5">
        <f>IFERROR(ROUND(B44/E44,2),0)</f>
        <v/>
      </c>
      <c r="N44" s="2" t="inlineStr">
        <is>
          <t>2023-10-19</t>
        </is>
      </c>
      <c r="O44" s="5">
        <f>ROUND(0.0,2)</f>
        <v/>
      </c>
      <c r="P44" s="3">
        <f>ROUND(0.0,2)</f>
        <v/>
      </c>
      <c r="Q44" s="3">
        <f>ROUND(0.0,2)</f>
        <v/>
      </c>
      <c r="R44" s="3">
        <f>ROUND(0.0,2)</f>
        <v/>
      </c>
      <c r="S44" s="3">
        <f>ROUND(0.0,2)</f>
        <v/>
      </c>
      <c r="T44" s="3">
        <f>ROUND(0.0,2)</f>
        <v/>
      </c>
      <c r="U44" s="3">
        <f>ROUND(0.0,2)</f>
        <v/>
      </c>
      <c r="V44" s="3">
        <f>ROUND(0.0,2)</f>
        <v/>
      </c>
      <c r="W44" s="4">
        <f>IFERROR((Q44/P44),0)</f>
        <v/>
      </c>
      <c r="X44" s="4">
        <f>IFERROR(((0+O11+O12+O13+O14+O15+O16+O17+O19+O20+O21+O22+O23+O24+O25+O27+O28+O29+O30+O31+O32+O33+O35+O36+O37+O38+O39+O40+O41+O43+O44)/T2),0)</f>
        <v/>
      </c>
      <c r="Y44" s="5">
        <f>IFERROR(ROUND(O44/Q44,2),0)</f>
        <v/>
      </c>
      <c r="Z44" s="5">
        <f>IFERROR(ROUND(O44/R44,2),0)</f>
        <v/>
      </c>
      <c r="AA44" s="2" t="inlineStr">
        <is>
          <t>2023-10-19</t>
        </is>
      </c>
      <c r="AB44" s="5">
        <f>ROUND(0.0,2)</f>
        <v/>
      </c>
      <c r="AC44" s="3">
        <f>ROUND(0.0,2)</f>
        <v/>
      </c>
      <c r="AD44" s="3">
        <f>ROUND(0.0,2)</f>
        <v/>
      </c>
      <c r="AE44" s="3">
        <f>ROUND(0.0,2)</f>
        <v/>
      </c>
      <c r="AF44" s="3">
        <f>ROUND(0.0,2)</f>
        <v/>
      </c>
      <c r="AG44" s="3">
        <f>ROUND(0.0,2)</f>
        <v/>
      </c>
      <c r="AH44" s="3">
        <f>ROUND(0.0,2)</f>
        <v/>
      </c>
      <c r="AI44" s="3">
        <f>ROUND(0.0,2)</f>
        <v/>
      </c>
      <c r="AJ44" s="4">
        <f>IFERROR((AD44/AC44),0)</f>
        <v/>
      </c>
      <c r="AK44" s="4">
        <f>IFERROR(((0+AB11+AB12+AB13+AB14+AB15+AB16+AB17+AB19+AB20+AB21+AB22+AB23+AB24+AB25+AB27+AB28+AB29+AB30+AB31+AB32+AB33+AB35+AB36+AB37+AB38+AB39+AB40+AB41+AB43+AB44)/T2),0)</f>
        <v/>
      </c>
      <c r="AL44" s="5">
        <f>IFERROR(ROUND(AB44/AD44,2),0)</f>
        <v/>
      </c>
      <c r="AM44" s="5">
        <f>IFERROR(ROUND(AB44/AE44,2),0)</f>
        <v/>
      </c>
      <c r="AN44" s="2" t="inlineStr">
        <is>
          <t>2023-10-19</t>
        </is>
      </c>
      <c r="AO44" s="5">
        <f>ROUND(0.0,2)</f>
        <v/>
      </c>
      <c r="AP44" s="3">
        <f>ROUND(0.0,2)</f>
        <v/>
      </c>
      <c r="AQ44" s="3">
        <f>ROUND(0.0,2)</f>
        <v/>
      </c>
      <c r="AR44" s="3">
        <f>ROUND(0.0,2)</f>
        <v/>
      </c>
      <c r="AS44" s="3">
        <f>ROUND(0.0,2)</f>
        <v/>
      </c>
      <c r="AT44" s="3">
        <f>ROUND(0.0,2)</f>
        <v/>
      </c>
      <c r="AU44" s="3">
        <f>ROUND(0.0,2)</f>
        <v/>
      </c>
      <c r="AV44" s="3">
        <f>ROUND(0.0,2)</f>
        <v/>
      </c>
      <c r="AW44" s="4">
        <f>IFERROR((AQ44/AP44),0)</f>
        <v/>
      </c>
      <c r="AX44" s="4">
        <f>IFERROR(((0+AO11+AO12+AO13+AO14+AO15+AO16+AO17+AO19+AO20+AO21+AO22+AO23+AO24+AO25+AO27+AO28+AO29+AO30+AO31+AO32+AO33+AO35+AO36+AO37+AO38+AO39+AO40+AO41+AO43+AO44)/T2),0)</f>
        <v/>
      </c>
      <c r="AY44" s="5">
        <f>IFERROR(ROUND(AO44/AQ44,2),0)</f>
        <v/>
      </c>
      <c r="AZ44" s="5">
        <f>IFERROR(ROUND(AO44/AR44,2),0)</f>
        <v/>
      </c>
      <c r="BA44" s="2" t="inlineStr">
        <is>
          <t>2023-10-19</t>
        </is>
      </c>
      <c r="BB44" s="5">
        <f>ROUND(0.0,2)</f>
        <v/>
      </c>
      <c r="BC44" s="3">
        <f>ROUND(0.0,2)</f>
        <v/>
      </c>
      <c r="BD44" s="3">
        <f>ROUND(0.0,2)</f>
        <v/>
      </c>
      <c r="BE44" s="3">
        <f>ROUND(0.0,2)</f>
        <v/>
      </c>
      <c r="BF44" s="3">
        <f>ROUND(0.0,2)</f>
        <v/>
      </c>
      <c r="BG44" s="3">
        <f>ROUND(0.0,2)</f>
        <v/>
      </c>
      <c r="BH44" s="3">
        <f>ROUND(0.0,2)</f>
        <v/>
      </c>
      <c r="BI44" s="3">
        <f>ROUND(0.0,2)</f>
        <v/>
      </c>
      <c r="BJ44" s="4">
        <f>IFERROR((BD44/BC44),0)</f>
        <v/>
      </c>
      <c r="BK44" s="4">
        <f>IFERROR(((0+BB11+BB12+BB13+BB14+BB15+BB16+BB17+BB19+BB20+BB21+BB22+BB23+BB24+BB25+BB27+BB28+BB29+BB30+BB31+BB32+BB33+BB35+BB36+BB37+BB38+BB39+BB40+BB41+BB43+BB44)/T2),0)</f>
        <v/>
      </c>
      <c r="BL44" s="5">
        <f>IFERROR(ROUND(BB44/BD44,2),0)</f>
        <v/>
      </c>
      <c r="BM44" s="5">
        <f>IFERROR(ROUND(BB44/BE44,2),0)</f>
        <v/>
      </c>
      <c r="BN44" s="2" t="inlineStr">
        <is>
          <t>2023-10-19</t>
        </is>
      </c>
      <c r="BO44" s="5">
        <f>ROUND(0.0,2)</f>
        <v/>
      </c>
      <c r="BP44" s="3">
        <f>ROUND(0.0,2)</f>
        <v/>
      </c>
      <c r="BQ44" s="3">
        <f>ROUND(0.0,2)</f>
        <v/>
      </c>
      <c r="BR44" s="3">
        <f>ROUND(0.0,2)</f>
        <v/>
      </c>
      <c r="BS44" s="3">
        <f>ROUND(0.0,2)</f>
        <v/>
      </c>
      <c r="BT44" s="3">
        <f>ROUND(0.0,2)</f>
        <v/>
      </c>
      <c r="BU44" s="3">
        <f>ROUND(0.0,2)</f>
        <v/>
      </c>
      <c r="BV44" s="3">
        <f>ROUND(0.0,2)</f>
        <v/>
      </c>
      <c r="BW44" s="4">
        <f>IFERROR((BQ44/BP44),0)</f>
        <v/>
      </c>
      <c r="BX44" s="4">
        <f>IFERROR(((0+BO11+BO12+BO13+BO14+BO15+BO16+BO17+BO19+BO20+BO21+BO22+BO23+BO24+BO25+BO27+BO28+BO29+BO30+BO31+BO32+BO33+BO35+BO36+BO37+BO38+BO39+BO40+BO41+BO43+BO44)/T2),0)</f>
        <v/>
      </c>
      <c r="BY44" s="5">
        <f>IFERROR(ROUND(BO44/BQ44,2),0)</f>
        <v/>
      </c>
      <c r="BZ44" s="5">
        <f>IFERROR(ROUND(BO44/BR44,2),0)</f>
        <v/>
      </c>
      <c r="CA44" s="2" t="inlineStr">
        <is>
          <t>2023-10-19</t>
        </is>
      </c>
      <c r="CB44" s="5">
        <f>ROUND(0.0,2)</f>
        <v/>
      </c>
      <c r="CC44" s="3">
        <f>ROUND(0.0,2)</f>
        <v/>
      </c>
      <c r="CD44" s="3">
        <f>ROUND(0.0,2)</f>
        <v/>
      </c>
      <c r="CE44" s="3">
        <f>ROUND(0.0,2)</f>
        <v/>
      </c>
      <c r="CF44" s="3">
        <f>ROUND(0.0,2)</f>
        <v/>
      </c>
      <c r="CG44" s="3">
        <f>ROUND(0.0,2)</f>
        <v/>
      </c>
      <c r="CH44" s="3">
        <f>ROUND(0.0,2)</f>
        <v/>
      </c>
      <c r="CI44" s="3">
        <f>ROUND(0.0,2)</f>
        <v/>
      </c>
      <c r="CJ44" s="4">
        <f>IFERROR((CD44/CC44),0)</f>
        <v/>
      </c>
      <c r="CK44" s="4">
        <f>IFERROR(((0+CB11+CB12+CB13+CB14+CB15+CB16+CB17+CB19+CB20+CB21+CB22+CB23+CB24+CB25+CB27+CB28+CB29+CB30+CB31+CB32+CB33+CB35+CB36+CB37+CB38+CB39+CB40+CB41+CB43+CB44)/T2),0)</f>
        <v/>
      </c>
      <c r="CL44" s="5">
        <f>IFERROR(ROUND(CB44/CD44,2),0)</f>
        <v/>
      </c>
      <c r="CM44" s="5">
        <f>IFERROR(ROUND(CB44/CE44,2),0)</f>
        <v/>
      </c>
    </row>
    <row r="45">
      <c r="A45" s="2" t="inlineStr">
        <is>
          <t>2023-10-20</t>
        </is>
      </c>
      <c r="B45" s="5">
        <f>ROUND(18.38,2)</f>
        <v/>
      </c>
      <c r="C45" s="3">
        <f>ROUND(49441.0,2)</f>
        <v/>
      </c>
      <c r="D45" s="3">
        <f>ROUND(572.0,2)</f>
        <v/>
      </c>
      <c r="E45" s="3">
        <f>ROUND(0.0,2)</f>
        <v/>
      </c>
      <c r="F45" s="3">
        <f>ROUND(0.0,2)</f>
        <v/>
      </c>
      <c r="G45" s="3">
        <f>ROUND(0.0,2)</f>
        <v/>
      </c>
      <c r="H45" s="3">
        <f>ROUND(0.0,2)</f>
        <v/>
      </c>
      <c r="I45" s="3">
        <f>ROUND(0.0,2)</f>
        <v/>
      </c>
      <c r="J45" s="4">
        <f>IFERROR((D45/C45),0)</f>
        <v/>
      </c>
      <c r="K45" s="4">
        <f>IFERROR(((0+B11+B12+B13+B14+B15+B16+B17+B19+B20+B21+B22+B23+B24+B25+B27+B28+B29+B30+B31+B32+B33+B35+B36+B37+B38+B39+B40+B41+B43+B44+B45)/T2),0)</f>
        <v/>
      </c>
      <c r="L45" s="5">
        <f>IFERROR(ROUND(B45/D45,2),0)</f>
        <v/>
      </c>
      <c r="M45" s="5">
        <f>IFERROR(ROUND(B45/E45,2),0)</f>
        <v/>
      </c>
      <c r="N45" s="2" t="inlineStr">
        <is>
          <t>2023-10-20</t>
        </is>
      </c>
      <c r="O45" s="5">
        <f>ROUND(7.91,2)</f>
        <v/>
      </c>
      <c r="P45" s="3">
        <f>ROUND(20619.0,2)</f>
        <v/>
      </c>
      <c r="Q45" s="3">
        <f>ROUND(239.0,2)</f>
        <v/>
      </c>
      <c r="R45" s="3">
        <f>ROUND(0.0,2)</f>
        <v/>
      </c>
      <c r="S45" s="3">
        <f>ROUND(0.0,2)</f>
        <v/>
      </c>
      <c r="T45" s="3">
        <f>ROUND(0.0,2)</f>
        <v/>
      </c>
      <c r="U45" s="3">
        <f>ROUND(0.0,2)</f>
        <v/>
      </c>
      <c r="V45" s="3">
        <f>ROUND(0.0,2)</f>
        <v/>
      </c>
      <c r="W45" s="4">
        <f>IFERROR((Q45/P45),0)</f>
        <v/>
      </c>
      <c r="X45" s="4">
        <f>IFERROR(((0+O11+O12+O13+O14+O15+O16+O17+O19+O20+O21+O22+O23+O24+O25+O27+O28+O29+O30+O31+O32+O33+O35+O36+O37+O38+O39+O40+O41+O43+O44+O45)/T2),0)</f>
        <v/>
      </c>
      <c r="Y45" s="5">
        <f>IFERROR(ROUND(O45/Q45,2),0)</f>
        <v/>
      </c>
      <c r="Z45" s="5">
        <f>IFERROR(ROUND(O45/R45,2),0)</f>
        <v/>
      </c>
      <c r="AA45" s="2" t="inlineStr">
        <is>
          <t>2023-10-20</t>
        </is>
      </c>
      <c r="AB45" s="5">
        <f>ROUND(1.27,2)</f>
        <v/>
      </c>
      <c r="AC45" s="3">
        <f>ROUND(3026.0,2)</f>
        <v/>
      </c>
      <c r="AD45" s="3">
        <f>ROUND(38.0,2)</f>
        <v/>
      </c>
      <c r="AE45" s="3">
        <f>ROUND(0.0,2)</f>
        <v/>
      </c>
      <c r="AF45" s="3">
        <f>ROUND(0.0,2)</f>
        <v/>
      </c>
      <c r="AG45" s="3">
        <f>ROUND(0.0,2)</f>
        <v/>
      </c>
      <c r="AH45" s="3">
        <f>ROUND(0.0,2)</f>
        <v/>
      </c>
      <c r="AI45" s="3">
        <f>ROUND(0.0,2)</f>
        <v/>
      </c>
      <c r="AJ45" s="4">
        <f>IFERROR((AD45/AC45),0)</f>
        <v/>
      </c>
      <c r="AK45" s="4">
        <f>IFERROR(((0+AB11+AB12+AB13+AB14+AB15+AB16+AB17+AB19+AB20+AB21+AB22+AB23+AB24+AB25+AB27+AB28+AB29+AB30+AB31+AB32+AB33+AB35+AB36+AB37+AB38+AB39+AB40+AB41+AB43+AB44+AB45)/T2),0)</f>
        <v/>
      </c>
      <c r="AL45" s="5">
        <f>IFERROR(ROUND(AB45/AD45,2),0)</f>
        <v/>
      </c>
      <c r="AM45" s="5">
        <f>IFERROR(ROUND(AB45/AE45,2),0)</f>
        <v/>
      </c>
      <c r="AN45" s="2" t="inlineStr">
        <is>
          <t>2023-10-20</t>
        </is>
      </c>
      <c r="AO45" s="5">
        <f>ROUND(2.0100000000000002,2)</f>
        <v/>
      </c>
      <c r="AP45" s="3">
        <f>ROUND(6884.0,2)</f>
        <v/>
      </c>
      <c r="AQ45" s="3">
        <f>ROUND(63.0,2)</f>
        <v/>
      </c>
      <c r="AR45" s="3">
        <f>ROUND(0.0,2)</f>
        <v/>
      </c>
      <c r="AS45" s="3">
        <f>ROUND(0.0,2)</f>
        <v/>
      </c>
      <c r="AT45" s="3">
        <f>ROUND(0.0,2)</f>
        <v/>
      </c>
      <c r="AU45" s="3">
        <f>ROUND(0.0,2)</f>
        <v/>
      </c>
      <c r="AV45" s="3">
        <f>ROUND(0.0,2)</f>
        <v/>
      </c>
      <c r="AW45" s="4">
        <f>IFERROR((AQ45/AP45),0)</f>
        <v/>
      </c>
      <c r="AX45" s="4">
        <f>IFERROR(((0+AO11+AO12+AO13+AO14+AO15+AO16+AO17+AO19+AO20+AO21+AO22+AO23+AO24+AO25+AO27+AO28+AO29+AO30+AO31+AO32+AO33+AO35+AO36+AO37+AO38+AO39+AO40+AO41+AO43+AO44+AO45)/T2),0)</f>
        <v/>
      </c>
      <c r="AY45" s="5">
        <f>IFERROR(ROUND(AO45/AQ45,2),0)</f>
        <v/>
      </c>
      <c r="AZ45" s="5">
        <f>IFERROR(ROUND(AO45/AR45,2),0)</f>
        <v/>
      </c>
      <c r="BA45" s="2" t="inlineStr">
        <is>
          <t>2023-10-20</t>
        </is>
      </c>
      <c r="BB45" s="5">
        <f>ROUND(6.22,2)</f>
        <v/>
      </c>
      <c r="BC45" s="3">
        <f>ROUND(15208.0,2)</f>
        <v/>
      </c>
      <c r="BD45" s="3">
        <f>ROUND(182.0,2)</f>
        <v/>
      </c>
      <c r="BE45" s="3">
        <f>ROUND(0.0,2)</f>
        <v/>
      </c>
      <c r="BF45" s="3">
        <f>ROUND(0.0,2)</f>
        <v/>
      </c>
      <c r="BG45" s="3">
        <f>ROUND(0.0,2)</f>
        <v/>
      </c>
      <c r="BH45" s="3">
        <f>ROUND(0.0,2)</f>
        <v/>
      </c>
      <c r="BI45" s="3">
        <f>ROUND(0.0,2)</f>
        <v/>
      </c>
      <c r="BJ45" s="4">
        <f>IFERROR((BD45/BC45),0)</f>
        <v/>
      </c>
      <c r="BK45" s="4">
        <f>IFERROR(((0+BB11+BB12+BB13+BB14+BB15+BB16+BB17+BB19+BB20+BB21+BB22+BB23+BB24+BB25+BB27+BB28+BB29+BB30+BB31+BB32+BB33+BB35+BB36+BB37+BB38+BB39+BB40+BB41+BB43+BB44+BB45)/T2),0)</f>
        <v/>
      </c>
      <c r="BL45" s="5">
        <f>IFERROR(ROUND(BB45/BD45,2),0)</f>
        <v/>
      </c>
      <c r="BM45" s="5">
        <f>IFERROR(ROUND(BB45/BE45,2),0)</f>
        <v/>
      </c>
      <c r="BN45" s="2" t="inlineStr">
        <is>
          <t>2023-10-20</t>
        </is>
      </c>
      <c r="BO45" s="5">
        <f>ROUND(0.33,2)</f>
        <v/>
      </c>
      <c r="BP45" s="3">
        <f>ROUND(1171.0,2)</f>
        <v/>
      </c>
      <c r="BQ45" s="3">
        <f>ROUND(20.0,2)</f>
        <v/>
      </c>
      <c r="BR45" s="3">
        <f>ROUND(0.0,2)</f>
        <v/>
      </c>
      <c r="BS45" s="3">
        <f>ROUND(0.0,2)</f>
        <v/>
      </c>
      <c r="BT45" s="3">
        <f>ROUND(0.0,2)</f>
        <v/>
      </c>
      <c r="BU45" s="3">
        <f>ROUND(0.0,2)</f>
        <v/>
      </c>
      <c r="BV45" s="3">
        <f>ROUND(0.0,2)</f>
        <v/>
      </c>
      <c r="BW45" s="4">
        <f>IFERROR((BQ45/BP45),0)</f>
        <v/>
      </c>
      <c r="BX45" s="4">
        <f>IFERROR(((0+BO11+BO12+BO13+BO14+BO15+BO16+BO17+BO19+BO20+BO21+BO22+BO23+BO24+BO25+BO27+BO28+BO29+BO30+BO31+BO32+BO33+BO35+BO36+BO37+BO38+BO39+BO40+BO41+BO43+BO44+BO45)/T2),0)</f>
        <v/>
      </c>
      <c r="BY45" s="5">
        <f>IFERROR(ROUND(BO45/BQ45,2),0)</f>
        <v/>
      </c>
      <c r="BZ45" s="5">
        <f>IFERROR(ROUND(BO45/BR45,2),0)</f>
        <v/>
      </c>
      <c r="CA45" s="2" t="inlineStr">
        <is>
          <t>2023-10-20</t>
        </is>
      </c>
      <c r="CB45" s="5">
        <f>ROUND(0.64,2)</f>
        <v/>
      </c>
      <c r="CC45" s="3">
        <f>ROUND(2533.0,2)</f>
        <v/>
      </c>
      <c r="CD45" s="3">
        <f>ROUND(30.0,2)</f>
        <v/>
      </c>
      <c r="CE45" s="3">
        <f>ROUND(0.0,2)</f>
        <v/>
      </c>
      <c r="CF45" s="3">
        <f>ROUND(0.0,2)</f>
        <v/>
      </c>
      <c r="CG45" s="3">
        <f>ROUND(0.0,2)</f>
        <v/>
      </c>
      <c r="CH45" s="3">
        <f>ROUND(0.0,2)</f>
        <v/>
      </c>
      <c r="CI45" s="3">
        <f>ROUND(0.0,2)</f>
        <v/>
      </c>
      <c r="CJ45" s="4">
        <f>IFERROR((CD45/CC45),0)</f>
        <v/>
      </c>
      <c r="CK45" s="4">
        <f>IFERROR(((0+CB11+CB12+CB13+CB14+CB15+CB16+CB17+CB19+CB20+CB21+CB22+CB23+CB24+CB25+CB27+CB28+CB29+CB30+CB31+CB32+CB33+CB35+CB36+CB37+CB38+CB39+CB40+CB41+CB43+CB44+CB45)/T2),0)</f>
        <v/>
      </c>
      <c r="CL45" s="5">
        <f>IFERROR(ROUND(CB45/CD45,2),0)</f>
        <v/>
      </c>
      <c r="CM45" s="5">
        <f>IFERROR(ROUND(CB45/CE45,2),0)</f>
        <v/>
      </c>
    </row>
    <row r="46">
      <c r="A46" s="2" t="inlineStr">
        <is>
          <t>2023-10-21</t>
        </is>
      </c>
      <c r="B46" s="5">
        <f>ROUND(0.0,2)</f>
        <v/>
      </c>
      <c r="C46" s="3">
        <f>ROUND(0.0,2)</f>
        <v/>
      </c>
      <c r="D46" s="3">
        <f>ROUND(0.0,2)</f>
        <v/>
      </c>
      <c r="E46" s="3">
        <f>ROUND(0.0,2)</f>
        <v/>
      </c>
      <c r="F46" s="3">
        <f>ROUND(0.0,2)</f>
        <v/>
      </c>
      <c r="G46" s="3">
        <f>ROUND(0.0,2)</f>
        <v/>
      </c>
      <c r="H46" s="3">
        <f>ROUND(0.0,2)</f>
        <v/>
      </c>
      <c r="I46" s="3">
        <f>ROUND(0.0,2)</f>
        <v/>
      </c>
      <c r="J46" s="4">
        <f>IFERROR((D46/C46),0)</f>
        <v/>
      </c>
      <c r="K46" s="4">
        <f>IFERROR(((0+B11+B12+B13+B14+B15+B16+B17+B19+B20+B21+B22+B23+B24+B25+B27+B28+B29+B30+B31+B32+B33+B35+B36+B37+B38+B39+B40+B41+B43+B44+B45+B46)/T2),0)</f>
        <v/>
      </c>
      <c r="L46" s="5">
        <f>IFERROR(ROUND(B46/D46,2),0)</f>
        <v/>
      </c>
      <c r="M46" s="5">
        <f>IFERROR(ROUND(B46/E46,2),0)</f>
        <v/>
      </c>
      <c r="N46" s="2" t="inlineStr">
        <is>
          <t>2023-10-21</t>
        </is>
      </c>
      <c r="O46" s="5">
        <f>ROUND(0.0,2)</f>
        <v/>
      </c>
      <c r="P46" s="3">
        <f>ROUND(0.0,2)</f>
        <v/>
      </c>
      <c r="Q46" s="3">
        <f>ROUND(0.0,2)</f>
        <v/>
      </c>
      <c r="R46" s="3">
        <f>ROUND(0.0,2)</f>
        <v/>
      </c>
      <c r="S46" s="3">
        <f>ROUND(0.0,2)</f>
        <v/>
      </c>
      <c r="T46" s="3">
        <f>ROUND(0.0,2)</f>
        <v/>
      </c>
      <c r="U46" s="3">
        <f>ROUND(0.0,2)</f>
        <v/>
      </c>
      <c r="V46" s="3">
        <f>ROUND(0.0,2)</f>
        <v/>
      </c>
      <c r="W46" s="4">
        <f>IFERROR((Q46/P46),0)</f>
        <v/>
      </c>
      <c r="X46" s="4">
        <f>IFERROR(((0+O11+O12+O13+O14+O15+O16+O17+O19+O20+O21+O22+O23+O24+O25+O27+O28+O29+O30+O31+O32+O33+O35+O36+O37+O38+O39+O40+O41+O43+O44+O45+O46)/T2),0)</f>
        <v/>
      </c>
      <c r="Y46" s="5">
        <f>IFERROR(ROUND(O46/Q46,2),0)</f>
        <v/>
      </c>
      <c r="Z46" s="5">
        <f>IFERROR(ROUND(O46/R46,2),0)</f>
        <v/>
      </c>
      <c r="AA46" s="2" t="inlineStr">
        <is>
          <t>2023-10-21</t>
        </is>
      </c>
      <c r="AB46" s="5">
        <f>ROUND(0.0,2)</f>
        <v/>
      </c>
      <c r="AC46" s="3">
        <f>ROUND(0.0,2)</f>
        <v/>
      </c>
      <c r="AD46" s="3">
        <f>ROUND(0.0,2)</f>
        <v/>
      </c>
      <c r="AE46" s="3">
        <f>ROUND(0.0,2)</f>
        <v/>
      </c>
      <c r="AF46" s="3">
        <f>ROUND(0.0,2)</f>
        <v/>
      </c>
      <c r="AG46" s="3">
        <f>ROUND(0.0,2)</f>
        <v/>
      </c>
      <c r="AH46" s="3">
        <f>ROUND(0.0,2)</f>
        <v/>
      </c>
      <c r="AI46" s="3">
        <f>ROUND(0.0,2)</f>
        <v/>
      </c>
      <c r="AJ46" s="4">
        <f>IFERROR((AD46/AC46),0)</f>
        <v/>
      </c>
      <c r="AK46" s="4">
        <f>IFERROR(((0+AB11+AB12+AB13+AB14+AB15+AB16+AB17+AB19+AB20+AB21+AB22+AB23+AB24+AB25+AB27+AB28+AB29+AB30+AB31+AB32+AB33+AB35+AB36+AB37+AB38+AB39+AB40+AB41+AB43+AB44+AB45+AB46)/T2),0)</f>
        <v/>
      </c>
      <c r="AL46" s="5">
        <f>IFERROR(ROUND(AB46/AD46,2),0)</f>
        <v/>
      </c>
      <c r="AM46" s="5">
        <f>IFERROR(ROUND(AB46/AE46,2),0)</f>
        <v/>
      </c>
      <c r="AN46" s="2" t="inlineStr">
        <is>
          <t>2023-10-21</t>
        </is>
      </c>
      <c r="AO46" s="5">
        <f>ROUND(0.0,2)</f>
        <v/>
      </c>
      <c r="AP46" s="3">
        <f>ROUND(0.0,2)</f>
        <v/>
      </c>
      <c r="AQ46" s="3">
        <f>ROUND(0.0,2)</f>
        <v/>
      </c>
      <c r="AR46" s="3">
        <f>ROUND(0.0,2)</f>
        <v/>
      </c>
      <c r="AS46" s="3">
        <f>ROUND(0.0,2)</f>
        <v/>
      </c>
      <c r="AT46" s="3">
        <f>ROUND(0.0,2)</f>
        <v/>
      </c>
      <c r="AU46" s="3">
        <f>ROUND(0.0,2)</f>
        <v/>
      </c>
      <c r="AV46" s="3">
        <f>ROUND(0.0,2)</f>
        <v/>
      </c>
      <c r="AW46" s="4">
        <f>IFERROR((AQ46/AP46),0)</f>
        <v/>
      </c>
      <c r="AX46" s="4">
        <f>IFERROR(((0+AO11+AO12+AO13+AO14+AO15+AO16+AO17+AO19+AO20+AO21+AO22+AO23+AO24+AO25+AO27+AO28+AO29+AO30+AO31+AO32+AO33+AO35+AO36+AO37+AO38+AO39+AO40+AO41+AO43+AO44+AO45+AO46)/T2),0)</f>
        <v/>
      </c>
      <c r="AY46" s="5">
        <f>IFERROR(ROUND(AO46/AQ46,2),0)</f>
        <v/>
      </c>
      <c r="AZ46" s="5">
        <f>IFERROR(ROUND(AO46/AR46,2),0)</f>
        <v/>
      </c>
      <c r="BA46" s="2" t="inlineStr">
        <is>
          <t>2023-10-21</t>
        </is>
      </c>
      <c r="BB46" s="5">
        <f>ROUND(0.0,2)</f>
        <v/>
      </c>
      <c r="BC46" s="3">
        <f>ROUND(0.0,2)</f>
        <v/>
      </c>
      <c r="BD46" s="3">
        <f>ROUND(0.0,2)</f>
        <v/>
      </c>
      <c r="BE46" s="3">
        <f>ROUND(0.0,2)</f>
        <v/>
      </c>
      <c r="BF46" s="3">
        <f>ROUND(0.0,2)</f>
        <v/>
      </c>
      <c r="BG46" s="3">
        <f>ROUND(0.0,2)</f>
        <v/>
      </c>
      <c r="BH46" s="3">
        <f>ROUND(0.0,2)</f>
        <v/>
      </c>
      <c r="BI46" s="3">
        <f>ROUND(0.0,2)</f>
        <v/>
      </c>
      <c r="BJ46" s="4">
        <f>IFERROR((BD46/BC46),0)</f>
        <v/>
      </c>
      <c r="BK46" s="4">
        <f>IFERROR(((0+BB11+BB12+BB13+BB14+BB15+BB16+BB17+BB19+BB20+BB21+BB22+BB23+BB24+BB25+BB27+BB28+BB29+BB30+BB31+BB32+BB33+BB35+BB36+BB37+BB38+BB39+BB40+BB41+BB43+BB44+BB45+BB46)/T2),0)</f>
        <v/>
      </c>
      <c r="BL46" s="5">
        <f>IFERROR(ROUND(BB46/BD46,2),0)</f>
        <v/>
      </c>
      <c r="BM46" s="5">
        <f>IFERROR(ROUND(BB46/BE46,2),0)</f>
        <v/>
      </c>
      <c r="BN46" s="2" t="inlineStr">
        <is>
          <t>2023-10-21</t>
        </is>
      </c>
      <c r="BO46" s="5">
        <f>ROUND(0.0,2)</f>
        <v/>
      </c>
      <c r="BP46" s="3">
        <f>ROUND(0.0,2)</f>
        <v/>
      </c>
      <c r="BQ46" s="3">
        <f>ROUND(0.0,2)</f>
        <v/>
      </c>
      <c r="BR46" s="3">
        <f>ROUND(0.0,2)</f>
        <v/>
      </c>
      <c r="BS46" s="3">
        <f>ROUND(0.0,2)</f>
        <v/>
      </c>
      <c r="BT46" s="3">
        <f>ROUND(0.0,2)</f>
        <v/>
      </c>
      <c r="BU46" s="3">
        <f>ROUND(0.0,2)</f>
        <v/>
      </c>
      <c r="BV46" s="3">
        <f>ROUND(0.0,2)</f>
        <v/>
      </c>
      <c r="BW46" s="4">
        <f>IFERROR((BQ46/BP46),0)</f>
        <v/>
      </c>
      <c r="BX46" s="4">
        <f>IFERROR(((0+BO11+BO12+BO13+BO14+BO15+BO16+BO17+BO19+BO20+BO21+BO22+BO23+BO24+BO25+BO27+BO28+BO29+BO30+BO31+BO32+BO33+BO35+BO36+BO37+BO38+BO39+BO40+BO41+BO43+BO44+BO45+BO46)/T2),0)</f>
        <v/>
      </c>
      <c r="BY46" s="5">
        <f>IFERROR(ROUND(BO46/BQ46,2),0)</f>
        <v/>
      </c>
      <c r="BZ46" s="5">
        <f>IFERROR(ROUND(BO46/BR46,2),0)</f>
        <v/>
      </c>
      <c r="CA46" s="2" t="inlineStr">
        <is>
          <t>2023-10-21</t>
        </is>
      </c>
      <c r="CB46" s="5">
        <f>ROUND(0.0,2)</f>
        <v/>
      </c>
      <c r="CC46" s="3">
        <f>ROUND(0.0,2)</f>
        <v/>
      </c>
      <c r="CD46" s="3">
        <f>ROUND(0.0,2)</f>
        <v/>
      </c>
      <c r="CE46" s="3">
        <f>ROUND(0.0,2)</f>
        <v/>
      </c>
      <c r="CF46" s="3">
        <f>ROUND(0.0,2)</f>
        <v/>
      </c>
      <c r="CG46" s="3">
        <f>ROUND(0.0,2)</f>
        <v/>
      </c>
      <c r="CH46" s="3">
        <f>ROUND(0.0,2)</f>
        <v/>
      </c>
      <c r="CI46" s="3">
        <f>ROUND(0.0,2)</f>
        <v/>
      </c>
      <c r="CJ46" s="4">
        <f>IFERROR((CD46/CC46),0)</f>
        <v/>
      </c>
      <c r="CK46" s="4">
        <f>IFERROR(((0+CB11+CB12+CB13+CB14+CB15+CB16+CB17+CB19+CB20+CB21+CB22+CB23+CB24+CB25+CB27+CB28+CB29+CB30+CB31+CB32+CB33+CB35+CB36+CB37+CB38+CB39+CB40+CB41+CB43+CB44+CB45+CB46)/T2),0)</f>
        <v/>
      </c>
      <c r="CL46" s="5">
        <f>IFERROR(ROUND(CB46/CD46,2),0)</f>
        <v/>
      </c>
      <c r="CM46" s="5">
        <f>IFERROR(ROUND(CB46/CE46,2),0)</f>
        <v/>
      </c>
    </row>
    <row r="47">
      <c r="A47" s="2" t="inlineStr">
        <is>
          <t>2023-10-22</t>
        </is>
      </c>
      <c r="B47" s="5">
        <f>ROUND(0.0,2)</f>
        <v/>
      </c>
      <c r="C47" s="3">
        <f>ROUND(0.0,2)</f>
        <v/>
      </c>
      <c r="D47" s="3">
        <f>ROUND(0.0,2)</f>
        <v/>
      </c>
      <c r="E47" s="3">
        <f>ROUND(0.0,2)</f>
        <v/>
      </c>
      <c r="F47" s="3">
        <f>ROUND(0.0,2)</f>
        <v/>
      </c>
      <c r="G47" s="3">
        <f>ROUND(0.0,2)</f>
        <v/>
      </c>
      <c r="H47" s="3">
        <f>ROUND(0.0,2)</f>
        <v/>
      </c>
      <c r="I47" s="3">
        <f>ROUND(0.0,2)</f>
        <v/>
      </c>
      <c r="J47" s="4">
        <f>IFERROR((D47/C47),0)</f>
        <v/>
      </c>
      <c r="K47" s="4">
        <f>IFERROR(((0+B11+B12+B13+B14+B15+B16+B17+B19+B20+B21+B22+B23+B24+B25+B27+B28+B29+B30+B31+B32+B33+B35+B36+B37+B38+B39+B40+B41+B43+B44+B45+B46+B47)/T2),0)</f>
        <v/>
      </c>
      <c r="L47" s="5">
        <f>IFERROR(ROUND(B47/D47,2),0)</f>
        <v/>
      </c>
      <c r="M47" s="5">
        <f>IFERROR(ROUND(B47/E47,2),0)</f>
        <v/>
      </c>
      <c r="N47" s="2" t="inlineStr">
        <is>
          <t>2023-10-22</t>
        </is>
      </c>
      <c r="O47" s="5">
        <f>ROUND(0.0,2)</f>
        <v/>
      </c>
      <c r="P47" s="3">
        <f>ROUND(0.0,2)</f>
        <v/>
      </c>
      <c r="Q47" s="3">
        <f>ROUND(0.0,2)</f>
        <v/>
      </c>
      <c r="R47" s="3">
        <f>ROUND(0.0,2)</f>
        <v/>
      </c>
      <c r="S47" s="3">
        <f>ROUND(0.0,2)</f>
        <v/>
      </c>
      <c r="T47" s="3">
        <f>ROUND(0.0,2)</f>
        <v/>
      </c>
      <c r="U47" s="3">
        <f>ROUND(0.0,2)</f>
        <v/>
      </c>
      <c r="V47" s="3">
        <f>ROUND(0.0,2)</f>
        <v/>
      </c>
      <c r="W47" s="4">
        <f>IFERROR((Q47/P47),0)</f>
        <v/>
      </c>
      <c r="X47" s="4">
        <f>IFERROR(((0+O11+O12+O13+O14+O15+O16+O17+O19+O20+O21+O22+O23+O24+O25+O27+O28+O29+O30+O31+O32+O33+O35+O36+O37+O38+O39+O40+O41+O43+O44+O45+O46+O47)/T2),0)</f>
        <v/>
      </c>
      <c r="Y47" s="5">
        <f>IFERROR(ROUND(O47/Q47,2),0)</f>
        <v/>
      </c>
      <c r="Z47" s="5">
        <f>IFERROR(ROUND(O47/R47,2),0)</f>
        <v/>
      </c>
      <c r="AA47" s="2" t="inlineStr">
        <is>
          <t>2023-10-22</t>
        </is>
      </c>
      <c r="AB47" s="5">
        <f>ROUND(0.0,2)</f>
        <v/>
      </c>
      <c r="AC47" s="3">
        <f>ROUND(0.0,2)</f>
        <v/>
      </c>
      <c r="AD47" s="3">
        <f>ROUND(0.0,2)</f>
        <v/>
      </c>
      <c r="AE47" s="3">
        <f>ROUND(0.0,2)</f>
        <v/>
      </c>
      <c r="AF47" s="3">
        <f>ROUND(0.0,2)</f>
        <v/>
      </c>
      <c r="AG47" s="3">
        <f>ROUND(0.0,2)</f>
        <v/>
      </c>
      <c r="AH47" s="3">
        <f>ROUND(0.0,2)</f>
        <v/>
      </c>
      <c r="AI47" s="3">
        <f>ROUND(0.0,2)</f>
        <v/>
      </c>
      <c r="AJ47" s="4">
        <f>IFERROR((AD47/AC47),0)</f>
        <v/>
      </c>
      <c r="AK47" s="4">
        <f>IFERROR(((0+AB11+AB12+AB13+AB14+AB15+AB16+AB17+AB19+AB20+AB21+AB22+AB23+AB24+AB25+AB27+AB28+AB29+AB30+AB31+AB32+AB33+AB35+AB36+AB37+AB38+AB39+AB40+AB41+AB43+AB44+AB45+AB46+AB47)/T2),0)</f>
        <v/>
      </c>
      <c r="AL47" s="5">
        <f>IFERROR(ROUND(AB47/AD47,2),0)</f>
        <v/>
      </c>
      <c r="AM47" s="5">
        <f>IFERROR(ROUND(AB47/AE47,2),0)</f>
        <v/>
      </c>
      <c r="AN47" s="2" t="inlineStr">
        <is>
          <t>2023-10-22</t>
        </is>
      </c>
      <c r="AO47" s="5">
        <f>ROUND(0.0,2)</f>
        <v/>
      </c>
      <c r="AP47" s="3">
        <f>ROUND(0.0,2)</f>
        <v/>
      </c>
      <c r="AQ47" s="3">
        <f>ROUND(0.0,2)</f>
        <v/>
      </c>
      <c r="AR47" s="3">
        <f>ROUND(0.0,2)</f>
        <v/>
      </c>
      <c r="AS47" s="3">
        <f>ROUND(0.0,2)</f>
        <v/>
      </c>
      <c r="AT47" s="3">
        <f>ROUND(0.0,2)</f>
        <v/>
      </c>
      <c r="AU47" s="3">
        <f>ROUND(0.0,2)</f>
        <v/>
      </c>
      <c r="AV47" s="3">
        <f>ROUND(0.0,2)</f>
        <v/>
      </c>
      <c r="AW47" s="4">
        <f>IFERROR((AQ47/AP47),0)</f>
        <v/>
      </c>
      <c r="AX47" s="4">
        <f>IFERROR(((0+AO11+AO12+AO13+AO14+AO15+AO16+AO17+AO19+AO20+AO21+AO22+AO23+AO24+AO25+AO27+AO28+AO29+AO30+AO31+AO32+AO33+AO35+AO36+AO37+AO38+AO39+AO40+AO41+AO43+AO44+AO45+AO46+AO47)/T2),0)</f>
        <v/>
      </c>
      <c r="AY47" s="5">
        <f>IFERROR(ROUND(AO47/AQ47,2),0)</f>
        <v/>
      </c>
      <c r="AZ47" s="5">
        <f>IFERROR(ROUND(AO47/AR47,2),0)</f>
        <v/>
      </c>
      <c r="BA47" s="2" t="inlineStr">
        <is>
          <t>2023-10-22</t>
        </is>
      </c>
      <c r="BB47" s="5">
        <f>ROUND(0.0,2)</f>
        <v/>
      </c>
      <c r="BC47" s="3">
        <f>ROUND(0.0,2)</f>
        <v/>
      </c>
      <c r="BD47" s="3">
        <f>ROUND(0.0,2)</f>
        <v/>
      </c>
      <c r="BE47" s="3">
        <f>ROUND(0.0,2)</f>
        <v/>
      </c>
      <c r="BF47" s="3">
        <f>ROUND(0.0,2)</f>
        <v/>
      </c>
      <c r="BG47" s="3">
        <f>ROUND(0.0,2)</f>
        <v/>
      </c>
      <c r="BH47" s="3">
        <f>ROUND(0.0,2)</f>
        <v/>
      </c>
      <c r="BI47" s="3">
        <f>ROUND(0.0,2)</f>
        <v/>
      </c>
      <c r="BJ47" s="4">
        <f>IFERROR((BD47/BC47),0)</f>
        <v/>
      </c>
      <c r="BK47" s="4">
        <f>IFERROR(((0+BB11+BB12+BB13+BB14+BB15+BB16+BB17+BB19+BB20+BB21+BB22+BB23+BB24+BB25+BB27+BB28+BB29+BB30+BB31+BB32+BB33+BB35+BB36+BB37+BB38+BB39+BB40+BB41+BB43+BB44+BB45+BB46+BB47)/T2),0)</f>
        <v/>
      </c>
      <c r="BL47" s="5">
        <f>IFERROR(ROUND(BB47/BD47,2),0)</f>
        <v/>
      </c>
      <c r="BM47" s="5">
        <f>IFERROR(ROUND(BB47/BE47,2),0)</f>
        <v/>
      </c>
      <c r="BN47" s="2" t="inlineStr">
        <is>
          <t>2023-10-22</t>
        </is>
      </c>
      <c r="BO47" s="5">
        <f>ROUND(0.0,2)</f>
        <v/>
      </c>
      <c r="BP47" s="3">
        <f>ROUND(0.0,2)</f>
        <v/>
      </c>
      <c r="BQ47" s="3">
        <f>ROUND(0.0,2)</f>
        <v/>
      </c>
      <c r="BR47" s="3">
        <f>ROUND(0.0,2)</f>
        <v/>
      </c>
      <c r="BS47" s="3">
        <f>ROUND(0.0,2)</f>
        <v/>
      </c>
      <c r="BT47" s="3">
        <f>ROUND(0.0,2)</f>
        <v/>
      </c>
      <c r="BU47" s="3">
        <f>ROUND(0.0,2)</f>
        <v/>
      </c>
      <c r="BV47" s="3">
        <f>ROUND(0.0,2)</f>
        <v/>
      </c>
      <c r="BW47" s="4">
        <f>IFERROR((BQ47/BP47),0)</f>
        <v/>
      </c>
      <c r="BX47" s="4">
        <f>IFERROR(((0+BO11+BO12+BO13+BO14+BO15+BO16+BO17+BO19+BO20+BO21+BO22+BO23+BO24+BO25+BO27+BO28+BO29+BO30+BO31+BO32+BO33+BO35+BO36+BO37+BO38+BO39+BO40+BO41+BO43+BO44+BO45+BO46+BO47)/T2),0)</f>
        <v/>
      </c>
      <c r="BY47" s="5">
        <f>IFERROR(ROUND(BO47/BQ47,2),0)</f>
        <v/>
      </c>
      <c r="BZ47" s="5">
        <f>IFERROR(ROUND(BO47/BR47,2),0)</f>
        <v/>
      </c>
      <c r="CA47" s="2" t="inlineStr">
        <is>
          <t>2023-10-22</t>
        </is>
      </c>
      <c r="CB47" s="5">
        <f>ROUND(0.0,2)</f>
        <v/>
      </c>
      <c r="CC47" s="3">
        <f>ROUND(0.0,2)</f>
        <v/>
      </c>
      <c r="CD47" s="3">
        <f>ROUND(0.0,2)</f>
        <v/>
      </c>
      <c r="CE47" s="3">
        <f>ROUND(0.0,2)</f>
        <v/>
      </c>
      <c r="CF47" s="3">
        <f>ROUND(0.0,2)</f>
        <v/>
      </c>
      <c r="CG47" s="3">
        <f>ROUND(0.0,2)</f>
        <v/>
      </c>
      <c r="CH47" s="3">
        <f>ROUND(0.0,2)</f>
        <v/>
      </c>
      <c r="CI47" s="3">
        <f>ROUND(0.0,2)</f>
        <v/>
      </c>
      <c r="CJ47" s="4">
        <f>IFERROR((CD47/CC47),0)</f>
        <v/>
      </c>
      <c r="CK47" s="4">
        <f>IFERROR(((0+CB11+CB12+CB13+CB14+CB15+CB16+CB17+CB19+CB20+CB21+CB22+CB23+CB24+CB25+CB27+CB28+CB29+CB30+CB31+CB32+CB33+CB35+CB36+CB37+CB38+CB39+CB40+CB41+CB43+CB44+CB45+CB46+CB47)/T2),0)</f>
        <v/>
      </c>
      <c r="CL47" s="5">
        <f>IFERROR(ROUND(CB47/CD47,2),0)</f>
        <v/>
      </c>
      <c r="CM47" s="5">
        <f>IFERROR(ROUND(CB47/CE47,2),0)</f>
        <v/>
      </c>
    </row>
    <row r="48">
      <c r="A48" s="2" t="inlineStr">
        <is>
          <t>2023-10-23</t>
        </is>
      </c>
      <c r="B48" s="5">
        <f>ROUND(65.0,2)</f>
        <v/>
      </c>
      <c r="C48" s="3">
        <f>ROUND(169425.0,2)</f>
        <v/>
      </c>
      <c r="D48" s="3">
        <f>ROUND(2007.0,2)</f>
        <v/>
      </c>
      <c r="E48" s="3">
        <f>ROUND(0.0,2)</f>
        <v/>
      </c>
      <c r="F48" s="3">
        <f>ROUND(0.0,2)</f>
        <v/>
      </c>
      <c r="G48" s="3">
        <f>ROUND(0.0,2)</f>
        <v/>
      </c>
      <c r="H48" s="3">
        <f>ROUND(0.0,2)</f>
        <v/>
      </c>
      <c r="I48" s="3">
        <f>ROUND(0.0,2)</f>
        <v/>
      </c>
      <c r="J48" s="4">
        <f>IFERROR((D48/C48),0)</f>
        <v/>
      </c>
      <c r="K48" s="4">
        <f>IFERROR(((0+B11+B12+B13+B14+B15+B16+B17+B19+B20+B21+B22+B23+B24+B25+B27+B28+B29+B30+B31+B32+B33+B35+B36+B37+B38+B39+B40+B41+B43+B44+B45+B46+B47+B48)/T2),0)</f>
        <v/>
      </c>
      <c r="L48" s="5">
        <f>IFERROR(ROUND(B48/D48,2),0)</f>
        <v/>
      </c>
      <c r="M48" s="5">
        <f>IFERROR(ROUND(B48/E48,2),0)</f>
        <v/>
      </c>
      <c r="N48" s="2" t="inlineStr">
        <is>
          <t>2023-10-23</t>
        </is>
      </c>
      <c r="O48" s="5">
        <f>ROUND(13.649999999999999,2)</f>
        <v/>
      </c>
      <c r="P48" s="3">
        <f>ROUND(39538.0,2)</f>
        <v/>
      </c>
      <c r="Q48" s="3">
        <f>ROUND(433.0,2)</f>
        <v/>
      </c>
      <c r="R48" s="3">
        <f>ROUND(0.0,2)</f>
        <v/>
      </c>
      <c r="S48" s="3">
        <f>ROUND(0.0,2)</f>
        <v/>
      </c>
      <c r="T48" s="3">
        <f>ROUND(0.0,2)</f>
        <v/>
      </c>
      <c r="U48" s="3">
        <f>ROUND(0.0,2)</f>
        <v/>
      </c>
      <c r="V48" s="3">
        <f>ROUND(0.0,2)</f>
        <v/>
      </c>
      <c r="W48" s="4">
        <f>IFERROR((Q48/P48),0)</f>
        <v/>
      </c>
      <c r="X48" s="4">
        <f>IFERROR(((0+O11+O12+O13+O14+O15+O16+O17+O19+O20+O21+O22+O23+O24+O25+O27+O28+O29+O30+O31+O32+O33+O35+O36+O37+O38+O39+O40+O41+O43+O44+O45+O46+O47+O48)/T2),0)</f>
        <v/>
      </c>
      <c r="Y48" s="5">
        <f>IFERROR(ROUND(O48/Q48,2),0)</f>
        <v/>
      </c>
      <c r="Z48" s="5">
        <f>IFERROR(ROUND(O48/R48,2),0)</f>
        <v/>
      </c>
      <c r="AA48" s="2" t="inlineStr">
        <is>
          <t>2023-10-23</t>
        </is>
      </c>
      <c r="AB48" s="5">
        <f>ROUND(10.49,2)</f>
        <v/>
      </c>
      <c r="AC48" s="3">
        <f>ROUND(22718.0,2)</f>
        <v/>
      </c>
      <c r="AD48" s="3">
        <f>ROUND(320.0,2)</f>
        <v/>
      </c>
      <c r="AE48" s="3">
        <f>ROUND(0.0,2)</f>
        <v/>
      </c>
      <c r="AF48" s="3">
        <f>ROUND(0.0,2)</f>
        <v/>
      </c>
      <c r="AG48" s="3">
        <f>ROUND(0.0,2)</f>
        <v/>
      </c>
      <c r="AH48" s="3">
        <f>ROUND(0.0,2)</f>
        <v/>
      </c>
      <c r="AI48" s="3">
        <f>ROUND(0.0,2)</f>
        <v/>
      </c>
      <c r="AJ48" s="4">
        <f>IFERROR((AD48/AC48),0)</f>
        <v/>
      </c>
      <c r="AK48" s="4">
        <f>IFERROR(((0+AB11+AB12+AB13+AB14+AB15+AB16+AB17+AB19+AB20+AB21+AB22+AB23+AB24+AB25+AB27+AB28+AB29+AB30+AB31+AB32+AB33+AB35+AB36+AB37+AB38+AB39+AB40+AB41+AB43+AB44+AB45+AB46+AB47+AB48)/T2),0)</f>
        <v/>
      </c>
      <c r="AL48" s="5">
        <f>IFERROR(ROUND(AB48/AD48,2),0)</f>
        <v/>
      </c>
      <c r="AM48" s="5">
        <f>IFERROR(ROUND(AB48/AE48,2),0)</f>
        <v/>
      </c>
      <c r="AN48" s="2" t="inlineStr">
        <is>
          <t>2023-10-23</t>
        </is>
      </c>
      <c r="AO48" s="5">
        <f>ROUND(9.250000000000002,2)</f>
        <v/>
      </c>
      <c r="AP48" s="3">
        <f>ROUND(27451.0,2)</f>
        <v/>
      </c>
      <c r="AQ48" s="3">
        <f>ROUND(269.0,2)</f>
        <v/>
      </c>
      <c r="AR48" s="3">
        <f>ROUND(0.0,2)</f>
        <v/>
      </c>
      <c r="AS48" s="3">
        <f>ROUND(0.0,2)</f>
        <v/>
      </c>
      <c r="AT48" s="3">
        <f>ROUND(0.0,2)</f>
        <v/>
      </c>
      <c r="AU48" s="3">
        <f>ROUND(0.0,2)</f>
        <v/>
      </c>
      <c r="AV48" s="3">
        <f>ROUND(0.0,2)</f>
        <v/>
      </c>
      <c r="AW48" s="4">
        <f>IFERROR((AQ48/AP48),0)</f>
        <v/>
      </c>
      <c r="AX48" s="4">
        <f>IFERROR(((0+AO11+AO12+AO13+AO14+AO15+AO16+AO17+AO19+AO20+AO21+AO22+AO23+AO24+AO25+AO27+AO28+AO29+AO30+AO31+AO32+AO33+AO35+AO36+AO37+AO38+AO39+AO40+AO41+AO43+AO44+AO45+AO46+AO47+AO48)/T2),0)</f>
        <v/>
      </c>
      <c r="AY48" s="5">
        <f>IFERROR(ROUND(AO48/AQ48,2),0)</f>
        <v/>
      </c>
      <c r="AZ48" s="5">
        <f>IFERROR(ROUND(AO48/AR48,2),0)</f>
        <v/>
      </c>
      <c r="BA48" s="2" t="inlineStr">
        <is>
          <t>2023-10-23</t>
        </is>
      </c>
      <c r="BB48" s="5">
        <f>ROUND(10.72,2)</f>
        <v/>
      </c>
      <c r="BC48" s="3">
        <f>ROUND(24570.0,2)</f>
        <v/>
      </c>
      <c r="BD48" s="3">
        <f>ROUND(324.0,2)</f>
        <v/>
      </c>
      <c r="BE48" s="3">
        <f>ROUND(0.0,2)</f>
        <v/>
      </c>
      <c r="BF48" s="3">
        <f>ROUND(0.0,2)</f>
        <v/>
      </c>
      <c r="BG48" s="3">
        <f>ROUND(0.0,2)</f>
        <v/>
      </c>
      <c r="BH48" s="3">
        <f>ROUND(0.0,2)</f>
        <v/>
      </c>
      <c r="BI48" s="3">
        <f>ROUND(0.0,2)</f>
        <v/>
      </c>
      <c r="BJ48" s="4">
        <f>IFERROR((BD48/BC48),0)</f>
        <v/>
      </c>
      <c r="BK48" s="4">
        <f>IFERROR(((0+BB11+BB12+BB13+BB14+BB15+BB16+BB17+BB19+BB20+BB21+BB22+BB23+BB24+BB25+BB27+BB28+BB29+BB30+BB31+BB32+BB33+BB35+BB36+BB37+BB38+BB39+BB40+BB41+BB43+BB44+BB45+BB46+BB47+BB48)/T2),0)</f>
        <v/>
      </c>
      <c r="BL48" s="5">
        <f>IFERROR(ROUND(BB48/BD48,2),0)</f>
        <v/>
      </c>
      <c r="BM48" s="5">
        <f>IFERROR(ROUND(BB48/BE48,2),0)</f>
        <v/>
      </c>
      <c r="BN48" s="2" t="inlineStr">
        <is>
          <t>2023-10-23</t>
        </is>
      </c>
      <c r="BO48" s="5">
        <f>ROUND(3.8,2)</f>
        <v/>
      </c>
      <c r="BP48" s="3">
        <f>ROUND(9346.0,2)</f>
        <v/>
      </c>
      <c r="BQ48" s="3">
        <f>ROUND(88.0,2)</f>
        <v/>
      </c>
      <c r="BR48" s="3">
        <f>ROUND(0.0,2)</f>
        <v/>
      </c>
      <c r="BS48" s="3">
        <f>ROUND(0.0,2)</f>
        <v/>
      </c>
      <c r="BT48" s="3">
        <f>ROUND(0.0,2)</f>
        <v/>
      </c>
      <c r="BU48" s="3">
        <f>ROUND(0.0,2)</f>
        <v/>
      </c>
      <c r="BV48" s="3">
        <f>ROUND(0.0,2)</f>
        <v/>
      </c>
      <c r="BW48" s="4">
        <f>IFERROR((BQ48/BP48),0)</f>
        <v/>
      </c>
      <c r="BX48" s="4">
        <f>IFERROR(((0+BO11+BO12+BO13+BO14+BO15+BO16+BO17+BO19+BO20+BO21+BO22+BO23+BO24+BO25+BO27+BO28+BO29+BO30+BO31+BO32+BO33+BO35+BO36+BO37+BO38+BO39+BO40+BO41+BO43+BO44+BO45+BO46+BO47+BO48)/T2),0)</f>
        <v/>
      </c>
      <c r="BY48" s="5">
        <f>IFERROR(ROUND(BO48/BQ48,2),0)</f>
        <v/>
      </c>
      <c r="BZ48" s="5">
        <f>IFERROR(ROUND(BO48/BR48,2),0)</f>
        <v/>
      </c>
      <c r="CA48" s="2" t="inlineStr">
        <is>
          <t>2023-10-23</t>
        </is>
      </c>
      <c r="CB48" s="5">
        <f>ROUND(17.09,2)</f>
        <v/>
      </c>
      <c r="CC48" s="3">
        <f>ROUND(45802.0,2)</f>
        <v/>
      </c>
      <c r="CD48" s="3">
        <f>ROUND(573.0,2)</f>
        <v/>
      </c>
      <c r="CE48" s="3">
        <f>ROUND(0.0,2)</f>
        <v/>
      </c>
      <c r="CF48" s="3">
        <f>ROUND(0.0,2)</f>
        <v/>
      </c>
      <c r="CG48" s="3">
        <f>ROUND(0.0,2)</f>
        <v/>
      </c>
      <c r="CH48" s="3">
        <f>ROUND(0.0,2)</f>
        <v/>
      </c>
      <c r="CI48" s="3">
        <f>ROUND(0.0,2)</f>
        <v/>
      </c>
      <c r="CJ48" s="4">
        <f>IFERROR((CD48/CC48),0)</f>
        <v/>
      </c>
      <c r="CK48" s="4">
        <f>IFERROR(((0+CB11+CB12+CB13+CB14+CB15+CB16+CB17+CB19+CB20+CB21+CB22+CB23+CB24+CB25+CB27+CB28+CB29+CB30+CB31+CB32+CB33+CB35+CB36+CB37+CB38+CB39+CB40+CB41+CB43+CB44+CB45+CB46+CB47+CB48)/T2),0)</f>
        <v/>
      </c>
      <c r="CL48" s="5">
        <f>IFERROR(ROUND(CB48/CD48,2),0)</f>
        <v/>
      </c>
      <c r="CM48" s="5">
        <f>IFERROR(ROUND(CB48/CE48,2),0)</f>
        <v/>
      </c>
    </row>
    <row r="49">
      <c r="A49" s="2" t="inlineStr">
        <is>
          <t>2023-10-24</t>
        </is>
      </c>
      <c r="B49" s="5">
        <f>ROUND(96.5,2)</f>
        <v/>
      </c>
      <c r="C49" s="3">
        <f>ROUND(302314.0,2)</f>
        <v/>
      </c>
      <c r="D49" s="3">
        <f>ROUND(2993.0,2)</f>
        <v/>
      </c>
      <c r="E49" s="3">
        <f>ROUND(0.0,2)</f>
        <v/>
      </c>
      <c r="F49" s="3">
        <f>ROUND(0.0,2)</f>
        <v/>
      </c>
      <c r="G49" s="3">
        <f>ROUND(0.0,2)</f>
        <v/>
      </c>
      <c r="H49" s="3">
        <f>ROUND(0.0,2)</f>
        <v/>
      </c>
      <c r="I49" s="3">
        <f>ROUND(0.0,2)</f>
        <v/>
      </c>
      <c r="J49" s="4">
        <f>IFERROR((D49/C49),0)</f>
        <v/>
      </c>
      <c r="K49" s="4">
        <f>IFERROR(((0+B11+B12+B13+B14+B15+B16+B17+B19+B20+B21+B22+B23+B24+B25+B27+B28+B29+B30+B31+B32+B33+B35+B36+B37+B38+B39+B40+B41+B43+B44+B45+B46+B47+B48+B49)/T2),0)</f>
        <v/>
      </c>
      <c r="L49" s="5">
        <f>IFERROR(ROUND(B49/D49,2),0)</f>
        <v/>
      </c>
      <c r="M49" s="5">
        <f>IFERROR(ROUND(B49/E49,2),0)</f>
        <v/>
      </c>
      <c r="N49" s="2" t="inlineStr">
        <is>
          <t>2023-10-24</t>
        </is>
      </c>
      <c r="O49" s="5">
        <f>ROUND(28.71,2)</f>
        <v/>
      </c>
      <c r="P49" s="3">
        <f>ROUND(98742.0,2)</f>
        <v/>
      </c>
      <c r="Q49" s="3">
        <f>ROUND(962.0,2)</f>
        <v/>
      </c>
      <c r="R49" s="3">
        <f>ROUND(0.0,2)</f>
        <v/>
      </c>
      <c r="S49" s="3">
        <f>ROUND(0.0,2)</f>
        <v/>
      </c>
      <c r="T49" s="3">
        <f>ROUND(0.0,2)</f>
        <v/>
      </c>
      <c r="U49" s="3">
        <f>ROUND(0.0,2)</f>
        <v/>
      </c>
      <c r="V49" s="3">
        <f>ROUND(0.0,2)</f>
        <v/>
      </c>
      <c r="W49" s="4">
        <f>IFERROR((Q49/P49),0)</f>
        <v/>
      </c>
      <c r="X49" s="4">
        <f>IFERROR(((0+O11+O12+O13+O14+O15+O16+O17+O19+O20+O21+O22+O23+O24+O25+O27+O28+O29+O30+O31+O32+O33+O35+O36+O37+O38+O39+O40+O41+O43+O44+O45+O46+O47+O48+O49)/T2),0)</f>
        <v/>
      </c>
      <c r="Y49" s="5">
        <f>IFERROR(ROUND(O49/Q49,2),0)</f>
        <v/>
      </c>
      <c r="Z49" s="5">
        <f>IFERROR(ROUND(O49/R49,2),0)</f>
        <v/>
      </c>
      <c r="AA49" s="2" t="inlineStr">
        <is>
          <t>2023-10-24</t>
        </is>
      </c>
      <c r="AB49" s="5">
        <f>ROUND(13.620000000000001,2)</f>
        <v/>
      </c>
      <c r="AC49" s="3">
        <f>ROUND(38233.0,2)</f>
        <v/>
      </c>
      <c r="AD49" s="3">
        <f>ROUND(401.0,2)</f>
        <v/>
      </c>
      <c r="AE49" s="3">
        <f>ROUND(0.0,2)</f>
        <v/>
      </c>
      <c r="AF49" s="3">
        <f>ROUND(0.0,2)</f>
        <v/>
      </c>
      <c r="AG49" s="3">
        <f>ROUND(0.0,2)</f>
        <v/>
      </c>
      <c r="AH49" s="3">
        <f>ROUND(0.0,2)</f>
        <v/>
      </c>
      <c r="AI49" s="3">
        <f>ROUND(0.0,2)</f>
        <v/>
      </c>
      <c r="AJ49" s="4">
        <f>IFERROR((AD49/AC49),0)</f>
        <v/>
      </c>
      <c r="AK49" s="4">
        <f>IFERROR(((0+AB11+AB12+AB13+AB14+AB15+AB16+AB17+AB19+AB20+AB21+AB22+AB23+AB24+AB25+AB27+AB28+AB29+AB30+AB31+AB32+AB33+AB35+AB36+AB37+AB38+AB39+AB40+AB41+AB43+AB44+AB45+AB46+AB47+AB48+AB49)/T2),0)</f>
        <v/>
      </c>
      <c r="AL49" s="5">
        <f>IFERROR(ROUND(AB49/AD49,2),0)</f>
        <v/>
      </c>
      <c r="AM49" s="5">
        <f>IFERROR(ROUND(AB49/AE49,2),0)</f>
        <v/>
      </c>
      <c r="AN49" s="2" t="inlineStr">
        <is>
          <t>2023-10-24</t>
        </is>
      </c>
      <c r="AO49" s="5">
        <f>ROUND(12.16,2)</f>
        <v/>
      </c>
      <c r="AP49" s="3">
        <f>ROUND(40207.0,2)</f>
        <v/>
      </c>
      <c r="AQ49" s="3">
        <f>ROUND(347.0,2)</f>
        <v/>
      </c>
      <c r="AR49" s="3">
        <f>ROUND(0.0,2)</f>
        <v/>
      </c>
      <c r="AS49" s="3">
        <f>ROUND(0.0,2)</f>
        <v/>
      </c>
      <c r="AT49" s="3">
        <f>ROUND(0.0,2)</f>
        <v/>
      </c>
      <c r="AU49" s="3">
        <f>ROUND(0.0,2)</f>
        <v/>
      </c>
      <c r="AV49" s="3">
        <f>ROUND(0.0,2)</f>
        <v/>
      </c>
      <c r="AW49" s="4">
        <f>IFERROR((AQ49/AP49),0)</f>
        <v/>
      </c>
      <c r="AX49" s="4">
        <f>IFERROR(((0+AO11+AO12+AO13+AO14+AO15+AO16+AO17+AO19+AO20+AO21+AO22+AO23+AO24+AO25+AO27+AO28+AO29+AO30+AO31+AO32+AO33+AO35+AO36+AO37+AO38+AO39+AO40+AO41+AO43+AO44+AO45+AO46+AO47+AO48+AO49)/T2),0)</f>
        <v/>
      </c>
      <c r="AY49" s="5">
        <f>IFERROR(ROUND(AO49/AQ49,2),0)</f>
        <v/>
      </c>
      <c r="AZ49" s="5">
        <f>IFERROR(ROUND(AO49/AR49,2),0)</f>
        <v/>
      </c>
      <c r="BA49" s="2" t="inlineStr">
        <is>
          <t>2023-10-24</t>
        </is>
      </c>
      <c r="BB49" s="5">
        <f>ROUND(18.93,2)</f>
        <v/>
      </c>
      <c r="BC49" s="3">
        <f>ROUND(55908.0,2)</f>
        <v/>
      </c>
      <c r="BD49" s="3">
        <f>ROUND(600.0,2)</f>
        <v/>
      </c>
      <c r="BE49" s="3">
        <f>ROUND(0.0,2)</f>
        <v/>
      </c>
      <c r="BF49" s="3">
        <f>ROUND(0.0,2)</f>
        <v/>
      </c>
      <c r="BG49" s="3">
        <f>ROUND(0.0,2)</f>
        <v/>
      </c>
      <c r="BH49" s="3">
        <f>ROUND(0.0,2)</f>
        <v/>
      </c>
      <c r="BI49" s="3">
        <f>ROUND(0.0,2)</f>
        <v/>
      </c>
      <c r="BJ49" s="4">
        <f>IFERROR((BD49/BC49),0)</f>
        <v/>
      </c>
      <c r="BK49" s="4">
        <f>IFERROR(((0+BB11+BB12+BB13+BB14+BB15+BB16+BB17+BB19+BB20+BB21+BB22+BB23+BB24+BB25+BB27+BB28+BB29+BB30+BB31+BB32+BB33+BB35+BB36+BB37+BB38+BB39+BB40+BB41+BB43+BB44+BB45+BB46+BB47+BB48+BB49)/T2),0)</f>
        <v/>
      </c>
      <c r="BL49" s="5">
        <f>IFERROR(ROUND(BB49/BD49,2),0)</f>
        <v/>
      </c>
      <c r="BM49" s="5">
        <f>IFERROR(ROUND(BB49/BE49,2),0)</f>
        <v/>
      </c>
      <c r="BN49" s="2" t="inlineStr">
        <is>
          <t>2023-10-24</t>
        </is>
      </c>
      <c r="BO49" s="5">
        <f>ROUND(10.57,2)</f>
        <v/>
      </c>
      <c r="BP49" s="3">
        <f>ROUND(31349.0,2)</f>
        <v/>
      </c>
      <c r="BQ49" s="3">
        <f>ROUND(333.0,2)</f>
        <v/>
      </c>
      <c r="BR49" s="3">
        <f>ROUND(0.0,2)</f>
        <v/>
      </c>
      <c r="BS49" s="3">
        <f>ROUND(0.0,2)</f>
        <v/>
      </c>
      <c r="BT49" s="3">
        <f>ROUND(0.0,2)</f>
        <v/>
      </c>
      <c r="BU49" s="3">
        <f>ROUND(0.0,2)</f>
        <v/>
      </c>
      <c r="BV49" s="3">
        <f>ROUND(0.0,2)</f>
        <v/>
      </c>
      <c r="BW49" s="4">
        <f>IFERROR((BQ49/BP49),0)</f>
        <v/>
      </c>
      <c r="BX49" s="4">
        <f>IFERROR(((0+BO11+BO12+BO13+BO14+BO15+BO16+BO17+BO19+BO20+BO21+BO22+BO23+BO24+BO25+BO27+BO28+BO29+BO30+BO31+BO32+BO33+BO35+BO36+BO37+BO38+BO39+BO40+BO41+BO43+BO44+BO45+BO46+BO47+BO48+BO49)/T2),0)</f>
        <v/>
      </c>
      <c r="BY49" s="5">
        <f>IFERROR(ROUND(BO49/BQ49,2),0)</f>
        <v/>
      </c>
      <c r="BZ49" s="5">
        <f>IFERROR(ROUND(BO49/BR49,2),0)</f>
        <v/>
      </c>
      <c r="CA49" s="2" t="inlineStr">
        <is>
          <t>2023-10-24</t>
        </is>
      </c>
      <c r="CB49" s="5">
        <f>ROUND(12.51,2)</f>
        <v/>
      </c>
      <c r="CC49" s="3">
        <f>ROUND(37875.0,2)</f>
        <v/>
      </c>
      <c r="CD49" s="3">
        <f>ROUND(350.0,2)</f>
        <v/>
      </c>
      <c r="CE49" s="3">
        <f>ROUND(0.0,2)</f>
        <v/>
      </c>
      <c r="CF49" s="3">
        <f>ROUND(0.0,2)</f>
        <v/>
      </c>
      <c r="CG49" s="3">
        <f>ROUND(0.0,2)</f>
        <v/>
      </c>
      <c r="CH49" s="3">
        <f>ROUND(0.0,2)</f>
        <v/>
      </c>
      <c r="CI49" s="3">
        <f>ROUND(0.0,2)</f>
        <v/>
      </c>
      <c r="CJ49" s="4">
        <f>IFERROR((CD49/CC49),0)</f>
        <v/>
      </c>
      <c r="CK49" s="4">
        <f>IFERROR(((0+CB11+CB12+CB13+CB14+CB15+CB16+CB17+CB19+CB20+CB21+CB22+CB23+CB24+CB25+CB27+CB28+CB29+CB30+CB31+CB32+CB33+CB35+CB36+CB37+CB38+CB39+CB40+CB41+CB43+CB44+CB45+CB46+CB47+CB48+CB49)/T2),0)</f>
        <v/>
      </c>
      <c r="CL49" s="5">
        <f>IFERROR(ROUND(CB49/CD49,2),0)</f>
        <v/>
      </c>
      <c r="CM49" s="5">
        <f>IFERROR(ROUND(CB49/CE49,2),0)</f>
        <v/>
      </c>
    </row>
    <row r="50">
      <c r="A50" s="2" t="inlineStr">
        <is>
          <t>5 Weekly Total</t>
        </is>
      </c>
      <c r="B50" s="5">
        <f>ROUND(179.88,2)</f>
        <v/>
      </c>
      <c r="C50" s="3">
        <f>ROUND(521180.0,2)</f>
        <v/>
      </c>
      <c r="D50" s="3">
        <f>ROUND(5572.0,2)</f>
        <v/>
      </c>
      <c r="E50" s="3">
        <f>ROUND(0.0,2)</f>
        <v/>
      </c>
      <c r="F50" s="3">
        <f>ROUND(0.0,2)</f>
        <v/>
      </c>
      <c r="G50" s="3">
        <f>ROUND(0.0,2)</f>
        <v/>
      </c>
      <c r="H50" s="3">
        <f>ROUND(0.0,2)</f>
        <v/>
      </c>
      <c r="I50" s="3">
        <f>ROUND(0.0,2)</f>
        <v/>
      </c>
      <c r="J50" s="4">
        <f>IFERROR((D50/C50),0)</f>
        <v/>
      </c>
      <c r="K50" s="4">
        <f>IFERROR(((0+B11+B12+B13+B14+B15+B16+B17+B19+B20+B21+B22+B23+B24+B25+B27+B28+B29+B30+B31+B32+B33+B35+B36+B37+B38+B39+B40+B41+B43+B44+B45+B46+B47+B48+B49)/T2),0)</f>
        <v/>
      </c>
      <c r="L50" s="5">
        <f>IFERROR(ROUND(B50/D50,2),0)</f>
        <v/>
      </c>
      <c r="M50" s="5">
        <f>IFERROR(ROUND(B50/E50,2),0)</f>
        <v/>
      </c>
      <c r="N50" s="2" t="inlineStr">
        <is>
          <t>5 Weekly Total</t>
        </is>
      </c>
      <c r="O50" s="5">
        <f>ROUND(50.27,2)</f>
        <v/>
      </c>
      <c r="P50" s="3">
        <f>ROUND(158899.0,2)</f>
        <v/>
      </c>
      <c r="Q50" s="3">
        <f>ROUND(1634.0,2)</f>
        <v/>
      </c>
      <c r="R50" s="3">
        <f>ROUND(0.0,2)</f>
        <v/>
      </c>
      <c r="S50" s="3">
        <f>ROUND(0.0,2)</f>
        <v/>
      </c>
      <c r="T50" s="3">
        <f>ROUND(0.0,2)</f>
        <v/>
      </c>
      <c r="U50" s="3">
        <f>ROUND(0.0,2)</f>
        <v/>
      </c>
      <c r="V50" s="3">
        <f>ROUND(0.0,2)</f>
        <v/>
      </c>
      <c r="W50" s="4">
        <f>IFERROR((Q50/P50),0)</f>
        <v/>
      </c>
      <c r="X50" s="4">
        <f>IFERROR(((0+O11+O12+O13+O14+O15+O16+O17+O19+O20+O21+O22+O23+O24+O25+O27+O28+O29+O30+O31+O32+O33+O35+O36+O37+O38+O39+O40+O41+O43+O44+O45+O46+O47+O48+O49)/T2),0)</f>
        <v/>
      </c>
      <c r="Y50" s="5">
        <f>IFERROR(ROUND(O50/Q50,2),0)</f>
        <v/>
      </c>
      <c r="Z50" s="5">
        <f>IFERROR(ROUND(O50/R50,2),0)</f>
        <v/>
      </c>
      <c r="AA50" s="2" t="inlineStr">
        <is>
          <t>5 Weekly Total</t>
        </is>
      </c>
      <c r="AB50" s="5">
        <f>ROUND(25.38,2)</f>
        <v/>
      </c>
      <c r="AC50" s="3">
        <f>ROUND(63977.0,2)</f>
        <v/>
      </c>
      <c r="AD50" s="3">
        <f>ROUND(759.0,2)</f>
        <v/>
      </c>
      <c r="AE50" s="3">
        <f>ROUND(0.0,2)</f>
        <v/>
      </c>
      <c r="AF50" s="3">
        <f>ROUND(0.0,2)</f>
        <v/>
      </c>
      <c r="AG50" s="3">
        <f>ROUND(0.0,2)</f>
        <v/>
      </c>
      <c r="AH50" s="3">
        <f>ROUND(0.0,2)</f>
        <v/>
      </c>
      <c r="AI50" s="3">
        <f>ROUND(0.0,2)</f>
        <v/>
      </c>
      <c r="AJ50" s="4">
        <f>IFERROR((AD50/AC50),0)</f>
        <v/>
      </c>
      <c r="AK50" s="4">
        <f>IFERROR(((0+AB11+AB12+AB13+AB14+AB15+AB16+AB17+AB19+AB20+AB21+AB22+AB23+AB24+AB25+AB27+AB28+AB29+AB30+AB31+AB32+AB33+AB35+AB36+AB37+AB38+AB39+AB40+AB41+AB43+AB44+AB45+AB46+AB47+AB48+AB49)/T2),0)</f>
        <v/>
      </c>
      <c r="AL50" s="5">
        <f>IFERROR(ROUND(AB50/AD50,2),0)</f>
        <v/>
      </c>
      <c r="AM50" s="5">
        <f>IFERROR(ROUND(AB50/AE50,2),0)</f>
        <v/>
      </c>
      <c r="AN50" s="2" t="inlineStr">
        <is>
          <t>5 Weekly Total</t>
        </is>
      </c>
      <c r="AO50" s="5">
        <f>ROUND(23.42,2)</f>
        <v/>
      </c>
      <c r="AP50" s="3">
        <f>ROUND(74542.0,2)</f>
        <v/>
      </c>
      <c r="AQ50" s="3">
        <f>ROUND(679.0,2)</f>
        <v/>
      </c>
      <c r="AR50" s="3">
        <f>ROUND(0.0,2)</f>
        <v/>
      </c>
      <c r="AS50" s="3">
        <f>ROUND(0.0,2)</f>
        <v/>
      </c>
      <c r="AT50" s="3">
        <f>ROUND(0.0,2)</f>
        <v/>
      </c>
      <c r="AU50" s="3">
        <f>ROUND(0.0,2)</f>
        <v/>
      </c>
      <c r="AV50" s="3">
        <f>ROUND(0.0,2)</f>
        <v/>
      </c>
      <c r="AW50" s="4">
        <f>IFERROR((AQ50/AP50),0)</f>
        <v/>
      </c>
      <c r="AX50" s="4">
        <f>IFERROR(((0+AO11+AO12+AO13+AO14+AO15+AO16+AO17+AO19+AO20+AO21+AO22+AO23+AO24+AO25+AO27+AO28+AO29+AO30+AO31+AO32+AO33+AO35+AO36+AO37+AO38+AO39+AO40+AO41+AO43+AO44+AO45+AO46+AO47+AO48+AO49)/T2),0)</f>
        <v/>
      </c>
      <c r="AY50" s="5">
        <f>IFERROR(ROUND(AO50/AQ50,2),0)</f>
        <v/>
      </c>
      <c r="AZ50" s="5">
        <f>IFERROR(ROUND(AO50/AR50,2),0)</f>
        <v/>
      </c>
      <c r="BA50" s="2" t="inlineStr">
        <is>
          <t>5 Weekly Total</t>
        </is>
      </c>
      <c r="BB50" s="5">
        <f>ROUND(35.87,2)</f>
        <v/>
      </c>
      <c r="BC50" s="3">
        <f>ROUND(95686.0,2)</f>
        <v/>
      </c>
      <c r="BD50" s="3">
        <f>ROUND(1106.0,2)</f>
        <v/>
      </c>
      <c r="BE50" s="3">
        <f>ROUND(0.0,2)</f>
        <v/>
      </c>
      <c r="BF50" s="3">
        <f>ROUND(0.0,2)</f>
        <v/>
      </c>
      <c r="BG50" s="3">
        <f>ROUND(0.0,2)</f>
        <v/>
      </c>
      <c r="BH50" s="3">
        <f>ROUND(0.0,2)</f>
        <v/>
      </c>
      <c r="BI50" s="3">
        <f>ROUND(0.0,2)</f>
        <v/>
      </c>
      <c r="BJ50" s="4">
        <f>IFERROR((BD50/BC50),0)</f>
        <v/>
      </c>
      <c r="BK50" s="4">
        <f>IFERROR(((0+BB11+BB12+BB13+BB14+BB15+BB16+BB17+BB19+BB20+BB21+BB22+BB23+BB24+BB25+BB27+BB28+BB29+BB30+BB31+BB32+BB33+BB35+BB36+BB37+BB38+BB39+BB40+BB41+BB43+BB44+BB45+BB46+BB47+BB48+BB49)/T2),0)</f>
        <v/>
      </c>
      <c r="BL50" s="5">
        <f>IFERROR(ROUND(BB50/BD50,2),0)</f>
        <v/>
      </c>
      <c r="BM50" s="5">
        <f>IFERROR(ROUND(BB50/BE50,2),0)</f>
        <v/>
      </c>
      <c r="BN50" s="2" t="inlineStr">
        <is>
          <t>5 Weekly Total</t>
        </is>
      </c>
      <c r="BO50" s="5">
        <f>ROUND(14.7,2)</f>
        <v/>
      </c>
      <c r="BP50" s="3">
        <f>ROUND(41866.0,2)</f>
        <v/>
      </c>
      <c r="BQ50" s="3">
        <f>ROUND(441.0,2)</f>
        <v/>
      </c>
      <c r="BR50" s="3">
        <f>ROUND(0.0,2)</f>
        <v/>
      </c>
      <c r="BS50" s="3">
        <f>ROUND(0.0,2)</f>
        <v/>
      </c>
      <c r="BT50" s="3">
        <f>ROUND(0.0,2)</f>
        <v/>
      </c>
      <c r="BU50" s="3">
        <f>ROUND(0.0,2)</f>
        <v/>
      </c>
      <c r="BV50" s="3">
        <f>ROUND(0.0,2)</f>
        <v/>
      </c>
      <c r="BW50" s="4">
        <f>IFERROR((BQ50/BP50),0)</f>
        <v/>
      </c>
      <c r="BX50" s="4">
        <f>IFERROR(((0+BO11+BO12+BO13+BO14+BO15+BO16+BO17+BO19+BO20+BO21+BO22+BO23+BO24+BO25+BO27+BO28+BO29+BO30+BO31+BO32+BO33+BO35+BO36+BO37+BO38+BO39+BO40+BO41+BO43+BO44+BO45+BO46+BO47+BO48+BO49)/T2),0)</f>
        <v/>
      </c>
      <c r="BY50" s="5">
        <f>IFERROR(ROUND(BO50/BQ50,2),0)</f>
        <v/>
      </c>
      <c r="BZ50" s="5">
        <f>IFERROR(ROUND(BO50/BR50,2),0)</f>
        <v/>
      </c>
      <c r="CA50" s="2" t="inlineStr">
        <is>
          <t>5 Weekly Total</t>
        </is>
      </c>
      <c r="CB50" s="5">
        <f>ROUND(30.24,2)</f>
        <v/>
      </c>
      <c r="CC50" s="3">
        <f>ROUND(86210.0,2)</f>
        <v/>
      </c>
      <c r="CD50" s="3">
        <f>ROUND(953.0,2)</f>
        <v/>
      </c>
      <c r="CE50" s="3">
        <f>ROUND(0.0,2)</f>
        <v/>
      </c>
      <c r="CF50" s="3">
        <f>ROUND(0.0,2)</f>
        <v/>
      </c>
      <c r="CG50" s="3">
        <f>ROUND(0.0,2)</f>
        <v/>
      </c>
      <c r="CH50" s="3">
        <f>ROUND(0.0,2)</f>
        <v/>
      </c>
      <c r="CI50" s="3">
        <f>ROUND(0.0,2)</f>
        <v/>
      </c>
      <c r="CJ50" s="4">
        <f>IFERROR((CD50/CC50),0)</f>
        <v/>
      </c>
      <c r="CK50" s="4">
        <f>IFERROR(((0+CB11+CB12+CB13+CB14+CB15+CB16+CB17+CB19+CB20+CB21+CB22+CB23+CB24+CB25+CB27+CB28+CB29+CB30+CB31+CB32+CB33+CB35+CB36+CB37+CB38+CB39+CB40+CB41+CB43+CB44+CB45+CB46+CB47+CB48+CB49)/T2),0)</f>
        <v/>
      </c>
      <c r="CL50" s="5">
        <f>IFERROR(ROUND(CB50/CD50,2),0)</f>
        <v/>
      </c>
      <c r="CM50" s="5">
        <f>IFERROR(ROUND(CB50/CE50,2),0)</f>
        <v/>
      </c>
    </row>
    <row r="51">
      <c r="A51" s="2" t="inlineStr">
        <is>
          <t>2023-10-25</t>
        </is>
      </c>
      <c r="B51" s="5">
        <f>ROUND(101.26,2)</f>
        <v/>
      </c>
      <c r="C51" s="3">
        <f>ROUND(281971.0,2)</f>
        <v/>
      </c>
      <c r="D51" s="3">
        <f>ROUND(3198.0,2)</f>
        <v/>
      </c>
      <c r="E51" s="3">
        <f>ROUND(0.0,2)</f>
        <v/>
      </c>
      <c r="F51" s="3">
        <f>ROUND(0.0,2)</f>
        <v/>
      </c>
      <c r="G51" s="3">
        <f>ROUND(0.0,2)</f>
        <v/>
      </c>
      <c r="H51" s="3">
        <f>ROUND(0.0,2)</f>
        <v/>
      </c>
      <c r="I51" s="3">
        <f>ROUND(0.0,2)</f>
        <v/>
      </c>
      <c r="J51" s="4">
        <f>IFERROR((D51/C51),0)</f>
        <v/>
      </c>
      <c r="K51" s="4">
        <f>IFERROR(((0+B11+B12+B13+B14+B15+B16+B17+B19+B20+B21+B22+B23+B24+B25+B27+B28+B29+B30+B31+B32+B33+B35+B36+B37+B38+B39+B40+B41+B43+B44+B45+B46+B47+B48+B49+B51)/T2),0)</f>
        <v/>
      </c>
      <c r="L51" s="5">
        <f>IFERROR(ROUND(B51/D51,2),0)</f>
        <v/>
      </c>
      <c r="M51" s="5">
        <f>IFERROR(ROUND(B51/E51,2),0)</f>
        <v/>
      </c>
      <c r="N51" s="2" t="inlineStr">
        <is>
          <t>2023-10-25</t>
        </is>
      </c>
      <c r="O51" s="5">
        <f>ROUND(38.44,2)</f>
        <v/>
      </c>
      <c r="P51" s="3">
        <f>ROUND(109242.0,2)</f>
        <v/>
      </c>
      <c r="Q51" s="3">
        <f>ROUND(1247.0,2)</f>
        <v/>
      </c>
      <c r="R51" s="3">
        <f>ROUND(0.0,2)</f>
        <v/>
      </c>
      <c r="S51" s="3">
        <f>ROUND(0.0,2)</f>
        <v/>
      </c>
      <c r="T51" s="3">
        <f>ROUND(0.0,2)</f>
        <v/>
      </c>
      <c r="U51" s="3">
        <f>ROUND(0.0,2)</f>
        <v/>
      </c>
      <c r="V51" s="3">
        <f>ROUND(0.0,2)</f>
        <v/>
      </c>
      <c r="W51" s="4">
        <f>IFERROR((Q51/P51),0)</f>
        <v/>
      </c>
      <c r="X51" s="4">
        <f>IFERROR(((0+O11+O12+O13+O14+O15+O16+O17+O19+O20+O21+O22+O23+O24+O25+O27+O28+O29+O30+O31+O32+O33+O35+O36+O37+O38+O39+O40+O41+O43+O44+O45+O46+O47+O48+O49+O51)/T2),0)</f>
        <v/>
      </c>
      <c r="Y51" s="5">
        <f>IFERROR(ROUND(O51/Q51,2),0)</f>
        <v/>
      </c>
      <c r="Z51" s="5">
        <f>IFERROR(ROUND(O51/R51,2),0)</f>
        <v/>
      </c>
      <c r="AA51" s="2" t="inlineStr">
        <is>
          <t>2023-10-25</t>
        </is>
      </c>
      <c r="AB51" s="5">
        <f>ROUND(11.86,2)</f>
        <v/>
      </c>
      <c r="AC51" s="3">
        <f>ROUND(30884.0,2)</f>
        <v/>
      </c>
      <c r="AD51" s="3">
        <f>ROUND(370.0,2)</f>
        <v/>
      </c>
      <c r="AE51" s="3">
        <f>ROUND(0.0,2)</f>
        <v/>
      </c>
      <c r="AF51" s="3">
        <f>ROUND(0.0,2)</f>
        <v/>
      </c>
      <c r="AG51" s="3">
        <f>ROUND(0.0,2)</f>
        <v/>
      </c>
      <c r="AH51" s="3">
        <f>ROUND(0.0,2)</f>
        <v/>
      </c>
      <c r="AI51" s="3">
        <f>ROUND(0.0,2)</f>
        <v/>
      </c>
      <c r="AJ51" s="4">
        <f>IFERROR((AD51/AC51),0)</f>
        <v/>
      </c>
      <c r="AK51" s="4">
        <f>IFERROR(((0+AB11+AB12+AB13+AB14+AB15+AB16+AB17+AB19+AB20+AB21+AB22+AB23+AB24+AB25+AB27+AB28+AB29+AB30+AB31+AB32+AB33+AB35+AB36+AB37+AB38+AB39+AB40+AB41+AB43+AB44+AB45+AB46+AB47+AB48+AB49+AB51)/T2),0)</f>
        <v/>
      </c>
      <c r="AL51" s="5">
        <f>IFERROR(ROUND(AB51/AD51,2),0)</f>
        <v/>
      </c>
      <c r="AM51" s="5">
        <f>IFERROR(ROUND(AB51/AE51,2),0)</f>
        <v/>
      </c>
      <c r="AN51" s="2" t="inlineStr">
        <is>
          <t>2023-10-25</t>
        </is>
      </c>
      <c r="AO51" s="5">
        <f>ROUND(13.51,2)</f>
        <v/>
      </c>
      <c r="AP51" s="3">
        <f>ROUND(38822.0,2)</f>
        <v/>
      </c>
      <c r="AQ51" s="3">
        <f>ROUND(404.0,2)</f>
        <v/>
      </c>
      <c r="AR51" s="3">
        <f>ROUND(0.0,2)</f>
        <v/>
      </c>
      <c r="AS51" s="3">
        <f>ROUND(0.0,2)</f>
        <v/>
      </c>
      <c r="AT51" s="3">
        <f>ROUND(0.0,2)</f>
        <v/>
      </c>
      <c r="AU51" s="3">
        <f>ROUND(0.0,2)</f>
        <v/>
      </c>
      <c r="AV51" s="3">
        <f>ROUND(0.0,2)</f>
        <v/>
      </c>
      <c r="AW51" s="4">
        <f>IFERROR((AQ51/AP51),0)</f>
        <v/>
      </c>
      <c r="AX51" s="4">
        <f>IFERROR(((0+AO11+AO12+AO13+AO14+AO15+AO16+AO17+AO19+AO20+AO21+AO22+AO23+AO24+AO25+AO27+AO28+AO29+AO30+AO31+AO32+AO33+AO35+AO36+AO37+AO38+AO39+AO40+AO41+AO43+AO44+AO45+AO46+AO47+AO48+AO49+AO51)/T2),0)</f>
        <v/>
      </c>
      <c r="AY51" s="5">
        <f>IFERROR(ROUND(AO51/AQ51,2),0)</f>
        <v/>
      </c>
      <c r="AZ51" s="5">
        <f>IFERROR(ROUND(AO51/AR51,2),0)</f>
        <v/>
      </c>
      <c r="BA51" s="2" t="inlineStr">
        <is>
          <t>2023-10-25</t>
        </is>
      </c>
      <c r="BB51" s="5">
        <f>ROUND(15.5,2)</f>
        <v/>
      </c>
      <c r="BC51" s="3">
        <f>ROUND(44952.0,2)</f>
        <v/>
      </c>
      <c r="BD51" s="3">
        <f>ROUND(518.0,2)</f>
        <v/>
      </c>
      <c r="BE51" s="3">
        <f>ROUND(0.0,2)</f>
        <v/>
      </c>
      <c r="BF51" s="3">
        <f>ROUND(0.0,2)</f>
        <v/>
      </c>
      <c r="BG51" s="3">
        <f>ROUND(0.0,2)</f>
        <v/>
      </c>
      <c r="BH51" s="3">
        <f>ROUND(0.0,2)</f>
        <v/>
      </c>
      <c r="BI51" s="3">
        <f>ROUND(0.0,2)</f>
        <v/>
      </c>
      <c r="BJ51" s="4">
        <f>IFERROR((BD51/BC51),0)</f>
        <v/>
      </c>
      <c r="BK51" s="4">
        <f>IFERROR(((0+BB11+BB12+BB13+BB14+BB15+BB16+BB17+BB19+BB20+BB21+BB22+BB23+BB24+BB25+BB27+BB28+BB29+BB30+BB31+BB32+BB33+BB35+BB36+BB37+BB38+BB39+BB40+BB41+BB43+BB44+BB45+BB46+BB47+BB48+BB49+BB51)/T2),0)</f>
        <v/>
      </c>
      <c r="BL51" s="5">
        <f>IFERROR(ROUND(BB51/BD51,2),0)</f>
        <v/>
      </c>
      <c r="BM51" s="5">
        <f>IFERROR(ROUND(BB51/BE51,2),0)</f>
        <v/>
      </c>
      <c r="BN51" s="2" t="inlineStr">
        <is>
          <t>2023-10-25</t>
        </is>
      </c>
      <c r="BO51" s="5">
        <f>ROUND(14.15,2)</f>
        <v/>
      </c>
      <c r="BP51" s="3">
        <f>ROUND(36862.0,2)</f>
        <v/>
      </c>
      <c r="BQ51" s="3">
        <f>ROUND(443.0,2)</f>
        <v/>
      </c>
      <c r="BR51" s="3">
        <f>ROUND(0.0,2)</f>
        <v/>
      </c>
      <c r="BS51" s="3">
        <f>ROUND(0.0,2)</f>
        <v/>
      </c>
      <c r="BT51" s="3">
        <f>ROUND(0.0,2)</f>
        <v/>
      </c>
      <c r="BU51" s="3">
        <f>ROUND(0.0,2)</f>
        <v/>
      </c>
      <c r="BV51" s="3">
        <f>ROUND(0.0,2)</f>
        <v/>
      </c>
      <c r="BW51" s="4">
        <f>IFERROR((BQ51/BP51),0)</f>
        <v/>
      </c>
      <c r="BX51" s="4">
        <f>IFERROR(((0+BO11+BO12+BO13+BO14+BO15+BO16+BO17+BO19+BO20+BO21+BO22+BO23+BO24+BO25+BO27+BO28+BO29+BO30+BO31+BO32+BO33+BO35+BO36+BO37+BO38+BO39+BO40+BO41+BO43+BO44+BO45+BO46+BO47+BO48+BO49+BO51)/T2),0)</f>
        <v/>
      </c>
      <c r="BY51" s="5">
        <f>IFERROR(ROUND(BO51/BQ51,2),0)</f>
        <v/>
      </c>
      <c r="BZ51" s="5">
        <f>IFERROR(ROUND(BO51/BR51,2),0)</f>
        <v/>
      </c>
      <c r="CA51" s="2" t="inlineStr">
        <is>
          <t>2023-10-25</t>
        </is>
      </c>
      <c r="CB51" s="5">
        <f>ROUND(7.8,2)</f>
        <v/>
      </c>
      <c r="CC51" s="3">
        <f>ROUND(21209.0,2)</f>
        <v/>
      </c>
      <c r="CD51" s="3">
        <f>ROUND(216.0,2)</f>
        <v/>
      </c>
      <c r="CE51" s="3">
        <f>ROUND(0.0,2)</f>
        <v/>
      </c>
      <c r="CF51" s="3">
        <f>ROUND(0.0,2)</f>
        <v/>
      </c>
      <c r="CG51" s="3">
        <f>ROUND(0.0,2)</f>
        <v/>
      </c>
      <c r="CH51" s="3">
        <f>ROUND(0.0,2)</f>
        <v/>
      </c>
      <c r="CI51" s="3">
        <f>ROUND(0.0,2)</f>
        <v/>
      </c>
      <c r="CJ51" s="4">
        <f>IFERROR((CD51/CC51),0)</f>
        <v/>
      </c>
      <c r="CK51" s="4">
        <f>IFERROR(((0+CB11+CB12+CB13+CB14+CB15+CB16+CB17+CB19+CB20+CB21+CB22+CB23+CB24+CB25+CB27+CB28+CB29+CB30+CB31+CB32+CB33+CB35+CB36+CB37+CB38+CB39+CB40+CB41+CB43+CB44+CB45+CB46+CB47+CB48+CB49+CB51)/T2),0)</f>
        <v/>
      </c>
      <c r="CL51" s="5">
        <f>IFERROR(ROUND(CB51/CD51,2),0)</f>
        <v/>
      </c>
      <c r="CM51" s="5">
        <f>IFERROR(ROUND(CB51/CE51,2),0)</f>
        <v/>
      </c>
    </row>
    <row r="52">
      <c r="A52" s="2" t="inlineStr">
        <is>
          <t>2023-10-26</t>
        </is>
      </c>
      <c r="B52" s="5">
        <f>ROUND(95.96,2)</f>
        <v/>
      </c>
      <c r="C52" s="3">
        <f>ROUND(256783.0,2)</f>
        <v/>
      </c>
      <c r="D52" s="3">
        <f>ROUND(3033.0,2)</f>
        <v/>
      </c>
      <c r="E52" s="3">
        <f>ROUND(0.0,2)</f>
        <v/>
      </c>
      <c r="F52" s="3">
        <f>ROUND(0.0,2)</f>
        <v/>
      </c>
      <c r="G52" s="3">
        <f>ROUND(0.0,2)</f>
        <v/>
      </c>
      <c r="H52" s="3">
        <f>ROUND(0.0,2)</f>
        <v/>
      </c>
      <c r="I52" s="3">
        <f>ROUND(0.0,2)</f>
        <v/>
      </c>
      <c r="J52" s="4">
        <f>IFERROR((D52/C52),0)</f>
        <v/>
      </c>
      <c r="K52" s="4">
        <f>IFERROR(((0+B11+B12+B13+B14+B15+B16+B17+B19+B20+B21+B22+B23+B24+B25+B27+B28+B29+B30+B31+B32+B33+B35+B36+B37+B38+B39+B40+B41+B43+B44+B45+B46+B47+B48+B49+B51+B52)/T2),0)</f>
        <v/>
      </c>
      <c r="L52" s="5">
        <f>IFERROR(ROUND(B52/D52,2),0)</f>
        <v/>
      </c>
      <c r="M52" s="5">
        <f>IFERROR(ROUND(B52/E52,2),0)</f>
        <v/>
      </c>
      <c r="N52" s="2" t="inlineStr">
        <is>
          <t>2023-10-26</t>
        </is>
      </c>
      <c r="O52" s="5">
        <f>ROUND(22.009999999999998,2)</f>
        <v/>
      </c>
      <c r="P52" s="3">
        <f>ROUND(68014.0,2)</f>
        <v/>
      </c>
      <c r="Q52" s="3">
        <f>ROUND(748.0,2)</f>
        <v/>
      </c>
      <c r="R52" s="3">
        <f>ROUND(0.0,2)</f>
        <v/>
      </c>
      <c r="S52" s="3">
        <f>ROUND(0.0,2)</f>
        <v/>
      </c>
      <c r="T52" s="3">
        <f>ROUND(0.0,2)</f>
        <v/>
      </c>
      <c r="U52" s="3">
        <f>ROUND(0.0,2)</f>
        <v/>
      </c>
      <c r="V52" s="3">
        <f>ROUND(0.0,2)</f>
        <v/>
      </c>
      <c r="W52" s="4">
        <f>IFERROR((Q52/P52),0)</f>
        <v/>
      </c>
      <c r="X52" s="4">
        <f>IFERROR(((0+O11+O12+O13+O14+O15+O16+O17+O19+O20+O21+O22+O23+O24+O25+O27+O28+O29+O30+O31+O32+O33+O35+O36+O37+O38+O39+O40+O41+O43+O44+O45+O46+O47+O48+O49+O51+O52)/T2),0)</f>
        <v/>
      </c>
      <c r="Y52" s="5">
        <f>IFERROR(ROUND(O52/Q52,2),0)</f>
        <v/>
      </c>
      <c r="Z52" s="5">
        <f>IFERROR(ROUND(O52/R52,2),0)</f>
        <v/>
      </c>
      <c r="AA52" s="2" t="inlineStr">
        <is>
          <t>2023-10-26</t>
        </is>
      </c>
      <c r="AB52" s="5">
        <f>ROUND(20.57,2)</f>
        <v/>
      </c>
      <c r="AC52" s="3">
        <f>ROUND(50552.0,2)</f>
        <v/>
      </c>
      <c r="AD52" s="3">
        <f>ROUND(642.0,2)</f>
        <v/>
      </c>
      <c r="AE52" s="3">
        <f>ROUND(0.0,2)</f>
        <v/>
      </c>
      <c r="AF52" s="3">
        <f>ROUND(0.0,2)</f>
        <v/>
      </c>
      <c r="AG52" s="3">
        <f>ROUND(0.0,2)</f>
        <v/>
      </c>
      <c r="AH52" s="3">
        <f>ROUND(0.0,2)</f>
        <v/>
      </c>
      <c r="AI52" s="3">
        <f>ROUND(0.0,2)</f>
        <v/>
      </c>
      <c r="AJ52" s="4">
        <f>IFERROR((AD52/AC52),0)</f>
        <v/>
      </c>
      <c r="AK52" s="4">
        <f>IFERROR(((0+AB11+AB12+AB13+AB14+AB15+AB16+AB17+AB19+AB20+AB21+AB22+AB23+AB24+AB25+AB27+AB28+AB29+AB30+AB31+AB32+AB33+AB35+AB36+AB37+AB38+AB39+AB40+AB41+AB43+AB44+AB45+AB46+AB47+AB48+AB49+AB51+AB52)/T2),0)</f>
        <v/>
      </c>
      <c r="AL52" s="5">
        <f>IFERROR(ROUND(AB52/AD52,2),0)</f>
        <v/>
      </c>
      <c r="AM52" s="5">
        <f>IFERROR(ROUND(AB52/AE52,2),0)</f>
        <v/>
      </c>
      <c r="AN52" s="2" t="inlineStr">
        <is>
          <t>2023-10-26</t>
        </is>
      </c>
      <c r="AO52" s="5">
        <f>ROUND(10.41,2)</f>
        <v/>
      </c>
      <c r="AP52" s="3">
        <f>ROUND(33691.0,2)</f>
        <v/>
      </c>
      <c r="AQ52" s="3">
        <f>ROUND(316.0,2)</f>
        <v/>
      </c>
      <c r="AR52" s="3">
        <f>ROUND(0.0,2)</f>
        <v/>
      </c>
      <c r="AS52" s="3">
        <f>ROUND(0.0,2)</f>
        <v/>
      </c>
      <c r="AT52" s="3">
        <f>ROUND(0.0,2)</f>
        <v/>
      </c>
      <c r="AU52" s="3">
        <f>ROUND(0.0,2)</f>
        <v/>
      </c>
      <c r="AV52" s="3">
        <f>ROUND(0.0,2)</f>
        <v/>
      </c>
      <c r="AW52" s="4">
        <f>IFERROR((AQ52/AP52),0)</f>
        <v/>
      </c>
      <c r="AX52" s="4">
        <f>IFERROR(((0+AO11+AO12+AO13+AO14+AO15+AO16+AO17+AO19+AO20+AO21+AO22+AO23+AO24+AO25+AO27+AO28+AO29+AO30+AO31+AO32+AO33+AO35+AO36+AO37+AO38+AO39+AO40+AO41+AO43+AO44+AO45+AO46+AO47+AO48+AO49+AO51+AO52)/T2),0)</f>
        <v/>
      </c>
      <c r="AY52" s="5">
        <f>IFERROR(ROUND(AO52/AQ52,2),0)</f>
        <v/>
      </c>
      <c r="AZ52" s="5">
        <f>IFERROR(ROUND(AO52/AR52,2),0)</f>
        <v/>
      </c>
      <c r="BA52" s="2" t="inlineStr">
        <is>
          <t>2023-10-26</t>
        </is>
      </c>
      <c r="BB52" s="5">
        <f>ROUND(15.09,2)</f>
        <v/>
      </c>
      <c r="BC52" s="3">
        <f>ROUND(45119.0,2)</f>
        <v/>
      </c>
      <c r="BD52" s="3">
        <f>ROUND(500.0,2)</f>
        <v/>
      </c>
      <c r="BE52" s="3">
        <f>ROUND(0.0,2)</f>
        <v/>
      </c>
      <c r="BF52" s="3">
        <f>ROUND(0.0,2)</f>
        <v/>
      </c>
      <c r="BG52" s="3">
        <f>ROUND(0.0,2)</f>
        <v/>
      </c>
      <c r="BH52" s="3">
        <f>ROUND(0.0,2)</f>
        <v/>
      </c>
      <c r="BI52" s="3">
        <f>ROUND(0.0,2)</f>
        <v/>
      </c>
      <c r="BJ52" s="4">
        <f>IFERROR((BD52/BC52),0)</f>
        <v/>
      </c>
      <c r="BK52" s="4">
        <f>IFERROR(((0+BB11+BB12+BB13+BB14+BB15+BB16+BB17+BB19+BB20+BB21+BB22+BB23+BB24+BB25+BB27+BB28+BB29+BB30+BB31+BB32+BB33+BB35+BB36+BB37+BB38+BB39+BB40+BB41+BB43+BB44+BB45+BB46+BB47+BB48+BB49+BB51+BB52)/T2),0)</f>
        <v/>
      </c>
      <c r="BL52" s="5">
        <f>IFERROR(ROUND(BB52/BD52,2),0)</f>
        <v/>
      </c>
      <c r="BM52" s="5">
        <f>IFERROR(ROUND(BB52/BE52,2),0)</f>
        <v/>
      </c>
      <c r="BN52" s="2" t="inlineStr">
        <is>
          <t>2023-10-26</t>
        </is>
      </c>
      <c r="BO52" s="5">
        <f>ROUND(21.07,2)</f>
        <v/>
      </c>
      <c r="BP52" s="3">
        <f>ROUND(43760.0,2)</f>
        <v/>
      </c>
      <c r="BQ52" s="3">
        <f>ROUND(671.0,2)</f>
        <v/>
      </c>
      <c r="BR52" s="3">
        <f>ROUND(0.0,2)</f>
        <v/>
      </c>
      <c r="BS52" s="3">
        <f>ROUND(0.0,2)</f>
        <v/>
      </c>
      <c r="BT52" s="3">
        <f>ROUND(0.0,2)</f>
        <v/>
      </c>
      <c r="BU52" s="3">
        <f>ROUND(0.0,2)</f>
        <v/>
      </c>
      <c r="BV52" s="3">
        <f>ROUND(0.0,2)</f>
        <v/>
      </c>
      <c r="BW52" s="4">
        <f>IFERROR((BQ52/BP52),0)</f>
        <v/>
      </c>
      <c r="BX52" s="4">
        <f>IFERROR(((0+BO11+BO12+BO13+BO14+BO15+BO16+BO17+BO19+BO20+BO21+BO22+BO23+BO24+BO25+BO27+BO28+BO29+BO30+BO31+BO32+BO33+BO35+BO36+BO37+BO38+BO39+BO40+BO41+BO43+BO44+BO45+BO46+BO47+BO48+BO49+BO51+BO52)/T2),0)</f>
        <v/>
      </c>
      <c r="BY52" s="5">
        <f>IFERROR(ROUND(BO52/BQ52,2),0)</f>
        <v/>
      </c>
      <c r="BZ52" s="5">
        <f>IFERROR(ROUND(BO52/BR52,2),0)</f>
        <v/>
      </c>
      <c r="CA52" s="2" t="inlineStr">
        <is>
          <t>2023-10-26</t>
        </is>
      </c>
      <c r="CB52" s="5">
        <f>ROUND(6.81,2)</f>
        <v/>
      </c>
      <c r="CC52" s="3">
        <f>ROUND(15647.0,2)</f>
        <v/>
      </c>
      <c r="CD52" s="3">
        <f>ROUND(156.0,2)</f>
        <v/>
      </c>
      <c r="CE52" s="3">
        <f>ROUND(0.0,2)</f>
        <v/>
      </c>
      <c r="CF52" s="3">
        <f>ROUND(0.0,2)</f>
        <v/>
      </c>
      <c r="CG52" s="3">
        <f>ROUND(0.0,2)</f>
        <v/>
      </c>
      <c r="CH52" s="3">
        <f>ROUND(0.0,2)</f>
        <v/>
      </c>
      <c r="CI52" s="3">
        <f>ROUND(0.0,2)</f>
        <v/>
      </c>
      <c r="CJ52" s="4">
        <f>IFERROR((CD52/CC52),0)</f>
        <v/>
      </c>
      <c r="CK52" s="4">
        <f>IFERROR(((0+CB11+CB12+CB13+CB14+CB15+CB16+CB17+CB19+CB20+CB21+CB22+CB23+CB24+CB25+CB27+CB28+CB29+CB30+CB31+CB32+CB33+CB35+CB36+CB37+CB38+CB39+CB40+CB41+CB43+CB44+CB45+CB46+CB47+CB48+CB49+CB51+CB52)/T2),0)</f>
        <v/>
      </c>
      <c r="CL52" s="5">
        <f>IFERROR(ROUND(CB52/CD52,2),0)</f>
        <v/>
      </c>
      <c r="CM52" s="5">
        <f>IFERROR(ROUND(CB52/CE52,2),0)</f>
        <v/>
      </c>
    </row>
    <row r="53">
      <c r="A53" s="2" t="inlineStr">
        <is>
          <t>2023-10-27</t>
        </is>
      </c>
      <c r="B53" s="5">
        <f>ROUND(96.06,2)</f>
        <v/>
      </c>
      <c r="C53" s="3">
        <f>ROUND(254903.0,2)</f>
        <v/>
      </c>
      <c r="D53" s="3">
        <f>ROUND(3029.0,2)</f>
        <v/>
      </c>
      <c r="E53" s="3">
        <f>ROUND(0.0,2)</f>
        <v/>
      </c>
      <c r="F53" s="3">
        <f>ROUND(0.0,2)</f>
        <v/>
      </c>
      <c r="G53" s="3">
        <f>ROUND(0.0,2)</f>
        <v/>
      </c>
      <c r="H53" s="3">
        <f>ROUND(0.0,2)</f>
        <v/>
      </c>
      <c r="I53" s="3">
        <f>ROUND(0.0,2)</f>
        <v/>
      </c>
      <c r="J53" s="4">
        <f>IFERROR((D53/C53),0)</f>
        <v/>
      </c>
      <c r="K53" s="4">
        <f>IFERROR(((0+B11+B12+B13+B14+B15+B16+B17+B19+B20+B21+B22+B23+B24+B25+B27+B28+B29+B30+B31+B32+B33+B35+B36+B37+B38+B39+B40+B41+B43+B44+B45+B46+B47+B48+B49+B51+B52+B53)/T2),0)</f>
        <v/>
      </c>
      <c r="L53" s="5">
        <f>IFERROR(ROUND(B53/D53,2),0)</f>
        <v/>
      </c>
      <c r="M53" s="5">
        <f>IFERROR(ROUND(B53/E53,2),0)</f>
        <v/>
      </c>
      <c r="N53" s="2" t="inlineStr">
        <is>
          <t>2023-10-27</t>
        </is>
      </c>
      <c r="O53" s="5">
        <f>ROUND(18.07,2)</f>
        <v/>
      </c>
      <c r="P53" s="3">
        <f>ROUND(59844.0,2)</f>
        <v/>
      </c>
      <c r="Q53" s="3">
        <f>ROUND(616.0,2)</f>
        <v/>
      </c>
      <c r="R53" s="3">
        <f>ROUND(0.0,2)</f>
        <v/>
      </c>
      <c r="S53" s="3">
        <f>ROUND(0.0,2)</f>
        <v/>
      </c>
      <c r="T53" s="3">
        <f>ROUND(0.0,2)</f>
        <v/>
      </c>
      <c r="U53" s="3">
        <f>ROUND(0.0,2)</f>
        <v/>
      </c>
      <c r="V53" s="3">
        <f>ROUND(0.0,2)</f>
        <v/>
      </c>
      <c r="W53" s="4">
        <f>IFERROR((Q53/P53),0)</f>
        <v/>
      </c>
      <c r="X53" s="4">
        <f>IFERROR(((0+O11+O12+O13+O14+O15+O16+O17+O19+O20+O21+O22+O23+O24+O25+O27+O28+O29+O30+O31+O32+O33+O35+O36+O37+O38+O39+O40+O41+O43+O44+O45+O46+O47+O48+O49+O51+O52+O53)/T2),0)</f>
        <v/>
      </c>
      <c r="Y53" s="5">
        <f>IFERROR(ROUND(O53/Q53,2),0)</f>
        <v/>
      </c>
      <c r="Z53" s="5">
        <f>IFERROR(ROUND(O53/R53,2),0)</f>
        <v/>
      </c>
      <c r="AA53" s="2" t="inlineStr">
        <is>
          <t>2023-10-27</t>
        </is>
      </c>
      <c r="AB53" s="5">
        <f>ROUND(22.240000000000002,2)</f>
        <v/>
      </c>
      <c r="AC53" s="3">
        <f>ROUND(56806.0,2)</f>
        <v/>
      </c>
      <c r="AD53" s="3">
        <f>ROUND(730.0,2)</f>
        <v/>
      </c>
      <c r="AE53" s="3">
        <f>ROUND(0.0,2)</f>
        <v/>
      </c>
      <c r="AF53" s="3">
        <f>ROUND(0.0,2)</f>
        <v/>
      </c>
      <c r="AG53" s="3">
        <f>ROUND(0.0,2)</f>
        <v/>
      </c>
      <c r="AH53" s="3">
        <f>ROUND(0.0,2)</f>
        <v/>
      </c>
      <c r="AI53" s="3">
        <f>ROUND(0.0,2)</f>
        <v/>
      </c>
      <c r="AJ53" s="4">
        <f>IFERROR((AD53/AC53),0)</f>
        <v/>
      </c>
      <c r="AK53" s="4">
        <f>IFERROR(((0+AB11+AB12+AB13+AB14+AB15+AB16+AB17+AB19+AB20+AB21+AB22+AB23+AB24+AB25+AB27+AB28+AB29+AB30+AB31+AB32+AB33+AB35+AB36+AB37+AB38+AB39+AB40+AB41+AB43+AB44+AB45+AB46+AB47+AB48+AB49+AB51+AB52+AB53)/T2),0)</f>
        <v/>
      </c>
      <c r="AL53" s="5">
        <f>IFERROR(ROUND(AB53/AD53,2),0)</f>
        <v/>
      </c>
      <c r="AM53" s="5">
        <f>IFERROR(ROUND(AB53/AE53,2),0)</f>
        <v/>
      </c>
      <c r="AN53" s="2" t="inlineStr">
        <is>
          <t>2023-10-27</t>
        </is>
      </c>
      <c r="AO53" s="5">
        <f>ROUND(9.02,2)</f>
        <v/>
      </c>
      <c r="AP53" s="3">
        <f>ROUND(27277.0,2)</f>
        <v/>
      </c>
      <c r="AQ53" s="3">
        <f>ROUND(230.0,2)</f>
        <v/>
      </c>
      <c r="AR53" s="3">
        <f>ROUND(0.0,2)</f>
        <v/>
      </c>
      <c r="AS53" s="3">
        <f>ROUND(0.0,2)</f>
        <v/>
      </c>
      <c r="AT53" s="3">
        <f>ROUND(0.0,2)</f>
        <v/>
      </c>
      <c r="AU53" s="3">
        <f>ROUND(0.0,2)</f>
        <v/>
      </c>
      <c r="AV53" s="3">
        <f>ROUND(0.0,2)</f>
        <v/>
      </c>
      <c r="AW53" s="4">
        <f>IFERROR((AQ53/AP53),0)</f>
        <v/>
      </c>
      <c r="AX53" s="4">
        <f>IFERROR(((0+AO11+AO12+AO13+AO14+AO15+AO16+AO17+AO19+AO20+AO21+AO22+AO23+AO24+AO25+AO27+AO28+AO29+AO30+AO31+AO32+AO33+AO35+AO36+AO37+AO38+AO39+AO40+AO41+AO43+AO44+AO45+AO46+AO47+AO48+AO49+AO51+AO52+AO53)/T2),0)</f>
        <v/>
      </c>
      <c r="AY53" s="5">
        <f>IFERROR(ROUND(AO53/AQ53,2),0)</f>
        <v/>
      </c>
      <c r="AZ53" s="5">
        <f>IFERROR(ROUND(AO53/AR53,2),0)</f>
        <v/>
      </c>
      <c r="BA53" s="2" t="inlineStr">
        <is>
          <t>2023-10-27</t>
        </is>
      </c>
      <c r="BB53" s="5">
        <f>ROUND(14.209999999999999,2)</f>
        <v/>
      </c>
      <c r="BC53" s="3">
        <f>ROUND(42346.0,2)</f>
        <v/>
      </c>
      <c r="BD53" s="3">
        <f>ROUND(481.0,2)</f>
        <v/>
      </c>
      <c r="BE53" s="3">
        <f>ROUND(0.0,2)</f>
        <v/>
      </c>
      <c r="BF53" s="3">
        <f>ROUND(0.0,2)</f>
        <v/>
      </c>
      <c r="BG53" s="3">
        <f>ROUND(0.0,2)</f>
        <v/>
      </c>
      <c r="BH53" s="3">
        <f>ROUND(0.0,2)</f>
        <v/>
      </c>
      <c r="BI53" s="3">
        <f>ROUND(0.0,2)</f>
        <v/>
      </c>
      <c r="BJ53" s="4">
        <f>IFERROR((BD53/BC53),0)</f>
        <v/>
      </c>
      <c r="BK53" s="4">
        <f>IFERROR(((0+BB11+BB12+BB13+BB14+BB15+BB16+BB17+BB19+BB20+BB21+BB22+BB23+BB24+BB25+BB27+BB28+BB29+BB30+BB31+BB32+BB33+BB35+BB36+BB37+BB38+BB39+BB40+BB41+BB43+BB44+BB45+BB46+BB47+BB48+BB49+BB51+BB52+BB53)/T2),0)</f>
        <v/>
      </c>
      <c r="BL53" s="5">
        <f>IFERROR(ROUND(BB53/BD53,2),0)</f>
        <v/>
      </c>
      <c r="BM53" s="5">
        <f>IFERROR(ROUND(BB53/BE53,2),0)</f>
        <v/>
      </c>
      <c r="BN53" s="2" t="inlineStr">
        <is>
          <t>2023-10-27</t>
        </is>
      </c>
      <c r="BO53" s="5">
        <f>ROUND(25.66,2)</f>
        <v/>
      </c>
      <c r="BP53" s="3">
        <f>ROUND(51624.0,2)</f>
        <v/>
      </c>
      <c r="BQ53" s="3">
        <f>ROUND(829.0,2)</f>
        <v/>
      </c>
      <c r="BR53" s="3">
        <f>ROUND(0.0,2)</f>
        <v/>
      </c>
      <c r="BS53" s="3">
        <f>ROUND(0.0,2)</f>
        <v/>
      </c>
      <c r="BT53" s="3">
        <f>ROUND(0.0,2)</f>
        <v/>
      </c>
      <c r="BU53" s="3">
        <f>ROUND(0.0,2)</f>
        <v/>
      </c>
      <c r="BV53" s="3">
        <f>ROUND(0.0,2)</f>
        <v/>
      </c>
      <c r="BW53" s="4">
        <f>IFERROR((BQ53/BP53),0)</f>
        <v/>
      </c>
      <c r="BX53" s="4">
        <f>IFERROR(((0+BO11+BO12+BO13+BO14+BO15+BO16+BO17+BO19+BO20+BO21+BO22+BO23+BO24+BO25+BO27+BO28+BO29+BO30+BO31+BO32+BO33+BO35+BO36+BO37+BO38+BO39+BO40+BO41+BO43+BO44+BO45+BO46+BO47+BO48+BO49+BO51+BO52+BO53)/T2),0)</f>
        <v/>
      </c>
      <c r="BY53" s="5">
        <f>IFERROR(ROUND(BO53/BQ53,2),0)</f>
        <v/>
      </c>
      <c r="BZ53" s="5">
        <f>IFERROR(ROUND(BO53/BR53,2),0)</f>
        <v/>
      </c>
      <c r="CA53" s="2" t="inlineStr">
        <is>
          <t>2023-10-27</t>
        </is>
      </c>
      <c r="CB53" s="5">
        <f>ROUND(6.859999999999999,2)</f>
        <v/>
      </c>
      <c r="CC53" s="3">
        <f>ROUND(17006.0,2)</f>
        <v/>
      </c>
      <c r="CD53" s="3">
        <f>ROUND(143.0,2)</f>
        <v/>
      </c>
      <c r="CE53" s="3">
        <f>ROUND(0.0,2)</f>
        <v/>
      </c>
      <c r="CF53" s="3">
        <f>ROUND(0.0,2)</f>
        <v/>
      </c>
      <c r="CG53" s="3">
        <f>ROUND(0.0,2)</f>
        <v/>
      </c>
      <c r="CH53" s="3">
        <f>ROUND(0.0,2)</f>
        <v/>
      </c>
      <c r="CI53" s="3">
        <f>ROUND(0.0,2)</f>
        <v/>
      </c>
      <c r="CJ53" s="4">
        <f>IFERROR((CD53/CC53),0)</f>
        <v/>
      </c>
      <c r="CK53" s="4">
        <f>IFERROR(((0+CB11+CB12+CB13+CB14+CB15+CB16+CB17+CB19+CB20+CB21+CB22+CB23+CB24+CB25+CB27+CB28+CB29+CB30+CB31+CB32+CB33+CB35+CB36+CB37+CB38+CB39+CB40+CB41+CB43+CB44+CB45+CB46+CB47+CB48+CB49+CB51+CB52+CB53)/T2),0)</f>
        <v/>
      </c>
      <c r="CL53" s="5">
        <f>IFERROR(ROUND(CB53/CD53,2),0)</f>
        <v/>
      </c>
      <c r="CM53" s="5">
        <f>IFERROR(ROUND(CB53/CE53,2),0)</f>
        <v/>
      </c>
    </row>
    <row r="54">
      <c r="A54" s="2" t="inlineStr">
        <is>
          <t>2023-10-28</t>
        </is>
      </c>
      <c r="B54" s="5">
        <f>ROUND(97.73,2)</f>
        <v/>
      </c>
      <c r="C54" s="3">
        <f>ROUND(302674.0,2)</f>
        <v/>
      </c>
      <c r="D54" s="3">
        <f>ROUND(3280.0,2)</f>
        <v/>
      </c>
      <c r="E54" s="3">
        <f>ROUND(0.0,2)</f>
        <v/>
      </c>
      <c r="F54" s="3">
        <f>ROUND(0.0,2)</f>
        <v/>
      </c>
      <c r="G54" s="3">
        <f>ROUND(0.0,2)</f>
        <v/>
      </c>
      <c r="H54" s="3">
        <f>ROUND(0.0,2)</f>
        <v/>
      </c>
      <c r="I54" s="3">
        <f>ROUND(0.0,2)</f>
        <v/>
      </c>
      <c r="J54" s="4">
        <f>IFERROR((D54/C54),0)</f>
        <v/>
      </c>
      <c r="K54" s="4">
        <f>IFERROR(((0+B11+B12+B13+B14+B15+B16+B17+B19+B20+B21+B22+B23+B24+B25+B27+B28+B29+B30+B31+B32+B33+B35+B36+B37+B38+B39+B40+B41+B43+B44+B45+B46+B47+B48+B49+B51+B52+B53+B54)/T2),0)</f>
        <v/>
      </c>
      <c r="L54" s="5">
        <f>IFERROR(ROUND(B54/D54,2),0)</f>
        <v/>
      </c>
      <c r="M54" s="5">
        <f>IFERROR(ROUND(B54/E54,2),0)</f>
        <v/>
      </c>
      <c r="N54" s="2" t="inlineStr">
        <is>
          <t>2023-10-28</t>
        </is>
      </c>
      <c r="O54" s="5">
        <f>ROUND(22.03,2)</f>
        <v/>
      </c>
      <c r="P54" s="3">
        <f>ROUND(73520.0,2)</f>
        <v/>
      </c>
      <c r="Q54" s="3">
        <f>ROUND(770.0,2)</f>
        <v/>
      </c>
      <c r="R54" s="3">
        <f>ROUND(0.0,2)</f>
        <v/>
      </c>
      <c r="S54" s="3">
        <f>ROUND(0.0,2)</f>
        <v/>
      </c>
      <c r="T54" s="3">
        <f>ROUND(0.0,2)</f>
        <v/>
      </c>
      <c r="U54" s="3">
        <f>ROUND(0.0,2)</f>
        <v/>
      </c>
      <c r="V54" s="3">
        <f>ROUND(0.0,2)</f>
        <v/>
      </c>
      <c r="W54" s="4">
        <f>IFERROR((Q54/P54),0)</f>
        <v/>
      </c>
      <c r="X54" s="4">
        <f>IFERROR(((0+O11+O12+O13+O14+O15+O16+O17+O19+O20+O21+O22+O23+O24+O25+O27+O28+O29+O30+O31+O32+O33+O35+O36+O37+O38+O39+O40+O41+O43+O44+O45+O46+O47+O48+O49+O51+O52+O53+O54)/T2),0)</f>
        <v/>
      </c>
      <c r="Y54" s="5">
        <f>IFERROR(ROUND(O54/Q54,2),0)</f>
        <v/>
      </c>
      <c r="Z54" s="5">
        <f>IFERROR(ROUND(O54/R54,2),0)</f>
        <v/>
      </c>
      <c r="AA54" s="2" t="inlineStr">
        <is>
          <t>2023-10-28</t>
        </is>
      </c>
      <c r="AB54" s="5">
        <f>ROUND(21.22,2)</f>
        <v/>
      </c>
      <c r="AC54" s="3">
        <f>ROUND(63004.0,2)</f>
        <v/>
      </c>
      <c r="AD54" s="3">
        <f>ROUND(704.0,2)</f>
        <v/>
      </c>
      <c r="AE54" s="3">
        <f>ROUND(0.0,2)</f>
        <v/>
      </c>
      <c r="AF54" s="3">
        <f>ROUND(0.0,2)</f>
        <v/>
      </c>
      <c r="AG54" s="3">
        <f>ROUND(0.0,2)</f>
        <v/>
      </c>
      <c r="AH54" s="3">
        <f>ROUND(0.0,2)</f>
        <v/>
      </c>
      <c r="AI54" s="3">
        <f>ROUND(0.0,2)</f>
        <v/>
      </c>
      <c r="AJ54" s="4">
        <f>IFERROR((AD54/AC54),0)</f>
        <v/>
      </c>
      <c r="AK54" s="4">
        <f>IFERROR(((0+AB11+AB12+AB13+AB14+AB15+AB16+AB17+AB19+AB20+AB21+AB22+AB23+AB24+AB25+AB27+AB28+AB29+AB30+AB31+AB32+AB33+AB35+AB36+AB37+AB38+AB39+AB40+AB41+AB43+AB44+AB45+AB46+AB47+AB48+AB49+AB51+AB52+AB53+AB54)/T2),0)</f>
        <v/>
      </c>
      <c r="AL54" s="5">
        <f>IFERROR(ROUND(AB54/AD54,2),0)</f>
        <v/>
      </c>
      <c r="AM54" s="5">
        <f>IFERROR(ROUND(AB54/AE54,2),0)</f>
        <v/>
      </c>
      <c r="AN54" s="2" t="inlineStr">
        <is>
          <t>2023-10-28</t>
        </is>
      </c>
      <c r="AO54" s="5">
        <f>ROUND(5.93,2)</f>
        <v/>
      </c>
      <c r="AP54" s="3">
        <f>ROUND(20496.0,2)</f>
        <v/>
      </c>
      <c r="AQ54" s="3">
        <f>ROUND(161.0,2)</f>
        <v/>
      </c>
      <c r="AR54" s="3">
        <f>ROUND(0.0,2)</f>
        <v/>
      </c>
      <c r="AS54" s="3">
        <f>ROUND(0.0,2)</f>
        <v/>
      </c>
      <c r="AT54" s="3">
        <f>ROUND(0.0,2)</f>
        <v/>
      </c>
      <c r="AU54" s="3">
        <f>ROUND(0.0,2)</f>
        <v/>
      </c>
      <c r="AV54" s="3">
        <f>ROUND(0.0,2)</f>
        <v/>
      </c>
      <c r="AW54" s="4">
        <f>IFERROR((AQ54/AP54),0)</f>
        <v/>
      </c>
      <c r="AX54" s="4">
        <f>IFERROR(((0+AO11+AO12+AO13+AO14+AO15+AO16+AO17+AO19+AO20+AO21+AO22+AO23+AO24+AO25+AO27+AO28+AO29+AO30+AO31+AO32+AO33+AO35+AO36+AO37+AO38+AO39+AO40+AO41+AO43+AO44+AO45+AO46+AO47+AO48+AO49+AO51+AO52+AO53+AO54)/T2),0)</f>
        <v/>
      </c>
      <c r="AY54" s="5">
        <f>IFERROR(ROUND(AO54/AQ54,2),0)</f>
        <v/>
      </c>
      <c r="AZ54" s="5">
        <f>IFERROR(ROUND(AO54/AR54,2),0)</f>
        <v/>
      </c>
      <c r="BA54" s="2" t="inlineStr">
        <is>
          <t>2023-10-28</t>
        </is>
      </c>
      <c r="BB54" s="5">
        <f>ROUND(18.82,2)</f>
        <v/>
      </c>
      <c r="BC54" s="3">
        <f>ROUND(61026.0,2)</f>
        <v/>
      </c>
      <c r="BD54" s="3">
        <f>ROUND(669.0,2)</f>
        <v/>
      </c>
      <c r="BE54" s="3">
        <f>ROUND(0.0,2)</f>
        <v/>
      </c>
      <c r="BF54" s="3">
        <f>ROUND(0.0,2)</f>
        <v/>
      </c>
      <c r="BG54" s="3">
        <f>ROUND(0.0,2)</f>
        <v/>
      </c>
      <c r="BH54" s="3">
        <f>ROUND(0.0,2)</f>
        <v/>
      </c>
      <c r="BI54" s="3">
        <f>ROUND(0.0,2)</f>
        <v/>
      </c>
      <c r="BJ54" s="4">
        <f>IFERROR((BD54/BC54),0)</f>
        <v/>
      </c>
      <c r="BK54" s="4">
        <f>IFERROR(((0+BB11+BB12+BB13+BB14+BB15+BB16+BB17+BB19+BB20+BB21+BB22+BB23+BB24+BB25+BB27+BB28+BB29+BB30+BB31+BB32+BB33+BB35+BB36+BB37+BB38+BB39+BB40+BB41+BB43+BB44+BB45+BB46+BB47+BB48+BB49+BB51+BB52+BB53+BB54)/T2),0)</f>
        <v/>
      </c>
      <c r="BL54" s="5">
        <f>IFERROR(ROUND(BB54/BD54,2),0)</f>
        <v/>
      </c>
      <c r="BM54" s="5">
        <f>IFERROR(ROUND(BB54/BE54,2),0)</f>
        <v/>
      </c>
      <c r="BN54" s="2" t="inlineStr">
        <is>
          <t>2023-10-28</t>
        </is>
      </c>
      <c r="BO54" s="5">
        <f>ROUND(23.73,2)</f>
        <v/>
      </c>
      <c r="BP54" s="3">
        <f>ROUND(66276.0,2)</f>
        <v/>
      </c>
      <c r="BQ54" s="3">
        <f>ROUND(824.0,2)</f>
        <v/>
      </c>
      <c r="BR54" s="3">
        <f>ROUND(0.0,2)</f>
        <v/>
      </c>
      <c r="BS54" s="3">
        <f>ROUND(0.0,2)</f>
        <v/>
      </c>
      <c r="BT54" s="3">
        <f>ROUND(0.0,2)</f>
        <v/>
      </c>
      <c r="BU54" s="3">
        <f>ROUND(0.0,2)</f>
        <v/>
      </c>
      <c r="BV54" s="3">
        <f>ROUND(0.0,2)</f>
        <v/>
      </c>
      <c r="BW54" s="4">
        <f>IFERROR((BQ54/BP54),0)</f>
        <v/>
      </c>
      <c r="BX54" s="4">
        <f>IFERROR(((0+BO11+BO12+BO13+BO14+BO15+BO16+BO17+BO19+BO20+BO21+BO22+BO23+BO24+BO25+BO27+BO28+BO29+BO30+BO31+BO32+BO33+BO35+BO36+BO37+BO38+BO39+BO40+BO41+BO43+BO44+BO45+BO46+BO47+BO48+BO49+BO51+BO52+BO53+BO54)/T2),0)</f>
        <v/>
      </c>
      <c r="BY54" s="5">
        <f>IFERROR(ROUND(BO54/BQ54,2),0)</f>
        <v/>
      </c>
      <c r="BZ54" s="5">
        <f>IFERROR(ROUND(BO54/BR54,2),0)</f>
        <v/>
      </c>
      <c r="CA54" s="2" t="inlineStr">
        <is>
          <t>2023-10-28</t>
        </is>
      </c>
      <c r="CB54" s="5">
        <f>ROUND(6.0,2)</f>
        <v/>
      </c>
      <c r="CC54" s="3">
        <f>ROUND(18352.0,2)</f>
        <v/>
      </c>
      <c r="CD54" s="3">
        <f>ROUND(152.0,2)</f>
        <v/>
      </c>
      <c r="CE54" s="3">
        <f>ROUND(0.0,2)</f>
        <v/>
      </c>
      <c r="CF54" s="3">
        <f>ROUND(0.0,2)</f>
        <v/>
      </c>
      <c r="CG54" s="3">
        <f>ROUND(0.0,2)</f>
        <v/>
      </c>
      <c r="CH54" s="3">
        <f>ROUND(0.0,2)</f>
        <v/>
      </c>
      <c r="CI54" s="3">
        <f>ROUND(0.0,2)</f>
        <v/>
      </c>
      <c r="CJ54" s="4">
        <f>IFERROR((CD54/CC54),0)</f>
        <v/>
      </c>
      <c r="CK54" s="4">
        <f>IFERROR(((0+CB11+CB12+CB13+CB14+CB15+CB16+CB17+CB19+CB20+CB21+CB22+CB23+CB24+CB25+CB27+CB28+CB29+CB30+CB31+CB32+CB33+CB35+CB36+CB37+CB38+CB39+CB40+CB41+CB43+CB44+CB45+CB46+CB47+CB48+CB49+CB51+CB52+CB53+CB54)/T2),0)</f>
        <v/>
      </c>
      <c r="CL54" s="5">
        <f>IFERROR(ROUND(CB54/CD54,2),0)</f>
        <v/>
      </c>
      <c r="CM54" s="5">
        <f>IFERROR(ROUND(CB54/CE54,2),0)</f>
        <v/>
      </c>
    </row>
    <row r="55">
      <c r="A55" s="2" t="inlineStr">
        <is>
          <t>2023-10-29</t>
        </is>
      </c>
      <c r="B55" s="5">
        <f>ROUND(98.77,2)</f>
        <v/>
      </c>
      <c r="C55" s="3">
        <f>ROUND(353260.0,2)</f>
        <v/>
      </c>
      <c r="D55" s="3">
        <f>ROUND(3297.0,2)</f>
        <v/>
      </c>
      <c r="E55" s="3">
        <f>ROUND(0.0,2)</f>
        <v/>
      </c>
      <c r="F55" s="3">
        <f>ROUND(0.0,2)</f>
        <v/>
      </c>
      <c r="G55" s="3">
        <f>ROUND(0.0,2)</f>
        <v/>
      </c>
      <c r="H55" s="3">
        <f>ROUND(0.0,2)</f>
        <v/>
      </c>
      <c r="I55" s="3">
        <f>ROUND(0.0,2)</f>
        <v/>
      </c>
      <c r="J55" s="4">
        <f>IFERROR((D55/C55),0)</f>
        <v/>
      </c>
      <c r="K55" s="4">
        <f>IFERROR(((0+B11+B12+B13+B14+B15+B16+B17+B19+B20+B21+B22+B23+B24+B25+B27+B28+B29+B30+B31+B32+B33+B35+B36+B37+B38+B39+B40+B41+B43+B44+B45+B46+B47+B48+B49+B51+B52+B53+B54+B55)/T2),0)</f>
        <v/>
      </c>
      <c r="L55" s="5">
        <f>IFERROR(ROUND(B55/D55,2),0)</f>
        <v/>
      </c>
      <c r="M55" s="5">
        <f>IFERROR(ROUND(B55/E55,2),0)</f>
        <v/>
      </c>
      <c r="N55" s="2" t="inlineStr">
        <is>
          <t>2023-10-29</t>
        </is>
      </c>
      <c r="O55" s="5">
        <f>ROUND(24.18,2)</f>
        <v/>
      </c>
      <c r="P55" s="3">
        <f>ROUND(87942.0,2)</f>
        <v/>
      </c>
      <c r="Q55" s="3">
        <f>ROUND(819.0,2)</f>
        <v/>
      </c>
      <c r="R55" s="3">
        <f>ROUND(0.0,2)</f>
        <v/>
      </c>
      <c r="S55" s="3">
        <f>ROUND(0.0,2)</f>
        <v/>
      </c>
      <c r="T55" s="3">
        <f>ROUND(0.0,2)</f>
        <v/>
      </c>
      <c r="U55" s="3">
        <f>ROUND(0.0,2)</f>
        <v/>
      </c>
      <c r="V55" s="3">
        <f>ROUND(0.0,2)</f>
        <v/>
      </c>
      <c r="W55" s="4">
        <f>IFERROR((Q55/P55),0)</f>
        <v/>
      </c>
      <c r="X55" s="4">
        <f>IFERROR(((0+O11+O12+O13+O14+O15+O16+O17+O19+O20+O21+O22+O23+O24+O25+O27+O28+O29+O30+O31+O32+O33+O35+O36+O37+O38+O39+O40+O41+O43+O44+O45+O46+O47+O48+O49+O51+O52+O53+O54+O55)/T2),0)</f>
        <v/>
      </c>
      <c r="Y55" s="5">
        <f>IFERROR(ROUND(O55/Q55,2),0)</f>
        <v/>
      </c>
      <c r="Z55" s="5">
        <f>IFERROR(ROUND(O55/R55,2),0)</f>
        <v/>
      </c>
      <c r="AA55" s="2" t="inlineStr">
        <is>
          <t>2023-10-29</t>
        </is>
      </c>
      <c r="AB55" s="5">
        <f>ROUND(17.21,2)</f>
        <v/>
      </c>
      <c r="AC55" s="3">
        <f>ROUND(55439.0,2)</f>
        <v/>
      </c>
      <c r="AD55" s="3">
        <f>ROUND(550.0,2)</f>
        <v/>
      </c>
      <c r="AE55" s="3">
        <f>ROUND(0.0,2)</f>
        <v/>
      </c>
      <c r="AF55" s="3">
        <f>ROUND(0.0,2)</f>
        <v/>
      </c>
      <c r="AG55" s="3">
        <f>ROUND(0.0,2)</f>
        <v/>
      </c>
      <c r="AH55" s="3">
        <f>ROUND(0.0,2)</f>
        <v/>
      </c>
      <c r="AI55" s="3">
        <f>ROUND(0.0,2)</f>
        <v/>
      </c>
      <c r="AJ55" s="4">
        <f>IFERROR((AD55/AC55),0)</f>
        <v/>
      </c>
      <c r="AK55" s="4">
        <f>IFERROR(((0+AB11+AB12+AB13+AB14+AB15+AB16+AB17+AB19+AB20+AB21+AB22+AB23+AB24+AB25+AB27+AB28+AB29+AB30+AB31+AB32+AB33+AB35+AB36+AB37+AB38+AB39+AB40+AB41+AB43+AB44+AB45+AB46+AB47+AB48+AB49+AB51+AB52+AB53+AB54+AB55)/T2),0)</f>
        <v/>
      </c>
      <c r="AL55" s="5">
        <f>IFERROR(ROUND(AB55/AD55,2),0)</f>
        <v/>
      </c>
      <c r="AM55" s="5">
        <f>IFERROR(ROUND(AB55/AE55,2),0)</f>
        <v/>
      </c>
      <c r="AN55" s="2" t="inlineStr">
        <is>
          <t>2023-10-29</t>
        </is>
      </c>
      <c r="AO55" s="5">
        <f>ROUND(5.6,2)</f>
        <v/>
      </c>
      <c r="AP55" s="3">
        <f>ROUND(21118.0,2)</f>
        <v/>
      </c>
      <c r="AQ55" s="3">
        <f>ROUND(139.0,2)</f>
        <v/>
      </c>
      <c r="AR55" s="3">
        <f>ROUND(0.0,2)</f>
        <v/>
      </c>
      <c r="AS55" s="3">
        <f>ROUND(0.0,2)</f>
        <v/>
      </c>
      <c r="AT55" s="3">
        <f>ROUND(0.0,2)</f>
        <v/>
      </c>
      <c r="AU55" s="3">
        <f>ROUND(0.0,2)</f>
        <v/>
      </c>
      <c r="AV55" s="3">
        <f>ROUND(0.0,2)</f>
        <v/>
      </c>
      <c r="AW55" s="4">
        <f>IFERROR((AQ55/AP55),0)</f>
        <v/>
      </c>
      <c r="AX55" s="4">
        <f>IFERROR(((0+AO11+AO12+AO13+AO14+AO15+AO16+AO17+AO19+AO20+AO21+AO22+AO23+AO24+AO25+AO27+AO28+AO29+AO30+AO31+AO32+AO33+AO35+AO36+AO37+AO38+AO39+AO40+AO41+AO43+AO44+AO45+AO46+AO47+AO48+AO49+AO51+AO52+AO53+AO54+AO55)/T2),0)</f>
        <v/>
      </c>
      <c r="AY55" s="5">
        <f>IFERROR(ROUND(AO55/AQ55,2),0)</f>
        <v/>
      </c>
      <c r="AZ55" s="5">
        <f>IFERROR(ROUND(AO55/AR55,2),0)</f>
        <v/>
      </c>
      <c r="BA55" s="2" t="inlineStr">
        <is>
          <t>2023-10-29</t>
        </is>
      </c>
      <c r="BB55" s="5">
        <f>ROUND(24.970000000000002,2)</f>
        <v/>
      </c>
      <c r="BC55" s="3">
        <f>ROUND(94676.0,2)</f>
        <v/>
      </c>
      <c r="BD55" s="3">
        <f>ROUND(896.0,2)</f>
        <v/>
      </c>
      <c r="BE55" s="3">
        <f>ROUND(0.0,2)</f>
        <v/>
      </c>
      <c r="BF55" s="3">
        <f>ROUND(0.0,2)</f>
        <v/>
      </c>
      <c r="BG55" s="3">
        <f>ROUND(0.0,2)</f>
        <v/>
      </c>
      <c r="BH55" s="3">
        <f>ROUND(0.0,2)</f>
        <v/>
      </c>
      <c r="BI55" s="3">
        <f>ROUND(0.0,2)</f>
        <v/>
      </c>
      <c r="BJ55" s="4">
        <f>IFERROR((BD55/BC55),0)</f>
        <v/>
      </c>
      <c r="BK55" s="4">
        <f>IFERROR(((0+BB11+BB12+BB13+BB14+BB15+BB16+BB17+BB19+BB20+BB21+BB22+BB23+BB24+BB25+BB27+BB28+BB29+BB30+BB31+BB32+BB33+BB35+BB36+BB37+BB38+BB39+BB40+BB41+BB43+BB44+BB45+BB46+BB47+BB48+BB49+BB51+BB52+BB53+BB54+BB55)/T2),0)</f>
        <v/>
      </c>
      <c r="BL55" s="5">
        <f>IFERROR(ROUND(BB55/BD55,2),0)</f>
        <v/>
      </c>
      <c r="BM55" s="5">
        <f>IFERROR(ROUND(BB55/BE55,2),0)</f>
        <v/>
      </c>
      <c r="BN55" s="2" t="inlineStr">
        <is>
          <t>2023-10-29</t>
        </is>
      </c>
      <c r="BO55" s="5">
        <f>ROUND(21.84,2)</f>
        <v/>
      </c>
      <c r="BP55" s="3">
        <f>ROUND(77435.0,2)</f>
        <v/>
      </c>
      <c r="BQ55" s="3">
        <f>ROUND(757.0,2)</f>
        <v/>
      </c>
      <c r="BR55" s="3">
        <f>ROUND(0.0,2)</f>
        <v/>
      </c>
      <c r="BS55" s="3">
        <f>ROUND(0.0,2)</f>
        <v/>
      </c>
      <c r="BT55" s="3">
        <f>ROUND(0.0,2)</f>
        <v/>
      </c>
      <c r="BU55" s="3">
        <f>ROUND(0.0,2)</f>
        <v/>
      </c>
      <c r="BV55" s="3">
        <f>ROUND(0.0,2)</f>
        <v/>
      </c>
      <c r="BW55" s="4">
        <f>IFERROR((BQ55/BP55),0)</f>
        <v/>
      </c>
      <c r="BX55" s="4">
        <f>IFERROR(((0+BO11+BO12+BO13+BO14+BO15+BO16+BO17+BO19+BO20+BO21+BO22+BO23+BO24+BO25+BO27+BO28+BO29+BO30+BO31+BO32+BO33+BO35+BO36+BO37+BO38+BO39+BO40+BO41+BO43+BO44+BO45+BO46+BO47+BO48+BO49+BO51+BO52+BO53+BO54+BO55)/T2),0)</f>
        <v/>
      </c>
      <c r="BY55" s="5">
        <f>IFERROR(ROUND(BO55/BQ55,2),0)</f>
        <v/>
      </c>
      <c r="BZ55" s="5">
        <f>IFERROR(ROUND(BO55/BR55,2),0)</f>
        <v/>
      </c>
      <c r="CA55" s="2" t="inlineStr">
        <is>
          <t>2023-10-29</t>
        </is>
      </c>
      <c r="CB55" s="5">
        <f>ROUND(4.97,2)</f>
        <v/>
      </c>
      <c r="CC55" s="3">
        <f>ROUND(16650.0,2)</f>
        <v/>
      </c>
      <c r="CD55" s="3">
        <f>ROUND(136.0,2)</f>
        <v/>
      </c>
      <c r="CE55" s="3">
        <f>ROUND(0.0,2)</f>
        <v/>
      </c>
      <c r="CF55" s="3">
        <f>ROUND(0.0,2)</f>
        <v/>
      </c>
      <c r="CG55" s="3">
        <f>ROUND(0.0,2)</f>
        <v/>
      </c>
      <c r="CH55" s="3">
        <f>ROUND(0.0,2)</f>
        <v/>
      </c>
      <c r="CI55" s="3">
        <f>ROUND(0.0,2)</f>
        <v/>
      </c>
      <c r="CJ55" s="4">
        <f>IFERROR((CD55/CC55),0)</f>
        <v/>
      </c>
      <c r="CK55" s="4">
        <f>IFERROR(((0+CB11+CB12+CB13+CB14+CB15+CB16+CB17+CB19+CB20+CB21+CB22+CB23+CB24+CB25+CB27+CB28+CB29+CB30+CB31+CB32+CB33+CB35+CB36+CB37+CB38+CB39+CB40+CB41+CB43+CB44+CB45+CB46+CB47+CB48+CB49+CB51+CB52+CB53+CB54+CB55)/T2),0)</f>
        <v/>
      </c>
      <c r="CL55" s="5">
        <f>IFERROR(ROUND(CB55/CD55,2),0)</f>
        <v/>
      </c>
      <c r="CM55" s="5">
        <f>IFERROR(ROUND(CB55/CE55,2),0)</f>
        <v/>
      </c>
    </row>
    <row r="56">
      <c r="A56" s="6" t="inlineStr">
        <is>
          <t>Total</t>
        </is>
      </c>
      <c r="B56" s="7">
        <f>ROUND(669.66,2)</f>
        <v/>
      </c>
      <c r="C56" s="8">
        <f>ROUND(1970771.0,2)</f>
        <v/>
      </c>
      <c r="D56" s="8">
        <f>ROUND(21409.0,2)</f>
        <v/>
      </c>
      <c r="E56" s="8">
        <f>ROUND(0.0,2)</f>
        <v/>
      </c>
      <c r="F56" s="8">
        <f>ROUND(0.0,2)</f>
        <v/>
      </c>
      <c r="G56" s="8">
        <f>ROUND(0.0,2)</f>
        <v/>
      </c>
      <c r="H56" s="8">
        <f>ROUND(0.0,2)</f>
        <v/>
      </c>
      <c r="I56" s="8">
        <f>ROUND(0.0,2)</f>
        <v/>
      </c>
      <c r="J56" s="9">
        <f>IFERROR((D56/C56),0)</f>
        <v/>
      </c>
      <c r="K56" s="9">
        <f>IFERROR(((0+B56)/T2),0)</f>
        <v/>
      </c>
      <c r="L56" s="7">
        <f>IFERROR(B56/D56,0)</f>
        <v/>
      </c>
      <c r="M56" s="7">
        <f>IFERROR(ROUND(B56/E56,2),0)</f>
        <v/>
      </c>
      <c r="N56" s="6" t="inlineStr">
        <is>
          <t>Total</t>
        </is>
      </c>
      <c r="O56" s="7">
        <f>ROUND(175.0,2)</f>
        <v/>
      </c>
      <c r="P56" s="8">
        <f>ROUND(557461.0,2)</f>
        <v/>
      </c>
      <c r="Q56" s="8">
        <f>ROUND(5834.0,2)</f>
        <v/>
      </c>
      <c r="R56" s="8">
        <f>ROUND(0.0,2)</f>
        <v/>
      </c>
      <c r="S56" s="8">
        <f>ROUND(0.0,2)</f>
        <v/>
      </c>
      <c r="T56" s="8">
        <f>ROUND(0.0,2)</f>
        <v/>
      </c>
      <c r="U56" s="8">
        <f>ROUND(0.0,2)</f>
        <v/>
      </c>
      <c r="V56" s="8">
        <f>ROUND(0.0,2)</f>
        <v/>
      </c>
      <c r="W56" s="9">
        <f>IFERROR((Q56/P56),0)</f>
        <v/>
      </c>
      <c r="X56" s="9">
        <f>IFERROR(((0+O56)/T2),0)</f>
        <v/>
      </c>
      <c r="Y56" s="7">
        <f>IFERROR(O56/Q56,0)</f>
        <v/>
      </c>
      <c r="Z56" s="7">
        <f>IFERROR(ROUND(O56/R56,2),0)</f>
        <v/>
      </c>
      <c r="AA56" s="6" t="inlineStr">
        <is>
          <t>Total</t>
        </is>
      </c>
      <c r="AB56" s="7">
        <f>ROUND(118.47999999999999,2)</f>
        <v/>
      </c>
      <c r="AC56" s="8">
        <f>ROUND(320662.0,2)</f>
        <v/>
      </c>
      <c r="AD56" s="8">
        <f>ROUND(3755.0,2)</f>
        <v/>
      </c>
      <c r="AE56" s="8">
        <f>ROUND(0.0,2)</f>
        <v/>
      </c>
      <c r="AF56" s="8">
        <f>ROUND(0.0,2)</f>
        <v/>
      </c>
      <c r="AG56" s="8">
        <f>ROUND(0.0,2)</f>
        <v/>
      </c>
      <c r="AH56" s="8">
        <f>ROUND(0.0,2)</f>
        <v/>
      </c>
      <c r="AI56" s="8">
        <f>ROUND(0.0,2)</f>
        <v/>
      </c>
      <c r="AJ56" s="9">
        <f>IFERROR((AD56/AC56),0)</f>
        <v/>
      </c>
      <c r="AK56" s="9">
        <f>IFERROR(((0+AB56)/T2),0)</f>
        <v/>
      </c>
      <c r="AL56" s="7">
        <f>IFERROR(AB56/AD56,0)</f>
        <v/>
      </c>
      <c r="AM56" s="7">
        <f>IFERROR(ROUND(AB56/AE56,2),0)</f>
        <v/>
      </c>
      <c r="AN56" s="6" t="inlineStr">
        <is>
          <t>Total</t>
        </is>
      </c>
      <c r="AO56" s="7">
        <f>ROUND(67.89,2)</f>
        <v/>
      </c>
      <c r="AP56" s="8">
        <f>ROUND(215946.0,2)</f>
        <v/>
      </c>
      <c r="AQ56" s="8">
        <f>ROUND(1929.0,2)</f>
        <v/>
      </c>
      <c r="AR56" s="8">
        <f>ROUND(0.0,2)</f>
        <v/>
      </c>
      <c r="AS56" s="8">
        <f>ROUND(0.0,2)</f>
        <v/>
      </c>
      <c r="AT56" s="8">
        <f>ROUND(0.0,2)</f>
        <v/>
      </c>
      <c r="AU56" s="8">
        <f>ROUND(0.0,2)</f>
        <v/>
      </c>
      <c r="AV56" s="8">
        <f>ROUND(0.0,2)</f>
        <v/>
      </c>
      <c r="AW56" s="9">
        <f>IFERROR((AQ56/AP56),0)</f>
        <v/>
      </c>
      <c r="AX56" s="9">
        <f>IFERROR(((0+AO56)/T2),0)</f>
        <v/>
      </c>
      <c r="AY56" s="7">
        <f>IFERROR(AO56/AQ56,0)</f>
        <v/>
      </c>
      <c r="AZ56" s="7">
        <f>IFERROR(ROUND(AO56/AR56,2),0)</f>
        <v/>
      </c>
      <c r="BA56" s="6" t="inlineStr">
        <is>
          <t>Total</t>
        </is>
      </c>
      <c r="BB56" s="7">
        <f>ROUND(124.46000000000001,2)</f>
        <v/>
      </c>
      <c r="BC56" s="8">
        <f>ROUND(383805.0,2)</f>
        <v/>
      </c>
      <c r="BD56" s="8">
        <f>ROUND(4170.0,2)</f>
        <v/>
      </c>
      <c r="BE56" s="8">
        <f>ROUND(0.0,2)</f>
        <v/>
      </c>
      <c r="BF56" s="8">
        <f>ROUND(0.0,2)</f>
        <v/>
      </c>
      <c r="BG56" s="8">
        <f>ROUND(0.0,2)</f>
        <v/>
      </c>
      <c r="BH56" s="8">
        <f>ROUND(0.0,2)</f>
        <v/>
      </c>
      <c r="BI56" s="8">
        <f>ROUND(0.0,2)</f>
        <v/>
      </c>
      <c r="BJ56" s="9">
        <f>IFERROR((BD56/BC56),0)</f>
        <v/>
      </c>
      <c r="BK56" s="9">
        <f>IFERROR(((0+BB56)/T2),0)</f>
        <v/>
      </c>
      <c r="BL56" s="7">
        <f>IFERROR(BB56/BD56,0)</f>
        <v/>
      </c>
      <c r="BM56" s="7">
        <f>IFERROR(ROUND(BB56/BE56,2),0)</f>
        <v/>
      </c>
      <c r="BN56" s="6" t="inlineStr">
        <is>
          <t>Total</t>
        </is>
      </c>
      <c r="BO56" s="7">
        <f>ROUND(121.15,2)</f>
        <v/>
      </c>
      <c r="BP56" s="8">
        <f>ROUND(317823.0,2)</f>
        <v/>
      </c>
      <c r="BQ56" s="8">
        <f>ROUND(3965.0,2)</f>
        <v/>
      </c>
      <c r="BR56" s="8">
        <f>ROUND(0.0,2)</f>
        <v/>
      </c>
      <c r="BS56" s="8">
        <f>ROUND(0.0,2)</f>
        <v/>
      </c>
      <c r="BT56" s="8">
        <f>ROUND(0.0,2)</f>
        <v/>
      </c>
      <c r="BU56" s="8">
        <f>ROUND(0.0,2)</f>
        <v/>
      </c>
      <c r="BV56" s="8">
        <f>ROUND(0.0,2)</f>
        <v/>
      </c>
      <c r="BW56" s="9">
        <f>IFERROR((BQ56/BP56),0)</f>
        <v/>
      </c>
      <c r="BX56" s="9">
        <f>IFERROR(((0+BO56)/T2),0)</f>
        <v/>
      </c>
      <c r="BY56" s="7">
        <f>IFERROR(BO56/BQ56,0)</f>
        <v/>
      </c>
      <c r="BZ56" s="7">
        <f>IFERROR(ROUND(BO56/BR56,2),0)</f>
        <v/>
      </c>
      <c r="CA56" s="6" t="inlineStr">
        <is>
          <t>Total</t>
        </is>
      </c>
      <c r="CB56" s="7">
        <f>ROUND(62.67999999999999,2)</f>
        <v/>
      </c>
      <c r="CC56" s="8">
        <f>ROUND(175074.0,2)</f>
        <v/>
      </c>
      <c r="CD56" s="8">
        <f>ROUND(1756.0,2)</f>
        <v/>
      </c>
      <c r="CE56" s="8">
        <f>ROUND(0.0,2)</f>
        <v/>
      </c>
      <c r="CF56" s="8">
        <f>ROUND(0.0,2)</f>
        <v/>
      </c>
      <c r="CG56" s="8">
        <f>ROUND(0.0,2)</f>
        <v/>
      </c>
      <c r="CH56" s="8">
        <f>ROUND(0.0,2)</f>
        <v/>
      </c>
      <c r="CI56" s="8">
        <f>ROUND(0.0,2)</f>
        <v/>
      </c>
      <c r="CJ56" s="9">
        <f>IFERROR((CD56/CC56),0)</f>
        <v/>
      </c>
      <c r="CK56" s="9">
        <f>IFERROR(((0+CB56)/T2),0)</f>
        <v/>
      </c>
      <c r="CL56" s="7">
        <f>IFERROR(CB56/CD56,0)</f>
        <v/>
      </c>
      <c r="CM56" s="7">
        <f>IFERROR(ROUND(CB56/CE56,2),0)</f>
        <v/>
      </c>
    </row>
  </sheetData>
  <mergeCells count="6">
    <mergeCell ref="AA9:AM9"/>
    <mergeCell ref="N9:Z9"/>
    <mergeCell ref="BA9:BM9"/>
    <mergeCell ref="CA9:CM9"/>
    <mergeCell ref="BN9:BZ9"/>
    <mergeCell ref="AN9:AZ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M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ROUND(0.0,2)</f>
        <v/>
      </c>
      <c r="C2" s="3">
        <f>ROUND(0.0,2)</f>
        <v/>
      </c>
      <c r="D2" s="3">
        <f>ROUND(0.0,2)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ROUND(0.0,2)</f>
        <v/>
      </c>
      <c r="C3" s="3">
        <f>ROUND(0.0,2)</f>
        <v/>
      </c>
      <c r="D3" s="3">
        <f>ROUND(0.0,2)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ROUND(0.0,2)</f>
        <v/>
      </c>
      <c r="C4" s="3">
        <f>ROUND(0.0,2)</f>
        <v/>
      </c>
      <c r="D4" s="3">
        <f>ROUND(0.0,2)</f>
        <v/>
      </c>
      <c r="E4" s="3">
        <f>ROUND(0.0,2)</f>
        <v/>
      </c>
      <c r="F4" s="3">
        <f>ROUND(0.0,2)</f>
        <v/>
      </c>
      <c r="G4" s="3">
        <f>ROUND(0.0,2)</f>
        <v/>
      </c>
      <c r="H4" s="3">
        <f>ROUND(0.0,2)</f>
        <v/>
      </c>
      <c r="I4" s="3">
        <f>ROUND(0.0,2)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ROUND(0.0,2)</f>
        <v/>
      </c>
      <c r="C5" s="3">
        <f>ROUND(0.0,2)</f>
        <v/>
      </c>
      <c r="D5" s="3">
        <f>ROUND(0.0,2)</f>
        <v/>
      </c>
      <c r="E5" s="3">
        <f>ROUND(0.0,2)</f>
        <v/>
      </c>
      <c r="F5" s="3">
        <f>ROUND(0.0,2)</f>
        <v/>
      </c>
      <c r="G5" s="3">
        <f>ROUND(0.0,2)</f>
        <v/>
      </c>
      <c r="H5" s="3">
        <f>ROUND(0.0,2)</f>
        <v/>
      </c>
      <c r="I5" s="3">
        <f>ROUND(0.0,2)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ROUND(590.92,2)</f>
        <v/>
      </c>
      <c r="C6" s="3">
        <f>ROUND(1076640.0,2)</f>
        <v/>
      </c>
      <c r="D6" s="3">
        <f>ROUND(125271.0,2)</f>
        <v/>
      </c>
      <c r="E6" s="3">
        <f>ROUND(79450.0,2)</f>
        <v/>
      </c>
      <c r="F6" s="3">
        <f>ROUND(69545.0,2)</f>
        <v/>
      </c>
      <c r="G6" s="3">
        <f>ROUND(52690.0,2)</f>
        <v/>
      </c>
      <c r="H6" s="3">
        <f>ROUND(44340.0,2)</f>
        <v/>
      </c>
      <c r="I6" s="3">
        <f>ROUND(37543.0,2)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2" t="inlineStr">
        <is>
          <t>6</t>
        </is>
      </c>
      <c r="B7" s="3">
        <f>ROUND(599.4,2)</f>
        <v/>
      </c>
      <c r="C7" s="3">
        <f>ROUND(1117366.0,2)</f>
        <v/>
      </c>
      <c r="D7" s="3">
        <f>ROUND(134874.0,2)</f>
        <v/>
      </c>
      <c r="E7" s="3">
        <f>ROUND(79449.0,2)</f>
        <v/>
      </c>
      <c r="F7" s="3">
        <f>ROUND(68683.0,2)</f>
        <v/>
      </c>
      <c r="G7" s="3">
        <f>ROUND(51868.0,2)</f>
        <v/>
      </c>
      <c r="H7" s="3">
        <f>ROUND(43269.0,2)</f>
        <v/>
      </c>
      <c r="I7" s="3">
        <f>ROUND(37398.0,2)</f>
        <v/>
      </c>
      <c r="J7" s="4">
        <f>IFERROR((D7/C7),0)</f>
        <v/>
      </c>
      <c r="K7" s="4">
        <f>IFERROR(((0+B2+B3+B4+B5+B6+B7)/T2),0)</f>
        <v/>
      </c>
      <c r="L7" s="5">
        <f>IFERROR(ROUND(B7/D7,2),0)</f>
        <v/>
      </c>
      <c r="M7" s="5">
        <f>IFERROR(ROUND(B7/E7,2),0)</f>
        <v/>
      </c>
    </row>
    <row r="8">
      <c r="A8" s="6" t="inlineStr">
        <is>
          <t>Total</t>
        </is>
      </c>
      <c r="B8" s="7">
        <f>ROUND(1190.32,2)</f>
        <v/>
      </c>
      <c r="C8" s="8">
        <f>ROUND(2194006.0,2)</f>
        <v/>
      </c>
      <c r="D8" s="8">
        <f>ROUND(260145.0,2)</f>
        <v/>
      </c>
      <c r="E8" s="8">
        <f>ROUND(158899.0,2)</f>
        <v/>
      </c>
      <c r="F8" s="8">
        <f>ROUND(138228.0,2)</f>
        <v/>
      </c>
      <c r="G8" s="8">
        <f>ROUND(104558.0,2)</f>
        <v/>
      </c>
      <c r="H8" s="8">
        <f>ROUND(87609.0,2)</f>
        <v/>
      </c>
      <c r="I8" s="8">
        <f>ROUND(74941.0,2)</f>
        <v/>
      </c>
      <c r="J8" s="9">
        <f>IFERROR((D8/C8),0)</f>
        <v/>
      </c>
      <c r="K8" s="9">
        <f>IFERROR(((0+B8)/T2),0)</f>
        <v/>
      </c>
      <c r="L8" s="7">
        <f>IFERROR(B8/D8,0)</f>
        <v/>
      </c>
      <c r="M8" s="7">
        <f>IFERROR(ROUND(B8/E8,2),0)</f>
        <v/>
      </c>
      <c r="N8" s="1" t="inlineStr">
        <is>
          <t>Video</t>
        </is>
      </c>
      <c r="AA8" s="1" t="inlineStr">
        <is>
          <t>Video</t>
        </is>
      </c>
      <c r="AN8" s="1" t="inlineStr">
        <is>
          <t>Video</t>
        </is>
      </c>
      <c r="BA8" s="1" t="inlineStr">
        <is>
          <t>Video</t>
        </is>
      </c>
      <c r="BN8" s="1" t="inlineStr">
        <is>
          <t>Static</t>
        </is>
      </c>
      <c r="CA8" s="1" t="inlineStr">
        <is>
          <t>Static</t>
        </is>
      </c>
      <c r="CN8" s="1" t="inlineStr">
        <is>
          <t>Static</t>
        </is>
      </c>
      <c r="DA8" s="1" t="inlineStr">
        <is>
          <t>Static</t>
        </is>
      </c>
      <c r="DN8" s="1" t="inlineStr">
        <is>
          <t>Static</t>
        </is>
      </c>
      <c r="EA8" s="1" t="inlineStr">
        <is>
          <t>Static</t>
        </is>
      </c>
    </row>
    <row r="9">
      <c r="N9" s="1" t="inlineStr">
        <is>
          <t xml:space="preserve">DW (EN) </t>
        </is>
      </c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1" t="n"/>
      <c r="AA9" s="1" t="inlineStr">
        <is>
          <t xml:space="preserve">RAC_ThinQ (EN) </t>
        </is>
      </c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1" t="n"/>
      <c r="AN9" s="1" t="inlineStr">
        <is>
          <t xml:space="preserve">Oled_VO (EN) </t>
        </is>
      </c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1" t="n"/>
      <c r="BA9" s="1" t="inlineStr">
        <is>
          <t xml:space="preserve">Knock (EN) </t>
        </is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 t="n"/>
      <c r="BK9" s="10" t="n"/>
      <c r="BL9" s="10" t="n"/>
      <c r="BM9" s="11" t="n"/>
      <c r="BN9" s="1" t="inlineStr">
        <is>
          <t xml:space="preserve">Oled_VO_OP01 (EN) </t>
        </is>
      </c>
      <c r="BO9" s="10" t="n"/>
      <c r="BP9" s="10" t="n"/>
      <c r="BQ9" s="10" t="n"/>
      <c r="BR9" s="10" t="n"/>
      <c r="BS9" s="10" t="n"/>
      <c r="BT9" s="10" t="n"/>
      <c r="BU9" s="10" t="n"/>
      <c r="BV9" s="10" t="n"/>
      <c r="BW9" s="10" t="n"/>
      <c r="BX9" s="10" t="n"/>
      <c r="BY9" s="10" t="n"/>
      <c r="BZ9" s="11" t="n"/>
      <c r="CA9" s="1" t="inlineStr">
        <is>
          <t xml:space="preserve">WM_OP01 (EN) </t>
        </is>
      </c>
      <c r="CB9" s="10" t="n"/>
      <c r="CC9" s="10" t="n"/>
      <c r="CD9" s="10" t="n"/>
      <c r="CE9" s="10" t="n"/>
      <c r="CF9" s="10" t="n"/>
      <c r="CG9" s="10" t="n"/>
      <c r="CH9" s="10" t="n"/>
      <c r="CI9" s="10" t="n"/>
      <c r="CJ9" s="10" t="n"/>
      <c r="CK9" s="10" t="n"/>
      <c r="CL9" s="10" t="n"/>
      <c r="CM9" s="11" t="n"/>
      <c r="CN9" s="1" t="inlineStr">
        <is>
          <t xml:space="preserve">DW_OP01 (EN) </t>
        </is>
      </c>
      <c r="CO9" s="10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 t="n"/>
      <c r="CY9" s="10" t="n"/>
      <c r="CZ9" s="11" t="n"/>
      <c r="DA9" s="1" t="inlineStr">
        <is>
          <t xml:space="preserve">Ref_ThinQ_OP01 (EN) </t>
        </is>
      </c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1" t="n"/>
      <c r="DN9" s="1" t="inlineStr">
        <is>
          <t xml:space="preserve">Knock_OP01 (EN) </t>
        </is>
      </c>
      <c r="DO9" s="10" t="n"/>
      <c r="DP9" s="10" t="n"/>
      <c r="DQ9" s="10" t="n"/>
      <c r="DR9" s="10" t="n"/>
      <c r="DS9" s="10" t="n"/>
      <c r="DT9" s="10" t="n"/>
      <c r="DU9" s="10" t="n"/>
      <c r="DV9" s="10" t="n"/>
      <c r="DW9" s="10" t="n"/>
      <c r="DX9" s="10" t="n"/>
      <c r="DY9" s="10" t="n"/>
      <c r="DZ9" s="11" t="n"/>
      <c r="EA9" s="1" t="inlineStr">
        <is>
          <t xml:space="preserve">RAC_ThinQ_OP01 (EN) </t>
        </is>
      </c>
      <c r="EB9" s="10" t="n"/>
      <c r="EC9" s="10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 t="n"/>
      <c r="EM9" s="11" t="n"/>
    </row>
    <row r="10">
      <c r="A10" s="1" t="inlineStr">
        <is>
          <t>date</t>
        </is>
      </c>
      <c r="B10" s="1" t="inlineStr">
        <is>
          <t>budget</t>
        </is>
      </c>
      <c r="C10" s="1" t="inlineStr">
        <is>
          <t>impressions</t>
        </is>
      </c>
      <c r="D10" s="1" t="inlineStr">
        <is>
          <t>clicks</t>
        </is>
      </c>
      <c r="E10" s="1" t="inlineStr">
        <is>
          <t>view</t>
        </is>
      </c>
      <c r="F10" s="1" t="inlineStr">
        <is>
          <t>percent_25</t>
        </is>
      </c>
      <c r="G10" s="1" t="inlineStr">
        <is>
          <t>percent_50</t>
        </is>
      </c>
      <c r="H10" s="1" t="inlineStr">
        <is>
          <t>percent_75</t>
        </is>
      </c>
      <c r="I10" s="1" t="inlineStr">
        <is>
          <t>percent_100</t>
        </is>
      </c>
      <c r="J10" s="1" t="inlineStr">
        <is>
          <t>CTR</t>
        </is>
      </c>
      <c r="K10" s="1" t="inlineStr">
        <is>
          <t>Spent Budget %</t>
        </is>
      </c>
      <c r="L10" s="1" t="inlineStr">
        <is>
          <t>CPC</t>
        </is>
      </c>
      <c r="M10" s="1" t="inlineStr">
        <is>
          <t>CPV</t>
        </is>
      </c>
      <c r="N10" s="1" t="inlineStr">
        <is>
          <t>date</t>
        </is>
      </c>
      <c r="O10" s="1" t="inlineStr">
        <is>
          <t>budget</t>
        </is>
      </c>
      <c r="P10" s="1" t="inlineStr">
        <is>
          <t>impressions</t>
        </is>
      </c>
      <c r="Q10" s="1" t="inlineStr">
        <is>
          <t>clicks</t>
        </is>
      </c>
      <c r="R10" s="1" t="inlineStr">
        <is>
          <t>view</t>
        </is>
      </c>
      <c r="S10" s="1" t="inlineStr">
        <is>
          <t>percent_25</t>
        </is>
      </c>
      <c r="T10" s="1" t="inlineStr">
        <is>
          <t>percent_50</t>
        </is>
      </c>
      <c r="U10" s="1" t="inlineStr">
        <is>
          <t>percent_75</t>
        </is>
      </c>
      <c r="V10" s="1" t="inlineStr">
        <is>
          <t>percent_100</t>
        </is>
      </c>
      <c r="W10" s="1" t="inlineStr">
        <is>
          <t>CTR</t>
        </is>
      </c>
      <c r="X10" s="1" t="inlineStr">
        <is>
          <t>Spent Budget %</t>
        </is>
      </c>
      <c r="Y10" s="1" t="inlineStr">
        <is>
          <t>CPC</t>
        </is>
      </c>
      <c r="Z10" s="1" t="inlineStr">
        <is>
          <t>CPV</t>
        </is>
      </c>
      <c r="AA10" s="1" t="inlineStr">
        <is>
          <t>date</t>
        </is>
      </c>
      <c r="AB10" s="1" t="inlineStr">
        <is>
          <t>budget</t>
        </is>
      </c>
      <c r="AC10" s="1" t="inlineStr">
        <is>
          <t>impressions</t>
        </is>
      </c>
      <c r="AD10" s="1" t="inlineStr">
        <is>
          <t>clicks</t>
        </is>
      </c>
      <c r="AE10" s="1" t="inlineStr">
        <is>
          <t>view</t>
        </is>
      </c>
      <c r="AF10" s="1" t="inlineStr">
        <is>
          <t>percent_25</t>
        </is>
      </c>
      <c r="AG10" s="1" t="inlineStr">
        <is>
          <t>percent_50</t>
        </is>
      </c>
      <c r="AH10" s="1" t="inlineStr">
        <is>
          <t>percent_75</t>
        </is>
      </c>
      <c r="AI10" s="1" t="inlineStr">
        <is>
          <t>percent_100</t>
        </is>
      </c>
      <c r="AJ10" s="1" t="inlineStr">
        <is>
          <t>CTR</t>
        </is>
      </c>
      <c r="AK10" s="1" t="inlineStr">
        <is>
          <t>Spent Budget %</t>
        </is>
      </c>
      <c r="AL10" s="1" t="inlineStr">
        <is>
          <t>CPC</t>
        </is>
      </c>
      <c r="AM10" s="1" t="inlineStr">
        <is>
          <t>CPV</t>
        </is>
      </c>
      <c r="AN10" s="1" t="inlineStr">
        <is>
          <t>date</t>
        </is>
      </c>
      <c r="AO10" s="1" t="inlineStr">
        <is>
          <t>budget</t>
        </is>
      </c>
      <c r="AP10" s="1" t="inlineStr">
        <is>
          <t>impressions</t>
        </is>
      </c>
      <c r="AQ10" s="1" t="inlineStr">
        <is>
          <t>clicks</t>
        </is>
      </c>
      <c r="AR10" s="1" t="inlineStr">
        <is>
          <t>view</t>
        </is>
      </c>
      <c r="AS10" s="1" t="inlineStr">
        <is>
          <t>percent_25</t>
        </is>
      </c>
      <c r="AT10" s="1" t="inlineStr">
        <is>
          <t>percent_50</t>
        </is>
      </c>
      <c r="AU10" s="1" t="inlineStr">
        <is>
          <t>percent_75</t>
        </is>
      </c>
      <c r="AV10" s="1" t="inlineStr">
        <is>
          <t>percent_100</t>
        </is>
      </c>
      <c r="AW10" s="1" t="inlineStr">
        <is>
          <t>CTR</t>
        </is>
      </c>
      <c r="AX10" s="1" t="inlineStr">
        <is>
          <t>Spent Budget %</t>
        </is>
      </c>
      <c r="AY10" s="1" t="inlineStr">
        <is>
          <t>CPC</t>
        </is>
      </c>
      <c r="AZ10" s="1" t="inlineStr">
        <is>
          <t>CPV</t>
        </is>
      </c>
      <c r="BA10" s="1" t="inlineStr">
        <is>
          <t>date</t>
        </is>
      </c>
      <c r="BB10" s="1" t="inlineStr">
        <is>
          <t>budget</t>
        </is>
      </c>
      <c r="BC10" s="1" t="inlineStr">
        <is>
          <t>impressions</t>
        </is>
      </c>
      <c r="BD10" s="1" t="inlineStr">
        <is>
          <t>clicks</t>
        </is>
      </c>
      <c r="BE10" s="1" t="inlineStr">
        <is>
          <t>view</t>
        </is>
      </c>
      <c r="BF10" s="1" t="inlineStr">
        <is>
          <t>percent_25</t>
        </is>
      </c>
      <c r="BG10" s="1" t="inlineStr">
        <is>
          <t>percent_50</t>
        </is>
      </c>
      <c r="BH10" s="1" t="inlineStr">
        <is>
          <t>percent_75</t>
        </is>
      </c>
      <c r="BI10" s="1" t="inlineStr">
        <is>
          <t>percent_100</t>
        </is>
      </c>
      <c r="BJ10" s="1" t="inlineStr">
        <is>
          <t>CTR</t>
        </is>
      </c>
      <c r="BK10" s="1" t="inlineStr">
        <is>
          <t>Spent Budget %</t>
        </is>
      </c>
      <c r="BL10" s="1" t="inlineStr">
        <is>
          <t>CPC</t>
        </is>
      </c>
      <c r="BM10" s="1" t="inlineStr">
        <is>
          <t>CPV</t>
        </is>
      </c>
      <c r="BN10" s="1" t="inlineStr">
        <is>
          <t>date</t>
        </is>
      </c>
      <c r="BO10" s="1" t="inlineStr">
        <is>
          <t>budget</t>
        </is>
      </c>
      <c r="BP10" s="1" t="inlineStr">
        <is>
          <t>impressions</t>
        </is>
      </c>
      <c r="BQ10" s="1" t="inlineStr">
        <is>
          <t>clicks</t>
        </is>
      </c>
      <c r="BR10" s="1" t="inlineStr">
        <is>
          <t>view</t>
        </is>
      </c>
      <c r="BS10" s="1" t="inlineStr">
        <is>
          <t>percent_25</t>
        </is>
      </c>
      <c r="BT10" s="1" t="inlineStr">
        <is>
          <t>percent_50</t>
        </is>
      </c>
      <c r="BU10" s="1" t="inlineStr">
        <is>
          <t>percent_75</t>
        </is>
      </c>
      <c r="BV10" s="1" t="inlineStr">
        <is>
          <t>percent_100</t>
        </is>
      </c>
      <c r="BW10" s="1" t="inlineStr">
        <is>
          <t>CTR</t>
        </is>
      </c>
      <c r="BX10" s="1" t="inlineStr">
        <is>
          <t>Spent Budget %</t>
        </is>
      </c>
      <c r="BY10" s="1" t="inlineStr">
        <is>
          <t>CPC</t>
        </is>
      </c>
      <c r="BZ10" s="1" t="inlineStr">
        <is>
          <t>CPV</t>
        </is>
      </c>
      <c r="CA10" s="1" t="inlineStr">
        <is>
          <t>date</t>
        </is>
      </c>
      <c r="CB10" s="1" t="inlineStr">
        <is>
          <t>budget</t>
        </is>
      </c>
      <c r="CC10" s="1" t="inlineStr">
        <is>
          <t>impressions</t>
        </is>
      </c>
      <c r="CD10" s="1" t="inlineStr">
        <is>
          <t>clicks</t>
        </is>
      </c>
      <c r="CE10" s="1" t="inlineStr">
        <is>
          <t>view</t>
        </is>
      </c>
      <c r="CF10" s="1" t="inlineStr">
        <is>
          <t>percent_25</t>
        </is>
      </c>
      <c r="CG10" s="1" t="inlineStr">
        <is>
          <t>percent_50</t>
        </is>
      </c>
      <c r="CH10" s="1" t="inlineStr">
        <is>
          <t>percent_75</t>
        </is>
      </c>
      <c r="CI10" s="1" t="inlineStr">
        <is>
          <t>percent_100</t>
        </is>
      </c>
      <c r="CJ10" s="1" t="inlineStr">
        <is>
          <t>CTR</t>
        </is>
      </c>
      <c r="CK10" s="1" t="inlineStr">
        <is>
          <t>Spent Budget %</t>
        </is>
      </c>
      <c r="CL10" s="1" t="inlineStr">
        <is>
          <t>CPC</t>
        </is>
      </c>
      <c r="CM10" s="1" t="inlineStr">
        <is>
          <t>CPV</t>
        </is>
      </c>
      <c r="CN10" s="1" t="inlineStr">
        <is>
          <t>date</t>
        </is>
      </c>
      <c r="CO10" s="1" t="inlineStr">
        <is>
          <t>budget</t>
        </is>
      </c>
      <c r="CP10" s="1" t="inlineStr">
        <is>
          <t>impressions</t>
        </is>
      </c>
      <c r="CQ10" s="1" t="inlineStr">
        <is>
          <t>clicks</t>
        </is>
      </c>
      <c r="CR10" s="1" t="inlineStr">
        <is>
          <t>view</t>
        </is>
      </c>
      <c r="CS10" s="1" t="inlineStr">
        <is>
          <t>percent_25</t>
        </is>
      </c>
      <c r="CT10" s="1" t="inlineStr">
        <is>
          <t>percent_50</t>
        </is>
      </c>
      <c r="CU10" s="1" t="inlineStr">
        <is>
          <t>percent_75</t>
        </is>
      </c>
      <c r="CV10" s="1" t="inlineStr">
        <is>
          <t>percent_100</t>
        </is>
      </c>
      <c r="CW10" s="1" t="inlineStr">
        <is>
          <t>CTR</t>
        </is>
      </c>
      <c r="CX10" s="1" t="inlineStr">
        <is>
          <t>Spent Budget %</t>
        </is>
      </c>
      <c r="CY10" s="1" t="inlineStr">
        <is>
          <t>CPC</t>
        </is>
      </c>
      <c r="CZ10" s="1" t="inlineStr">
        <is>
          <t>CPV</t>
        </is>
      </c>
      <c r="DA10" s="1" t="inlineStr">
        <is>
          <t>date</t>
        </is>
      </c>
      <c r="DB10" s="1" t="inlineStr">
        <is>
          <t>budget</t>
        </is>
      </c>
      <c r="DC10" s="1" t="inlineStr">
        <is>
          <t>impressions</t>
        </is>
      </c>
      <c r="DD10" s="1" t="inlineStr">
        <is>
          <t>clicks</t>
        </is>
      </c>
      <c r="DE10" s="1" t="inlineStr">
        <is>
          <t>view</t>
        </is>
      </c>
      <c r="DF10" s="1" t="inlineStr">
        <is>
          <t>percent_25</t>
        </is>
      </c>
      <c r="DG10" s="1" t="inlineStr">
        <is>
          <t>percent_50</t>
        </is>
      </c>
      <c r="DH10" s="1" t="inlineStr">
        <is>
          <t>percent_75</t>
        </is>
      </c>
      <c r="DI10" s="1" t="inlineStr">
        <is>
          <t>percent_100</t>
        </is>
      </c>
      <c r="DJ10" s="1" t="inlineStr">
        <is>
          <t>CTR</t>
        </is>
      </c>
      <c r="DK10" s="1" t="inlineStr">
        <is>
          <t>Spent Budget %</t>
        </is>
      </c>
      <c r="DL10" s="1" t="inlineStr">
        <is>
          <t>CPC</t>
        </is>
      </c>
      <c r="DM10" s="1" t="inlineStr">
        <is>
          <t>CPV</t>
        </is>
      </c>
      <c r="DN10" s="1" t="inlineStr">
        <is>
          <t>date</t>
        </is>
      </c>
      <c r="DO10" s="1" t="inlineStr">
        <is>
          <t>budget</t>
        </is>
      </c>
      <c r="DP10" s="1" t="inlineStr">
        <is>
          <t>impressions</t>
        </is>
      </c>
      <c r="DQ10" s="1" t="inlineStr">
        <is>
          <t>clicks</t>
        </is>
      </c>
      <c r="DR10" s="1" t="inlineStr">
        <is>
          <t>view</t>
        </is>
      </c>
      <c r="DS10" s="1" t="inlineStr">
        <is>
          <t>percent_25</t>
        </is>
      </c>
      <c r="DT10" s="1" t="inlineStr">
        <is>
          <t>percent_50</t>
        </is>
      </c>
      <c r="DU10" s="1" t="inlineStr">
        <is>
          <t>percent_75</t>
        </is>
      </c>
      <c r="DV10" s="1" t="inlineStr">
        <is>
          <t>percent_100</t>
        </is>
      </c>
      <c r="DW10" s="1" t="inlineStr">
        <is>
          <t>CTR</t>
        </is>
      </c>
      <c r="DX10" s="1" t="inlineStr">
        <is>
          <t>Spent Budget %</t>
        </is>
      </c>
      <c r="DY10" s="1" t="inlineStr">
        <is>
          <t>CPC</t>
        </is>
      </c>
      <c r="DZ10" s="1" t="inlineStr">
        <is>
          <t>CPV</t>
        </is>
      </c>
      <c r="EA10" s="1" t="inlineStr">
        <is>
          <t>date</t>
        </is>
      </c>
      <c r="EB10" s="1" t="inlineStr">
        <is>
          <t>budget</t>
        </is>
      </c>
      <c r="EC10" s="1" t="inlineStr">
        <is>
          <t>impressions</t>
        </is>
      </c>
      <c r="ED10" s="1" t="inlineStr">
        <is>
          <t>clicks</t>
        </is>
      </c>
      <c r="EE10" s="1" t="inlineStr">
        <is>
          <t>view</t>
        </is>
      </c>
      <c r="EF10" s="1" t="inlineStr">
        <is>
          <t>percent_25</t>
        </is>
      </c>
      <c r="EG10" s="1" t="inlineStr">
        <is>
          <t>percent_50</t>
        </is>
      </c>
      <c r="EH10" s="1" t="inlineStr">
        <is>
          <t>percent_75</t>
        </is>
      </c>
      <c r="EI10" s="1" t="inlineStr">
        <is>
          <t>percent_100</t>
        </is>
      </c>
      <c r="EJ10" s="1" t="inlineStr">
        <is>
          <t>CTR</t>
        </is>
      </c>
      <c r="EK10" s="1" t="inlineStr">
        <is>
          <t>Spent Budget %</t>
        </is>
      </c>
      <c r="EL10" s="1" t="inlineStr">
        <is>
          <t>CPC</t>
        </is>
      </c>
      <c r="EM10" s="1" t="inlineStr">
        <is>
          <t>CPV</t>
        </is>
      </c>
    </row>
    <row r="11">
      <c r="A11" s="2" t="inlineStr">
        <is>
          <t>2023-09-20</t>
        </is>
      </c>
      <c r="B11" s="5">
        <f>ROUND(0.0,2)</f>
        <v/>
      </c>
      <c r="C11" s="3">
        <f>ROUND(0.0,2)</f>
        <v/>
      </c>
      <c r="D11" s="3">
        <f>ROUND(0.0,2)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2023-09-20</t>
        </is>
      </c>
      <c r="O11" s="5">
        <f>ROUND(0.0,2)</f>
        <v/>
      </c>
      <c r="P11" s="3">
        <f>ROUND(0.0,2)</f>
        <v/>
      </c>
      <c r="Q11" s="3">
        <f>ROUND(0.0,2)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2023-09-20</t>
        </is>
      </c>
      <c r="AB11" s="5">
        <f>ROUND(0.0,2)</f>
        <v/>
      </c>
      <c r="AC11" s="3">
        <f>ROUND(0.0,2)</f>
        <v/>
      </c>
      <c r="AD11" s="3">
        <f>ROUND(0.0,2)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2023-09-20</t>
        </is>
      </c>
      <c r="AO11" s="5">
        <f>ROUND(0.0,2)</f>
        <v/>
      </c>
      <c r="AP11" s="3">
        <f>ROUND(0.0,2)</f>
        <v/>
      </c>
      <c r="AQ11" s="3">
        <f>ROUND(0.0,2)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2023-09-20</t>
        </is>
      </c>
      <c r="BB11" s="5">
        <f>ROUND(0.0,2)</f>
        <v/>
      </c>
      <c r="BC11" s="3">
        <f>ROUND(0.0,2)</f>
        <v/>
      </c>
      <c r="BD11" s="3">
        <f>ROUND(0.0,2)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2023-09-20</t>
        </is>
      </c>
      <c r="BO11" s="5">
        <f>ROUND(0.0,2)</f>
        <v/>
      </c>
      <c r="BP11" s="3">
        <f>ROUND(0.0,2)</f>
        <v/>
      </c>
      <c r="BQ11" s="3">
        <f>ROUND(0.0,2)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2023-09-20</t>
        </is>
      </c>
      <c r="CB11" s="5">
        <f>ROUND(0.0,2)</f>
        <v/>
      </c>
      <c r="CC11" s="3">
        <f>ROUND(0.0,2)</f>
        <v/>
      </c>
      <c r="CD11" s="3">
        <f>ROUND(0.0,2)</f>
        <v/>
      </c>
      <c r="CE11" s="3">
        <f>ROUND(0.0,2)</f>
        <v/>
      </c>
      <c r="CF11" s="3">
        <f>ROUND(0.0,2)</f>
        <v/>
      </c>
      <c r="CG11" s="3">
        <f>ROUND(0.0,2)</f>
        <v/>
      </c>
      <c r="CH11" s="3">
        <f>ROUND(0.0,2)</f>
        <v/>
      </c>
      <c r="CI11" s="3">
        <f>ROUND(0.0,2)</f>
        <v/>
      </c>
      <c r="CJ11" s="4">
        <f>IFERROR((CD11/CC11),0)</f>
        <v/>
      </c>
      <c r="CK11" s="4">
        <f>IFERROR(((0+CB11)/T2),0)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2023-09-20</t>
        </is>
      </c>
      <c r="CO11" s="5">
        <f>ROUND(0.0,2)</f>
        <v/>
      </c>
      <c r="CP11" s="3">
        <f>ROUND(0.0,2)</f>
        <v/>
      </c>
      <c r="CQ11" s="3">
        <f>ROUND(0.0,2)</f>
        <v/>
      </c>
      <c r="CR11" s="3">
        <f>ROUND(0.0,2)</f>
        <v/>
      </c>
      <c r="CS11" s="3">
        <f>ROUND(0.0,2)</f>
        <v/>
      </c>
      <c r="CT11" s="3">
        <f>ROUND(0.0,2)</f>
        <v/>
      </c>
      <c r="CU11" s="3">
        <f>ROUND(0.0,2)</f>
        <v/>
      </c>
      <c r="CV11" s="3">
        <f>ROUND(0.0,2)</f>
        <v/>
      </c>
      <c r="CW11" s="4">
        <f>IFERROR((CQ11/CP11),0)</f>
        <v/>
      </c>
      <c r="CX11" s="4">
        <f>IFERROR(((0+CO11)/T2),0)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2023-09-20</t>
        </is>
      </c>
      <c r="DB11" s="5">
        <f>ROUND(0.0,2)</f>
        <v/>
      </c>
      <c r="DC11" s="3">
        <f>ROUND(0.0,2)</f>
        <v/>
      </c>
      <c r="DD11" s="3">
        <f>ROUND(0.0,2)</f>
        <v/>
      </c>
      <c r="DE11" s="3">
        <f>ROUND(0.0,2)</f>
        <v/>
      </c>
      <c r="DF11" s="3">
        <f>ROUND(0.0,2)</f>
        <v/>
      </c>
      <c r="DG11" s="3">
        <f>ROUND(0.0,2)</f>
        <v/>
      </c>
      <c r="DH11" s="3">
        <f>ROUND(0.0,2)</f>
        <v/>
      </c>
      <c r="DI11" s="3">
        <f>ROUND(0.0,2)</f>
        <v/>
      </c>
      <c r="DJ11" s="4">
        <f>IFERROR((DD11/DC11),0)</f>
        <v/>
      </c>
      <c r="DK11" s="4">
        <f>IFERROR(((0+DB11)/T2),0)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2023-09-20</t>
        </is>
      </c>
      <c r="DO11" s="5">
        <f>ROUND(0.0,2)</f>
        <v/>
      </c>
      <c r="DP11" s="3">
        <f>ROUND(0.0,2)</f>
        <v/>
      </c>
      <c r="DQ11" s="3">
        <f>ROUND(0.0,2)</f>
        <v/>
      </c>
      <c r="DR11" s="3">
        <f>ROUND(0.0,2)</f>
        <v/>
      </c>
      <c r="DS11" s="3">
        <f>ROUND(0.0,2)</f>
        <v/>
      </c>
      <c r="DT11" s="3">
        <f>ROUND(0.0,2)</f>
        <v/>
      </c>
      <c r="DU11" s="3">
        <f>ROUND(0.0,2)</f>
        <v/>
      </c>
      <c r="DV11" s="3">
        <f>ROUND(0.0,2)</f>
        <v/>
      </c>
      <c r="DW11" s="4">
        <f>IFERROR((DQ11/DP11),0)</f>
        <v/>
      </c>
      <c r="DX11" s="4">
        <f>IFERROR(((0+DO11)/T2),0)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2023-09-20</t>
        </is>
      </c>
      <c r="EB11" s="5">
        <f>ROUND(0.0,2)</f>
        <v/>
      </c>
      <c r="EC11" s="3">
        <f>ROUND(0.0,2)</f>
        <v/>
      </c>
      <c r="ED11" s="3">
        <f>ROUND(0.0,2)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IFERROR(((0+EB11)/T2),0)</f>
        <v/>
      </c>
      <c r="EL11" s="5">
        <f>IFERROR(ROUND(EB11/ED11,2),0)</f>
        <v/>
      </c>
      <c r="EM11" s="5">
        <f>IFERROR(ROUND(EB11/EE11,2),0)</f>
        <v/>
      </c>
    </row>
    <row r="12">
      <c r="A12" s="2" t="inlineStr">
        <is>
          <t>2023-09-21</t>
        </is>
      </c>
      <c r="B12" s="5">
        <f>ROUND(0.0,2)</f>
        <v/>
      </c>
      <c r="C12" s="3">
        <f>ROUND(0.0,2)</f>
        <v/>
      </c>
      <c r="D12" s="3">
        <f>ROUND(0.0,2)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2023-09-21</t>
        </is>
      </c>
      <c r="O12" s="5">
        <f>ROUND(0.0,2)</f>
        <v/>
      </c>
      <c r="P12" s="3">
        <f>ROUND(0.0,2)</f>
        <v/>
      </c>
      <c r="Q12" s="3">
        <f>ROUND(0.0,2)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2023-09-21</t>
        </is>
      </c>
      <c r="AB12" s="5">
        <f>ROUND(0.0,2)</f>
        <v/>
      </c>
      <c r="AC12" s="3">
        <f>ROUND(0.0,2)</f>
        <v/>
      </c>
      <c r="AD12" s="3">
        <f>ROUND(0.0,2)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2023-09-21</t>
        </is>
      </c>
      <c r="AO12" s="5">
        <f>ROUND(0.0,2)</f>
        <v/>
      </c>
      <c r="AP12" s="3">
        <f>ROUND(0.0,2)</f>
        <v/>
      </c>
      <c r="AQ12" s="3">
        <f>ROUND(0.0,2)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2023-09-21</t>
        </is>
      </c>
      <c r="BB12" s="5">
        <f>ROUND(0.0,2)</f>
        <v/>
      </c>
      <c r="BC12" s="3">
        <f>ROUND(0.0,2)</f>
        <v/>
      </c>
      <c r="BD12" s="3">
        <f>ROUND(0.0,2)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2023-09-21</t>
        </is>
      </c>
      <c r="BO12" s="5">
        <f>ROUND(0.0,2)</f>
        <v/>
      </c>
      <c r="BP12" s="3">
        <f>ROUND(0.0,2)</f>
        <v/>
      </c>
      <c r="BQ12" s="3">
        <f>ROUND(0.0,2)</f>
        <v/>
      </c>
      <c r="BR12" s="3">
        <f>ROUND(0.0,2)</f>
        <v/>
      </c>
      <c r="BS12" s="3">
        <f>ROUND(0.0,2)</f>
        <v/>
      </c>
      <c r="BT12" s="3">
        <f>ROUND(0.0,2)</f>
        <v/>
      </c>
      <c r="BU12" s="3">
        <f>ROUND(0.0,2)</f>
        <v/>
      </c>
      <c r="BV12" s="3">
        <f>ROUND(0.0,2)</f>
        <v/>
      </c>
      <c r="BW12" s="4">
        <f>IFERROR((BQ12/BP12),0)</f>
        <v/>
      </c>
      <c r="BX12" s="4">
        <f>IFERROR(((0+BO11+BO12)/T2),0)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2023-09-21</t>
        </is>
      </c>
      <c r="CB12" s="5">
        <f>ROUND(0.0,2)</f>
        <v/>
      </c>
      <c r="CC12" s="3">
        <f>ROUND(0.0,2)</f>
        <v/>
      </c>
      <c r="CD12" s="3">
        <f>ROUND(0.0,2)</f>
        <v/>
      </c>
      <c r="CE12" s="3">
        <f>ROUND(0.0,2)</f>
        <v/>
      </c>
      <c r="CF12" s="3">
        <f>ROUND(0.0,2)</f>
        <v/>
      </c>
      <c r="CG12" s="3">
        <f>ROUND(0.0,2)</f>
        <v/>
      </c>
      <c r="CH12" s="3">
        <f>ROUND(0.0,2)</f>
        <v/>
      </c>
      <c r="CI12" s="3">
        <f>ROUND(0.0,2)</f>
        <v/>
      </c>
      <c r="CJ12" s="4">
        <f>IFERROR((CD12/CC12),0)</f>
        <v/>
      </c>
      <c r="CK12" s="4">
        <f>IFERROR(((0+CB11+CB12)/T2),0)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2023-09-21</t>
        </is>
      </c>
      <c r="CO12" s="5">
        <f>ROUND(0.0,2)</f>
        <v/>
      </c>
      <c r="CP12" s="3">
        <f>ROUND(0.0,2)</f>
        <v/>
      </c>
      <c r="CQ12" s="3">
        <f>ROUND(0.0,2)</f>
        <v/>
      </c>
      <c r="CR12" s="3">
        <f>ROUND(0.0,2)</f>
        <v/>
      </c>
      <c r="CS12" s="3">
        <f>ROUND(0.0,2)</f>
        <v/>
      </c>
      <c r="CT12" s="3">
        <f>ROUND(0.0,2)</f>
        <v/>
      </c>
      <c r="CU12" s="3">
        <f>ROUND(0.0,2)</f>
        <v/>
      </c>
      <c r="CV12" s="3">
        <f>ROUND(0.0,2)</f>
        <v/>
      </c>
      <c r="CW12" s="4">
        <f>IFERROR((CQ12/CP12),0)</f>
        <v/>
      </c>
      <c r="CX12" s="4">
        <f>IFERROR(((0+CO11+CO12)/T2),0)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2023-09-21</t>
        </is>
      </c>
      <c r="DB12" s="5">
        <f>ROUND(0.0,2)</f>
        <v/>
      </c>
      <c r="DC12" s="3">
        <f>ROUND(0.0,2)</f>
        <v/>
      </c>
      <c r="DD12" s="3">
        <f>ROUND(0.0,2)</f>
        <v/>
      </c>
      <c r="DE12" s="3">
        <f>ROUND(0.0,2)</f>
        <v/>
      </c>
      <c r="DF12" s="3">
        <f>ROUND(0.0,2)</f>
        <v/>
      </c>
      <c r="DG12" s="3">
        <f>ROUND(0.0,2)</f>
        <v/>
      </c>
      <c r="DH12" s="3">
        <f>ROUND(0.0,2)</f>
        <v/>
      </c>
      <c r="DI12" s="3">
        <f>ROUND(0.0,2)</f>
        <v/>
      </c>
      <c r="DJ12" s="4">
        <f>IFERROR((DD12/DC12),0)</f>
        <v/>
      </c>
      <c r="DK12" s="4">
        <f>IFERROR(((0+DB11+DB12)/T2),0)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2023-09-21</t>
        </is>
      </c>
      <c r="DO12" s="5">
        <f>ROUND(0.0,2)</f>
        <v/>
      </c>
      <c r="DP12" s="3">
        <f>ROUND(0.0,2)</f>
        <v/>
      </c>
      <c r="DQ12" s="3">
        <f>ROUND(0.0,2)</f>
        <v/>
      </c>
      <c r="DR12" s="3">
        <f>ROUND(0.0,2)</f>
        <v/>
      </c>
      <c r="DS12" s="3">
        <f>ROUND(0.0,2)</f>
        <v/>
      </c>
      <c r="DT12" s="3">
        <f>ROUND(0.0,2)</f>
        <v/>
      </c>
      <c r="DU12" s="3">
        <f>ROUND(0.0,2)</f>
        <v/>
      </c>
      <c r="DV12" s="3">
        <f>ROUND(0.0,2)</f>
        <v/>
      </c>
      <c r="DW12" s="4">
        <f>IFERROR((DQ12/DP12),0)</f>
        <v/>
      </c>
      <c r="DX12" s="4">
        <f>IFERROR(((0+DO11+DO12)/T2),0)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2023-09-21</t>
        </is>
      </c>
      <c r="EB12" s="5">
        <f>ROUND(0.0,2)</f>
        <v/>
      </c>
      <c r="EC12" s="3">
        <f>ROUND(0.0,2)</f>
        <v/>
      </c>
      <c r="ED12" s="3">
        <f>ROUND(0.0,2)</f>
        <v/>
      </c>
      <c r="EE12" s="3">
        <f>ROUND(0.0,2)</f>
        <v/>
      </c>
      <c r="EF12" s="3">
        <f>ROUND(0.0,2)</f>
        <v/>
      </c>
      <c r="EG12" s="3">
        <f>ROUND(0.0,2)</f>
        <v/>
      </c>
      <c r="EH12" s="3">
        <f>ROUND(0.0,2)</f>
        <v/>
      </c>
      <c r="EI12" s="3">
        <f>ROUND(0.0,2)</f>
        <v/>
      </c>
      <c r="EJ12" s="4">
        <f>IFERROR((ED12/EC12),0)</f>
        <v/>
      </c>
      <c r="EK12" s="4">
        <f>IFERROR(((0+EB11+EB12)/T2),0)</f>
        <v/>
      </c>
      <c r="EL12" s="5">
        <f>IFERROR(ROUND(EB12/ED12,2),0)</f>
        <v/>
      </c>
      <c r="EM12" s="5">
        <f>IFERROR(ROUND(EB12/EE12,2),0)</f>
        <v/>
      </c>
    </row>
    <row r="13">
      <c r="A13" s="2" t="inlineStr">
        <is>
          <t>2023-09-22</t>
        </is>
      </c>
      <c r="B13" s="5">
        <f>ROUND(0.0,2)</f>
        <v/>
      </c>
      <c r="C13" s="3">
        <f>ROUND(0.0,2)</f>
        <v/>
      </c>
      <c r="D13" s="3">
        <f>ROUND(0.0,2)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2023-09-22</t>
        </is>
      </c>
      <c r="O13" s="5">
        <f>ROUND(0.0,2)</f>
        <v/>
      </c>
      <c r="P13" s="3">
        <f>ROUND(0.0,2)</f>
        <v/>
      </c>
      <c r="Q13" s="3">
        <f>ROUND(0.0,2)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2023-09-22</t>
        </is>
      </c>
      <c r="AB13" s="5">
        <f>ROUND(0.0,2)</f>
        <v/>
      </c>
      <c r="AC13" s="3">
        <f>ROUND(0.0,2)</f>
        <v/>
      </c>
      <c r="AD13" s="3">
        <f>ROUND(0.0,2)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2023-09-22</t>
        </is>
      </c>
      <c r="AO13" s="5">
        <f>ROUND(0.0,2)</f>
        <v/>
      </c>
      <c r="AP13" s="3">
        <f>ROUND(0.0,2)</f>
        <v/>
      </c>
      <c r="AQ13" s="3">
        <f>ROUND(0.0,2)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2023-09-22</t>
        </is>
      </c>
      <c r="BB13" s="5">
        <f>ROUND(0.0,2)</f>
        <v/>
      </c>
      <c r="BC13" s="3">
        <f>ROUND(0.0,2)</f>
        <v/>
      </c>
      <c r="BD13" s="3">
        <f>ROUND(0.0,2)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2023-09-22</t>
        </is>
      </c>
      <c r="BO13" s="5">
        <f>ROUND(0.0,2)</f>
        <v/>
      </c>
      <c r="BP13" s="3">
        <f>ROUND(0.0,2)</f>
        <v/>
      </c>
      <c r="BQ13" s="3">
        <f>ROUND(0.0,2)</f>
        <v/>
      </c>
      <c r="BR13" s="3">
        <f>ROUND(0.0,2)</f>
        <v/>
      </c>
      <c r="BS13" s="3">
        <f>ROUND(0.0,2)</f>
        <v/>
      </c>
      <c r="BT13" s="3">
        <f>ROUND(0.0,2)</f>
        <v/>
      </c>
      <c r="BU13" s="3">
        <f>ROUND(0.0,2)</f>
        <v/>
      </c>
      <c r="BV13" s="3">
        <f>ROUND(0.0,2)</f>
        <v/>
      </c>
      <c r="BW13" s="4">
        <f>IFERROR((BQ13/BP13),0)</f>
        <v/>
      </c>
      <c r="BX13" s="4">
        <f>IFERROR(((0+BO11+BO12+BO13)/T2),0)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2023-09-22</t>
        </is>
      </c>
      <c r="CB13" s="5">
        <f>ROUND(0.0,2)</f>
        <v/>
      </c>
      <c r="CC13" s="3">
        <f>ROUND(0.0,2)</f>
        <v/>
      </c>
      <c r="CD13" s="3">
        <f>ROUND(0.0,2)</f>
        <v/>
      </c>
      <c r="CE13" s="3">
        <f>ROUND(0.0,2)</f>
        <v/>
      </c>
      <c r="CF13" s="3">
        <f>ROUND(0.0,2)</f>
        <v/>
      </c>
      <c r="CG13" s="3">
        <f>ROUND(0.0,2)</f>
        <v/>
      </c>
      <c r="CH13" s="3">
        <f>ROUND(0.0,2)</f>
        <v/>
      </c>
      <c r="CI13" s="3">
        <f>ROUND(0.0,2)</f>
        <v/>
      </c>
      <c r="CJ13" s="4">
        <f>IFERROR((CD13/CC13),0)</f>
        <v/>
      </c>
      <c r="CK13" s="4">
        <f>IFERROR(((0+CB11+CB12+CB13)/T2),0)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2023-09-22</t>
        </is>
      </c>
      <c r="CO13" s="5">
        <f>ROUND(0.0,2)</f>
        <v/>
      </c>
      <c r="CP13" s="3">
        <f>ROUND(0.0,2)</f>
        <v/>
      </c>
      <c r="CQ13" s="3">
        <f>ROUND(0.0,2)</f>
        <v/>
      </c>
      <c r="CR13" s="3">
        <f>ROUND(0.0,2)</f>
        <v/>
      </c>
      <c r="CS13" s="3">
        <f>ROUND(0.0,2)</f>
        <v/>
      </c>
      <c r="CT13" s="3">
        <f>ROUND(0.0,2)</f>
        <v/>
      </c>
      <c r="CU13" s="3">
        <f>ROUND(0.0,2)</f>
        <v/>
      </c>
      <c r="CV13" s="3">
        <f>ROUND(0.0,2)</f>
        <v/>
      </c>
      <c r="CW13" s="4">
        <f>IFERROR((CQ13/CP13),0)</f>
        <v/>
      </c>
      <c r="CX13" s="4">
        <f>IFERROR(((0+CO11+CO12+CO13)/T2),0)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2023-09-22</t>
        </is>
      </c>
      <c r="DB13" s="5">
        <f>ROUND(0.0,2)</f>
        <v/>
      </c>
      <c r="DC13" s="3">
        <f>ROUND(0.0,2)</f>
        <v/>
      </c>
      <c r="DD13" s="3">
        <f>ROUND(0.0,2)</f>
        <v/>
      </c>
      <c r="DE13" s="3">
        <f>ROUND(0.0,2)</f>
        <v/>
      </c>
      <c r="DF13" s="3">
        <f>ROUND(0.0,2)</f>
        <v/>
      </c>
      <c r="DG13" s="3">
        <f>ROUND(0.0,2)</f>
        <v/>
      </c>
      <c r="DH13" s="3">
        <f>ROUND(0.0,2)</f>
        <v/>
      </c>
      <c r="DI13" s="3">
        <f>ROUND(0.0,2)</f>
        <v/>
      </c>
      <c r="DJ13" s="4">
        <f>IFERROR((DD13/DC13),0)</f>
        <v/>
      </c>
      <c r="DK13" s="4">
        <f>IFERROR(((0+DB11+DB12+DB13)/T2),0)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2023-09-22</t>
        </is>
      </c>
      <c r="DO13" s="5">
        <f>ROUND(0.0,2)</f>
        <v/>
      </c>
      <c r="DP13" s="3">
        <f>ROUND(0.0,2)</f>
        <v/>
      </c>
      <c r="DQ13" s="3">
        <f>ROUND(0.0,2)</f>
        <v/>
      </c>
      <c r="DR13" s="3">
        <f>ROUND(0.0,2)</f>
        <v/>
      </c>
      <c r="DS13" s="3">
        <f>ROUND(0.0,2)</f>
        <v/>
      </c>
      <c r="DT13" s="3">
        <f>ROUND(0.0,2)</f>
        <v/>
      </c>
      <c r="DU13" s="3">
        <f>ROUND(0.0,2)</f>
        <v/>
      </c>
      <c r="DV13" s="3">
        <f>ROUND(0.0,2)</f>
        <v/>
      </c>
      <c r="DW13" s="4">
        <f>IFERROR((DQ13/DP13),0)</f>
        <v/>
      </c>
      <c r="DX13" s="4">
        <f>IFERROR(((0+DO11+DO12+DO13)/T2),0)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2023-09-22</t>
        </is>
      </c>
      <c r="EB13" s="5">
        <f>ROUND(0.0,2)</f>
        <v/>
      </c>
      <c r="EC13" s="3">
        <f>ROUND(0.0,2)</f>
        <v/>
      </c>
      <c r="ED13" s="3">
        <f>ROUND(0.0,2)</f>
        <v/>
      </c>
      <c r="EE13" s="3">
        <f>ROUND(0.0,2)</f>
        <v/>
      </c>
      <c r="EF13" s="3">
        <f>ROUND(0.0,2)</f>
        <v/>
      </c>
      <c r="EG13" s="3">
        <f>ROUND(0.0,2)</f>
        <v/>
      </c>
      <c r="EH13" s="3">
        <f>ROUND(0.0,2)</f>
        <v/>
      </c>
      <c r="EI13" s="3">
        <f>ROUND(0.0,2)</f>
        <v/>
      </c>
      <c r="EJ13" s="4">
        <f>IFERROR((ED13/EC13),0)</f>
        <v/>
      </c>
      <c r="EK13" s="4">
        <f>IFERROR(((0+EB11+EB12+EB13)/T2),0)</f>
        <v/>
      </c>
      <c r="EL13" s="5">
        <f>IFERROR(ROUND(EB13/ED13,2),0)</f>
        <v/>
      </c>
      <c r="EM13" s="5">
        <f>IFERROR(ROUND(EB13/EE13,2),0)</f>
        <v/>
      </c>
    </row>
    <row r="14">
      <c r="A14" s="2" t="inlineStr">
        <is>
          <t>2023-09-23</t>
        </is>
      </c>
      <c r="B14" s="5">
        <f>ROUND(0.0,2)</f>
        <v/>
      </c>
      <c r="C14" s="3">
        <f>ROUND(0.0,2)</f>
        <v/>
      </c>
      <c r="D14" s="3">
        <f>ROUND(0.0,2)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2023-09-23</t>
        </is>
      </c>
      <c r="O14" s="5">
        <f>ROUND(0.0,2)</f>
        <v/>
      </c>
      <c r="P14" s="3">
        <f>ROUND(0.0,2)</f>
        <v/>
      </c>
      <c r="Q14" s="3">
        <f>ROUND(0.0,2)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2023-09-23</t>
        </is>
      </c>
      <c r="AB14" s="5">
        <f>ROUND(0.0,2)</f>
        <v/>
      </c>
      <c r="AC14" s="3">
        <f>ROUND(0.0,2)</f>
        <v/>
      </c>
      <c r="AD14" s="3">
        <f>ROUND(0.0,2)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2023-09-23</t>
        </is>
      </c>
      <c r="AO14" s="5">
        <f>ROUND(0.0,2)</f>
        <v/>
      </c>
      <c r="AP14" s="3">
        <f>ROUND(0.0,2)</f>
        <v/>
      </c>
      <c r="AQ14" s="3">
        <f>ROUND(0.0,2)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2023-09-23</t>
        </is>
      </c>
      <c r="BB14" s="5">
        <f>ROUND(0.0,2)</f>
        <v/>
      </c>
      <c r="BC14" s="3">
        <f>ROUND(0.0,2)</f>
        <v/>
      </c>
      <c r="BD14" s="3">
        <f>ROUND(0.0,2)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2023-09-23</t>
        </is>
      </c>
      <c r="BO14" s="5">
        <f>ROUND(0.0,2)</f>
        <v/>
      </c>
      <c r="BP14" s="3">
        <f>ROUND(0.0,2)</f>
        <v/>
      </c>
      <c r="BQ14" s="3">
        <f>ROUND(0.0,2)</f>
        <v/>
      </c>
      <c r="BR14" s="3">
        <f>ROUND(0.0,2)</f>
        <v/>
      </c>
      <c r="BS14" s="3">
        <f>ROUND(0.0,2)</f>
        <v/>
      </c>
      <c r="BT14" s="3">
        <f>ROUND(0.0,2)</f>
        <v/>
      </c>
      <c r="BU14" s="3">
        <f>ROUND(0.0,2)</f>
        <v/>
      </c>
      <c r="BV14" s="3">
        <f>ROUND(0.0,2)</f>
        <v/>
      </c>
      <c r="BW14" s="4">
        <f>IFERROR((BQ14/BP14),0)</f>
        <v/>
      </c>
      <c r="BX14" s="4">
        <f>IFERROR(((0+BO11+BO12+BO13+BO14)/T2),0)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2023-09-23</t>
        </is>
      </c>
      <c r="CB14" s="5">
        <f>ROUND(0.0,2)</f>
        <v/>
      </c>
      <c r="CC14" s="3">
        <f>ROUND(0.0,2)</f>
        <v/>
      </c>
      <c r="CD14" s="3">
        <f>ROUND(0.0,2)</f>
        <v/>
      </c>
      <c r="CE14" s="3">
        <f>ROUND(0.0,2)</f>
        <v/>
      </c>
      <c r="CF14" s="3">
        <f>ROUND(0.0,2)</f>
        <v/>
      </c>
      <c r="CG14" s="3">
        <f>ROUND(0.0,2)</f>
        <v/>
      </c>
      <c r="CH14" s="3">
        <f>ROUND(0.0,2)</f>
        <v/>
      </c>
      <c r="CI14" s="3">
        <f>ROUND(0.0,2)</f>
        <v/>
      </c>
      <c r="CJ14" s="4">
        <f>IFERROR((CD14/CC14),0)</f>
        <v/>
      </c>
      <c r="CK14" s="4">
        <f>IFERROR(((0+CB11+CB12+CB13+CB14)/T2),0)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2023-09-23</t>
        </is>
      </c>
      <c r="CO14" s="5">
        <f>ROUND(0.0,2)</f>
        <v/>
      </c>
      <c r="CP14" s="3">
        <f>ROUND(0.0,2)</f>
        <v/>
      </c>
      <c r="CQ14" s="3">
        <f>ROUND(0.0,2)</f>
        <v/>
      </c>
      <c r="CR14" s="3">
        <f>ROUND(0.0,2)</f>
        <v/>
      </c>
      <c r="CS14" s="3">
        <f>ROUND(0.0,2)</f>
        <v/>
      </c>
      <c r="CT14" s="3">
        <f>ROUND(0.0,2)</f>
        <v/>
      </c>
      <c r="CU14" s="3">
        <f>ROUND(0.0,2)</f>
        <v/>
      </c>
      <c r="CV14" s="3">
        <f>ROUND(0.0,2)</f>
        <v/>
      </c>
      <c r="CW14" s="4">
        <f>IFERROR((CQ14/CP14),0)</f>
        <v/>
      </c>
      <c r="CX14" s="4">
        <f>IFERROR(((0+CO11+CO12+CO13+CO14)/T2),0)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2023-09-23</t>
        </is>
      </c>
      <c r="DB14" s="5">
        <f>ROUND(0.0,2)</f>
        <v/>
      </c>
      <c r="DC14" s="3">
        <f>ROUND(0.0,2)</f>
        <v/>
      </c>
      <c r="DD14" s="3">
        <f>ROUND(0.0,2)</f>
        <v/>
      </c>
      <c r="DE14" s="3">
        <f>ROUND(0.0,2)</f>
        <v/>
      </c>
      <c r="DF14" s="3">
        <f>ROUND(0.0,2)</f>
        <v/>
      </c>
      <c r="DG14" s="3">
        <f>ROUND(0.0,2)</f>
        <v/>
      </c>
      <c r="DH14" s="3">
        <f>ROUND(0.0,2)</f>
        <v/>
      </c>
      <c r="DI14" s="3">
        <f>ROUND(0.0,2)</f>
        <v/>
      </c>
      <c r="DJ14" s="4">
        <f>IFERROR((DD14/DC14),0)</f>
        <v/>
      </c>
      <c r="DK14" s="4">
        <f>IFERROR(((0+DB11+DB12+DB13+DB14)/T2),0)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2023-09-23</t>
        </is>
      </c>
      <c r="DO14" s="5">
        <f>ROUND(0.0,2)</f>
        <v/>
      </c>
      <c r="DP14" s="3">
        <f>ROUND(0.0,2)</f>
        <v/>
      </c>
      <c r="DQ14" s="3">
        <f>ROUND(0.0,2)</f>
        <v/>
      </c>
      <c r="DR14" s="3">
        <f>ROUND(0.0,2)</f>
        <v/>
      </c>
      <c r="DS14" s="3">
        <f>ROUND(0.0,2)</f>
        <v/>
      </c>
      <c r="DT14" s="3">
        <f>ROUND(0.0,2)</f>
        <v/>
      </c>
      <c r="DU14" s="3">
        <f>ROUND(0.0,2)</f>
        <v/>
      </c>
      <c r="DV14" s="3">
        <f>ROUND(0.0,2)</f>
        <v/>
      </c>
      <c r="DW14" s="4">
        <f>IFERROR((DQ14/DP14),0)</f>
        <v/>
      </c>
      <c r="DX14" s="4">
        <f>IFERROR(((0+DO11+DO12+DO13+DO14)/T2),0)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2023-09-23</t>
        </is>
      </c>
      <c r="EB14" s="5">
        <f>ROUND(0.0,2)</f>
        <v/>
      </c>
      <c r="EC14" s="3">
        <f>ROUND(0.0,2)</f>
        <v/>
      </c>
      <c r="ED14" s="3">
        <f>ROUND(0.0,2)</f>
        <v/>
      </c>
      <c r="EE14" s="3">
        <f>ROUND(0.0,2)</f>
        <v/>
      </c>
      <c r="EF14" s="3">
        <f>ROUND(0.0,2)</f>
        <v/>
      </c>
      <c r="EG14" s="3">
        <f>ROUND(0.0,2)</f>
        <v/>
      </c>
      <c r="EH14" s="3">
        <f>ROUND(0.0,2)</f>
        <v/>
      </c>
      <c r="EI14" s="3">
        <f>ROUND(0.0,2)</f>
        <v/>
      </c>
      <c r="EJ14" s="4">
        <f>IFERROR((ED14/EC14),0)</f>
        <v/>
      </c>
      <c r="EK14" s="4">
        <f>IFERROR(((0+EB11+EB12+EB13+EB14)/T2),0)</f>
        <v/>
      </c>
      <c r="EL14" s="5">
        <f>IFERROR(ROUND(EB14/ED14,2),0)</f>
        <v/>
      </c>
      <c r="EM14" s="5">
        <f>IFERROR(ROUND(EB14/EE14,2),0)</f>
        <v/>
      </c>
    </row>
    <row r="15">
      <c r="A15" s="2" t="inlineStr">
        <is>
          <t>2023-09-24</t>
        </is>
      </c>
      <c r="B15" s="5">
        <f>ROUND(0.0,2)</f>
        <v/>
      </c>
      <c r="C15" s="3">
        <f>ROUND(0.0,2)</f>
        <v/>
      </c>
      <c r="D15" s="3">
        <f>ROUND(0.0,2)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2023-09-24</t>
        </is>
      </c>
      <c r="O15" s="5">
        <f>ROUND(0.0,2)</f>
        <v/>
      </c>
      <c r="P15" s="3">
        <f>ROUND(0.0,2)</f>
        <v/>
      </c>
      <c r="Q15" s="3">
        <f>ROUND(0.0,2)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2023-09-24</t>
        </is>
      </c>
      <c r="AB15" s="5">
        <f>ROUND(0.0,2)</f>
        <v/>
      </c>
      <c r="AC15" s="3">
        <f>ROUND(0.0,2)</f>
        <v/>
      </c>
      <c r="AD15" s="3">
        <f>ROUND(0.0,2)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2023-09-24</t>
        </is>
      </c>
      <c r="AO15" s="5">
        <f>ROUND(0.0,2)</f>
        <v/>
      </c>
      <c r="AP15" s="3">
        <f>ROUND(0.0,2)</f>
        <v/>
      </c>
      <c r="AQ15" s="3">
        <f>ROUND(0.0,2)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2023-09-24</t>
        </is>
      </c>
      <c r="BB15" s="5">
        <f>ROUND(0.0,2)</f>
        <v/>
      </c>
      <c r="BC15" s="3">
        <f>ROUND(0.0,2)</f>
        <v/>
      </c>
      <c r="BD15" s="3">
        <f>ROUND(0.0,2)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2023-09-24</t>
        </is>
      </c>
      <c r="BO15" s="5">
        <f>ROUND(0.0,2)</f>
        <v/>
      </c>
      <c r="BP15" s="3">
        <f>ROUND(0.0,2)</f>
        <v/>
      </c>
      <c r="BQ15" s="3">
        <f>ROUND(0.0,2)</f>
        <v/>
      </c>
      <c r="BR15" s="3">
        <f>ROUND(0.0,2)</f>
        <v/>
      </c>
      <c r="BS15" s="3">
        <f>ROUND(0.0,2)</f>
        <v/>
      </c>
      <c r="BT15" s="3">
        <f>ROUND(0.0,2)</f>
        <v/>
      </c>
      <c r="BU15" s="3">
        <f>ROUND(0.0,2)</f>
        <v/>
      </c>
      <c r="BV15" s="3">
        <f>ROUND(0.0,2)</f>
        <v/>
      </c>
      <c r="BW15" s="4">
        <f>IFERROR((BQ15/BP15),0)</f>
        <v/>
      </c>
      <c r="BX15" s="4">
        <f>IFERROR(((0+BO11+BO12+BO13+BO14+BO15)/T2),0)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2023-09-24</t>
        </is>
      </c>
      <c r="CB15" s="5">
        <f>ROUND(0.0,2)</f>
        <v/>
      </c>
      <c r="CC15" s="3">
        <f>ROUND(0.0,2)</f>
        <v/>
      </c>
      <c r="CD15" s="3">
        <f>ROUND(0.0,2)</f>
        <v/>
      </c>
      <c r="CE15" s="3">
        <f>ROUND(0.0,2)</f>
        <v/>
      </c>
      <c r="CF15" s="3">
        <f>ROUND(0.0,2)</f>
        <v/>
      </c>
      <c r="CG15" s="3">
        <f>ROUND(0.0,2)</f>
        <v/>
      </c>
      <c r="CH15" s="3">
        <f>ROUND(0.0,2)</f>
        <v/>
      </c>
      <c r="CI15" s="3">
        <f>ROUND(0.0,2)</f>
        <v/>
      </c>
      <c r="CJ15" s="4">
        <f>IFERROR((CD15/CC15),0)</f>
        <v/>
      </c>
      <c r="CK15" s="4">
        <f>IFERROR(((0+CB11+CB12+CB13+CB14+CB15)/T2),0)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2023-09-24</t>
        </is>
      </c>
      <c r="CO15" s="5">
        <f>ROUND(0.0,2)</f>
        <v/>
      </c>
      <c r="CP15" s="3">
        <f>ROUND(0.0,2)</f>
        <v/>
      </c>
      <c r="CQ15" s="3">
        <f>ROUND(0.0,2)</f>
        <v/>
      </c>
      <c r="CR15" s="3">
        <f>ROUND(0.0,2)</f>
        <v/>
      </c>
      <c r="CS15" s="3">
        <f>ROUND(0.0,2)</f>
        <v/>
      </c>
      <c r="CT15" s="3">
        <f>ROUND(0.0,2)</f>
        <v/>
      </c>
      <c r="CU15" s="3">
        <f>ROUND(0.0,2)</f>
        <v/>
      </c>
      <c r="CV15" s="3">
        <f>ROUND(0.0,2)</f>
        <v/>
      </c>
      <c r="CW15" s="4">
        <f>IFERROR((CQ15/CP15),0)</f>
        <v/>
      </c>
      <c r="CX15" s="4">
        <f>IFERROR(((0+CO11+CO12+CO13+CO14+CO15)/T2),0)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2023-09-24</t>
        </is>
      </c>
      <c r="DB15" s="5">
        <f>ROUND(0.0,2)</f>
        <v/>
      </c>
      <c r="DC15" s="3">
        <f>ROUND(0.0,2)</f>
        <v/>
      </c>
      <c r="DD15" s="3">
        <f>ROUND(0.0,2)</f>
        <v/>
      </c>
      <c r="DE15" s="3">
        <f>ROUND(0.0,2)</f>
        <v/>
      </c>
      <c r="DF15" s="3">
        <f>ROUND(0.0,2)</f>
        <v/>
      </c>
      <c r="DG15" s="3">
        <f>ROUND(0.0,2)</f>
        <v/>
      </c>
      <c r="DH15" s="3">
        <f>ROUND(0.0,2)</f>
        <v/>
      </c>
      <c r="DI15" s="3">
        <f>ROUND(0.0,2)</f>
        <v/>
      </c>
      <c r="DJ15" s="4">
        <f>IFERROR((DD15/DC15),0)</f>
        <v/>
      </c>
      <c r="DK15" s="4">
        <f>IFERROR(((0+DB11+DB12+DB13+DB14+DB15)/T2),0)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2023-09-24</t>
        </is>
      </c>
      <c r="DO15" s="5">
        <f>ROUND(0.0,2)</f>
        <v/>
      </c>
      <c r="DP15" s="3">
        <f>ROUND(0.0,2)</f>
        <v/>
      </c>
      <c r="DQ15" s="3">
        <f>ROUND(0.0,2)</f>
        <v/>
      </c>
      <c r="DR15" s="3">
        <f>ROUND(0.0,2)</f>
        <v/>
      </c>
      <c r="DS15" s="3">
        <f>ROUND(0.0,2)</f>
        <v/>
      </c>
      <c r="DT15" s="3">
        <f>ROUND(0.0,2)</f>
        <v/>
      </c>
      <c r="DU15" s="3">
        <f>ROUND(0.0,2)</f>
        <v/>
      </c>
      <c r="DV15" s="3">
        <f>ROUND(0.0,2)</f>
        <v/>
      </c>
      <c r="DW15" s="4">
        <f>IFERROR((DQ15/DP15),0)</f>
        <v/>
      </c>
      <c r="DX15" s="4">
        <f>IFERROR(((0+DO11+DO12+DO13+DO14+DO15)/T2),0)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2023-09-24</t>
        </is>
      </c>
      <c r="EB15" s="5">
        <f>ROUND(0.0,2)</f>
        <v/>
      </c>
      <c r="EC15" s="3">
        <f>ROUND(0.0,2)</f>
        <v/>
      </c>
      <c r="ED15" s="3">
        <f>ROUND(0.0,2)</f>
        <v/>
      </c>
      <c r="EE15" s="3">
        <f>ROUND(0.0,2)</f>
        <v/>
      </c>
      <c r="EF15" s="3">
        <f>ROUND(0.0,2)</f>
        <v/>
      </c>
      <c r="EG15" s="3">
        <f>ROUND(0.0,2)</f>
        <v/>
      </c>
      <c r="EH15" s="3">
        <f>ROUND(0.0,2)</f>
        <v/>
      </c>
      <c r="EI15" s="3">
        <f>ROUND(0.0,2)</f>
        <v/>
      </c>
      <c r="EJ15" s="4">
        <f>IFERROR((ED15/EC15),0)</f>
        <v/>
      </c>
      <c r="EK15" s="4">
        <f>IFERROR(((0+EB11+EB12+EB13+EB14+EB15)/T2),0)</f>
        <v/>
      </c>
      <c r="EL15" s="5">
        <f>IFERROR(ROUND(EB15/ED15,2),0)</f>
        <v/>
      </c>
      <c r="EM15" s="5">
        <f>IFERROR(ROUND(EB15/EE15,2),0)</f>
        <v/>
      </c>
    </row>
    <row r="16">
      <c r="A16" s="2" t="inlineStr">
        <is>
          <t>2023-09-25</t>
        </is>
      </c>
      <c r="B16" s="5">
        <f>ROUND(0.0,2)</f>
        <v/>
      </c>
      <c r="C16" s="3">
        <f>ROUND(0.0,2)</f>
        <v/>
      </c>
      <c r="D16" s="3">
        <f>ROUND(0.0,2)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2023-09-25</t>
        </is>
      </c>
      <c r="O16" s="5">
        <f>ROUND(0.0,2)</f>
        <v/>
      </c>
      <c r="P16" s="3">
        <f>ROUND(0.0,2)</f>
        <v/>
      </c>
      <c r="Q16" s="3">
        <f>ROUND(0.0,2)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2023-09-25</t>
        </is>
      </c>
      <c r="AB16" s="5">
        <f>ROUND(0.0,2)</f>
        <v/>
      </c>
      <c r="AC16" s="3">
        <f>ROUND(0.0,2)</f>
        <v/>
      </c>
      <c r="AD16" s="3">
        <f>ROUND(0.0,2)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2023-09-25</t>
        </is>
      </c>
      <c r="AO16" s="5">
        <f>ROUND(0.0,2)</f>
        <v/>
      </c>
      <c r="AP16" s="3">
        <f>ROUND(0.0,2)</f>
        <v/>
      </c>
      <c r="AQ16" s="3">
        <f>ROUND(0.0,2)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2023-09-25</t>
        </is>
      </c>
      <c r="BB16" s="5">
        <f>ROUND(0.0,2)</f>
        <v/>
      </c>
      <c r="BC16" s="3">
        <f>ROUND(0.0,2)</f>
        <v/>
      </c>
      <c r="BD16" s="3">
        <f>ROUND(0.0,2)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2023-09-25</t>
        </is>
      </c>
      <c r="BO16" s="5">
        <f>ROUND(0.0,2)</f>
        <v/>
      </c>
      <c r="BP16" s="3">
        <f>ROUND(0.0,2)</f>
        <v/>
      </c>
      <c r="BQ16" s="3">
        <f>ROUND(0.0,2)</f>
        <v/>
      </c>
      <c r="BR16" s="3">
        <f>ROUND(0.0,2)</f>
        <v/>
      </c>
      <c r="BS16" s="3">
        <f>ROUND(0.0,2)</f>
        <v/>
      </c>
      <c r="BT16" s="3">
        <f>ROUND(0.0,2)</f>
        <v/>
      </c>
      <c r="BU16" s="3">
        <f>ROUND(0.0,2)</f>
        <v/>
      </c>
      <c r="BV16" s="3">
        <f>ROUND(0.0,2)</f>
        <v/>
      </c>
      <c r="BW16" s="4">
        <f>IFERROR((BQ16/BP16),0)</f>
        <v/>
      </c>
      <c r="BX16" s="4">
        <f>IFERROR(((0+BO11+BO12+BO13+BO14+BO15+BO16)/T2),0)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2023-09-25</t>
        </is>
      </c>
      <c r="CB16" s="5">
        <f>ROUND(0.0,2)</f>
        <v/>
      </c>
      <c r="CC16" s="3">
        <f>ROUND(0.0,2)</f>
        <v/>
      </c>
      <c r="CD16" s="3">
        <f>ROUND(0.0,2)</f>
        <v/>
      </c>
      <c r="CE16" s="3">
        <f>ROUND(0.0,2)</f>
        <v/>
      </c>
      <c r="CF16" s="3">
        <f>ROUND(0.0,2)</f>
        <v/>
      </c>
      <c r="CG16" s="3">
        <f>ROUND(0.0,2)</f>
        <v/>
      </c>
      <c r="CH16" s="3">
        <f>ROUND(0.0,2)</f>
        <v/>
      </c>
      <c r="CI16" s="3">
        <f>ROUND(0.0,2)</f>
        <v/>
      </c>
      <c r="CJ16" s="4">
        <f>IFERROR((CD16/CC16),0)</f>
        <v/>
      </c>
      <c r="CK16" s="4">
        <f>IFERROR(((0+CB11+CB12+CB13+CB14+CB15+CB16)/T2),0)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2023-09-25</t>
        </is>
      </c>
      <c r="CO16" s="5">
        <f>ROUND(0.0,2)</f>
        <v/>
      </c>
      <c r="CP16" s="3">
        <f>ROUND(0.0,2)</f>
        <v/>
      </c>
      <c r="CQ16" s="3">
        <f>ROUND(0.0,2)</f>
        <v/>
      </c>
      <c r="CR16" s="3">
        <f>ROUND(0.0,2)</f>
        <v/>
      </c>
      <c r="CS16" s="3">
        <f>ROUND(0.0,2)</f>
        <v/>
      </c>
      <c r="CT16" s="3">
        <f>ROUND(0.0,2)</f>
        <v/>
      </c>
      <c r="CU16" s="3">
        <f>ROUND(0.0,2)</f>
        <v/>
      </c>
      <c r="CV16" s="3">
        <f>ROUND(0.0,2)</f>
        <v/>
      </c>
      <c r="CW16" s="4">
        <f>IFERROR((CQ16/CP16),0)</f>
        <v/>
      </c>
      <c r="CX16" s="4">
        <f>IFERROR(((0+CO11+CO12+CO13+CO14+CO15+CO16)/T2),0)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2023-09-25</t>
        </is>
      </c>
      <c r="DB16" s="5">
        <f>ROUND(0.0,2)</f>
        <v/>
      </c>
      <c r="DC16" s="3">
        <f>ROUND(0.0,2)</f>
        <v/>
      </c>
      <c r="DD16" s="3">
        <f>ROUND(0.0,2)</f>
        <v/>
      </c>
      <c r="DE16" s="3">
        <f>ROUND(0.0,2)</f>
        <v/>
      </c>
      <c r="DF16" s="3">
        <f>ROUND(0.0,2)</f>
        <v/>
      </c>
      <c r="DG16" s="3">
        <f>ROUND(0.0,2)</f>
        <v/>
      </c>
      <c r="DH16" s="3">
        <f>ROUND(0.0,2)</f>
        <v/>
      </c>
      <c r="DI16" s="3">
        <f>ROUND(0.0,2)</f>
        <v/>
      </c>
      <c r="DJ16" s="4">
        <f>IFERROR((DD16/DC16),0)</f>
        <v/>
      </c>
      <c r="DK16" s="4">
        <f>IFERROR(((0+DB11+DB12+DB13+DB14+DB15+DB16)/T2),0)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2023-09-25</t>
        </is>
      </c>
      <c r="DO16" s="5">
        <f>ROUND(0.0,2)</f>
        <v/>
      </c>
      <c r="DP16" s="3">
        <f>ROUND(0.0,2)</f>
        <v/>
      </c>
      <c r="DQ16" s="3">
        <f>ROUND(0.0,2)</f>
        <v/>
      </c>
      <c r="DR16" s="3">
        <f>ROUND(0.0,2)</f>
        <v/>
      </c>
      <c r="DS16" s="3">
        <f>ROUND(0.0,2)</f>
        <v/>
      </c>
      <c r="DT16" s="3">
        <f>ROUND(0.0,2)</f>
        <v/>
      </c>
      <c r="DU16" s="3">
        <f>ROUND(0.0,2)</f>
        <v/>
      </c>
      <c r="DV16" s="3">
        <f>ROUND(0.0,2)</f>
        <v/>
      </c>
      <c r="DW16" s="4">
        <f>IFERROR((DQ16/DP16),0)</f>
        <v/>
      </c>
      <c r="DX16" s="4">
        <f>IFERROR(((0+DO11+DO12+DO13+DO14+DO15+DO16)/T2),0)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2023-09-25</t>
        </is>
      </c>
      <c r="EB16" s="5">
        <f>ROUND(0.0,2)</f>
        <v/>
      </c>
      <c r="EC16" s="3">
        <f>ROUND(0.0,2)</f>
        <v/>
      </c>
      <c r="ED16" s="3">
        <f>ROUND(0.0,2)</f>
        <v/>
      </c>
      <c r="EE16" s="3">
        <f>ROUND(0.0,2)</f>
        <v/>
      </c>
      <c r="EF16" s="3">
        <f>ROUND(0.0,2)</f>
        <v/>
      </c>
      <c r="EG16" s="3">
        <f>ROUND(0.0,2)</f>
        <v/>
      </c>
      <c r="EH16" s="3">
        <f>ROUND(0.0,2)</f>
        <v/>
      </c>
      <c r="EI16" s="3">
        <f>ROUND(0.0,2)</f>
        <v/>
      </c>
      <c r="EJ16" s="4">
        <f>IFERROR((ED16/EC16),0)</f>
        <v/>
      </c>
      <c r="EK16" s="4">
        <f>IFERROR(((0+EB11+EB12+EB13+EB14+EB15+EB16)/T2),0)</f>
        <v/>
      </c>
      <c r="EL16" s="5">
        <f>IFERROR(ROUND(EB16/ED16,2),0)</f>
        <v/>
      </c>
      <c r="EM16" s="5">
        <f>IFERROR(ROUND(EB16/EE16,2),0)</f>
        <v/>
      </c>
    </row>
    <row r="17">
      <c r="A17" s="2" t="inlineStr">
        <is>
          <t>2023-09-26</t>
        </is>
      </c>
      <c r="B17" s="5">
        <f>ROUND(0.0,2)</f>
        <v/>
      </c>
      <c r="C17" s="3">
        <f>ROUND(0.0,2)</f>
        <v/>
      </c>
      <c r="D17" s="3">
        <f>ROUND(0.0,2)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IFERROR(((0+B11+B12+B13+B14+B15+B16+B17)/T2),0)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2023-09-26</t>
        </is>
      </c>
      <c r="O17" s="5">
        <f>ROUND(0.0,2)</f>
        <v/>
      </c>
      <c r="P17" s="3">
        <f>ROUND(0.0,2)</f>
        <v/>
      </c>
      <c r="Q17" s="3">
        <f>ROUND(0.0,2)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IFERROR(((0+O11+O12+O13+O14+O15+O16+O17)/T2),0)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2023-09-26</t>
        </is>
      </c>
      <c r="AB17" s="5">
        <f>ROUND(0.0,2)</f>
        <v/>
      </c>
      <c r="AC17" s="3">
        <f>ROUND(0.0,2)</f>
        <v/>
      </c>
      <c r="AD17" s="3">
        <f>ROUND(0.0,2)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IFERROR(((0+AB11+AB12+AB13+AB14+AB15+AB16+AB17)/T2),0)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2023-09-26</t>
        </is>
      </c>
      <c r="AO17" s="5">
        <f>ROUND(0.0,2)</f>
        <v/>
      </c>
      <c r="AP17" s="3">
        <f>ROUND(0.0,2)</f>
        <v/>
      </c>
      <c r="AQ17" s="3">
        <f>ROUND(0.0,2)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IFERROR(((0+AO11+AO12+AO13+AO14+AO15+AO16+AO17)/T2),0)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2023-09-26</t>
        </is>
      </c>
      <c r="BB17" s="5">
        <f>ROUND(0.0,2)</f>
        <v/>
      </c>
      <c r="BC17" s="3">
        <f>ROUND(0.0,2)</f>
        <v/>
      </c>
      <c r="BD17" s="3">
        <f>ROUND(0.0,2)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IFERROR(((0+BB11+BB12+BB13+BB14+BB15+BB16+BB17)/T2),0)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2023-09-26</t>
        </is>
      </c>
      <c r="BO17" s="5">
        <f>ROUND(0.0,2)</f>
        <v/>
      </c>
      <c r="BP17" s="3">
        <f>ROUND(0.0,2)</f>
        <v/>
      </c>
      <c r="BQ17" s="3">
        <f>ROUND(0.0,2)</f>
        <v/>
      </c>
      <c r="BR17" s="3">
        <f>ROUND(0.0,2)</f>
        <v/>
      </c>
      <c r="BS17" s="3">
        <f>ROUND(0.0,2)</f>
        <v/>
      </c>
      <c r="BT17" s="3">
        <f>ROUND(0.0,2)</f>
        <v/>
      </c>
      <c r="BU17" s="3">
        <f>ROUND(0.0,2)</f>
        <v/>
      </c>
      <c r="BV17" s="3">
        <f>ROUND(0.0,2)</f>
        <v/>
      </c>
      <c r="BW17" s="4">
        <f>IFERROR((BQ17/BP17),0)</f>
        <v/>
      </c>
      <c r="BX17" s="4">
        <f>IFERROR(((0+BO11+BO12+BO13+BO14+BO15+BO16+BO17)/T2),0)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2023-09-26</t>
        </is>
      </c>
      <c r="CB17" s="5">
        <f>ROUND(0.0,2)</f>
        <v/>
      </c>
      <c r="CC17" s="3">
        <f>ROUND(0.0,2)</f>
        <v/>
      </c>
      <c r="CD17" s="3">
        <f>ROUND(0.0,2)</f>
        <v/>
      </c>
      <c r="CE17" s="3">
        <f>ROUND(0.0,2)</f>
        <v/>
      </c>
      <c r="CF17" s="3">
        <f>ROUND(0.0,2)</f>
        <v/>
      </c>
      <c r="CG17" s="3">
        <f>ROUND(0.0,2)</f>
        <v/>
      </c>
      <c r="CH17" s="3">
        <f>ROUND(0.0,2)</f>
        <v/>
      </c>
      <c r="CI17" s="3">
        <f>ROUND(0.0,2)</f>
        <v/>
      </c>
      <c r="CJ17" s="4">
        <f>IFERROR((CD17/CC17),0)</f>
        <v/>
      </c>
      <c r="CK17" s="4">
        <f>IFERROR(((0+CB11+CB12+CB13+CB14+CB15+CB16+CB17)/T2),0)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2023-09-26</t>
        </is>
      </c>
      <c r="CO17" s="5">
        <f>ROUND(0.0,2)</f>
        <v/>
      </c>
      <c r="CP17" s="3">
        <f>ROUND(0.0,2)</f>
        <v/>
      </c>
      <c r="CQ17" s="3">
        <f>ROUND(0.0,2)</f>
        <v/>
      </c>
      <c r="CR17" s="3">
        <f>ROUND(0.0,2)</f>
        <v/>
      </c>
      <c r="CS17" s="3">
        <f>ROUND(0.0,2)</f>
        <v/>
      </c>
      <c r="CT17" s="3">
        <f>ROUND(0.0,2)</f>
        <v/>
      </c>
      <c r="CU17" s="3">
        <f>ROUND(0.0,2)</f>
        <v/>
      </c>
      <c r="CV17" s="3">
        <f>ROUND(0.0,2)</f>
        <v/>
      </c>
      <c r="CW17" s="4">
        <f>IFERROR((CQ17/CP17),0)</f>
        <v/>
      </c>
      <c r="CX17" s="4">
        <f>IFERROR(((0+CO11+CO12+CO13+CO14+CO15+CO16+CO17)/T2),0)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2023-09-26</t>
        </is>
      </c>
      <c r="DB17" s="5">
        <f>ROUND(0.0,2)</f>
        <v/>
      </c>
      <c r="DC17" s="3">
        <f>ROUND(0.0,2)</f>
        <v/>
      </c>
      <c r="DD17" s="3">
        <f>ROUND(0.0,2)</f>
        <v/>
      </c>
      <c r="DE17" s="3">
        <f>ROUND(0.0,2)</f>
        <v/>
      </c>
      <c r="DF17" s="3">
        <f>ROUND(0.0,2)</f>
        <v/>
      </c>
      <c r="DG17" s="3">
        <f>ROUND(0.0,2)</f>
        <v/>
      </c>
      <c r="DH17" s="3">
        <f>ROUND(0.0,2)</f>
        <v/>
      </c>
      <c r="DI17" s="3">
        <f>ROUND(0.0,2)</f>
        <v/>
      </c>
      <c r="DJ17" s="4">
        <f>IFERROR((DD17/DC17),0)</f>
        <v/>
      </c>
      <c r="DK17" s="4">
        <f>IFERROR(((0+DB11+DB12+DB13+DB14+DB15+DB16+DB17)/T2),0)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2023-09-26</t>
        </is>
      </c>
      <c r="DO17" s="5">
        <f>ROUND(0.0,2)</f>
        <v/>
      </c>
      <c r="DP17" s="3">
        <f>ROUND(0.0,2)</f>
        <v/>
      </c>
      <c r="DQ17" s="3">
        <f>ROUND(0.0,2)</f>
        <v/>
      </c>
      <c r="DR17" s="3">
        <f>ROUND(0.0,2)</f>
        <v/>
      </c>
      <c r="DS17" s="3">
        <f>ROUND(0.0,2)</f>
        <v/>
      </c>
      <c r="DT17" s="3">
        <f>ROUND(0.0,2)</f>
        <v/>
      </c>
      <c r="DU17" s="3">
        <f>ROUND(0.0,2)</f>
        <v/>
      </c>
      <c r="DV17" s="3">
        <f>ROUND(0.0,2)</f>
        <v/>
      </c>
      <c r="DW17" s="4">
        <f>IFERROR((DQ17/DP17),0)</f>
        <v/>
      </c>
      <c r="DX17" s="4">
        <f>IFERROR(((0+DO11+DO12+DO13+DO14+DO15+DO16+DO17)/T2),0)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2023-09-26</t>
        </is>
      </c>
      <c r="EB17" s="5">
        <f>ROUND(0.0,2)</f>
        <v/>
      </c>
      <c r="EC17" s="3">
        <f>ROUND(0.0,2)</f>
        <v/>
      </c>
      <c r="ED17" s="3">
        <f>ROUND(0.0,2)</f>
        <v/>
      </c>
      <c r="EE17" s="3">
        <f>ROUND(0.0,2)</f>
        <v/>
      </c>
      <c r="EF17" s="3">
        <f>ROUND(0.0,2)</f>
        <v/>
      </c>
      <c r="EG17" s="3">
        <f>ROUND(0.0,2)</f>
        <v/>
      </c>
      <c r="EH17" s="3">
        <f>ROUND(0.0,2)</f>
        <v/>
      </c>
      <c r="EI17" s="3">
        <f>ROUND(0.0,2)</f>
        <v/>
      </c>
      <c r="EJ17" s="4">
        <f>IFERROR((ED17/EC17),0)</f>
        <v/>
      </c>
      <c r="EK17" s="4">
        <f>IFERROR(((0+EB11+EB12+EB13+EB14+EB15+EB16+EB17)/T2),0)</f>
        <v/>
      </c>
      <c r="EL17" s="5">
        <f>IFERROR(ROUND(EB17/ED17,2),0)</f>
        <v/>
      </c>
      <c r="EM17" s="5">
        <f>IFERROR(ROUND(EB17/EE17,2),0)</f>
        <v/>
      </c>
    </row>
    <row r="18">
      <c r="A18" s="2" t="inlineStr">
        <is>
          <t>1 Weekly Total</t>
        </is>
      </c>
      <c r="B18" s="5">
        <f>ROUND(0.0,2)</f>
        <v/>
      </c>
      <c r="C18" s="3">
        <f>ROUND(0.0,2)</f>
        <v/>
      </c>
      <c r="D18" s="3">
        <f>ROUND(0.0,2)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IFERROR(((0+B11+B12+B13+B14+B15+B16+B17)/T2),0)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1 Weekly Total</t>
        </is>
      </c>
      <c r="O18" s="5">
        <f>ROUND(0.0,2)</f>
        <v/>
      </c>
      <c r="P18" s="3">
        <f>ROUND(0.0,2)</f>
        <v/>
      </c>
      <c r="Q18" s="3">
        <f>ROUND(0.0,2)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IFERROR(((0+O11+O12+O13+O14+O15+O16+O17)/T2),0)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1 Weekly Total</t>
        </is>
      </c>
      <c r="AB18" s="5">
        <f>ROUND(0.0,2)</f>
        <v/>
      </c>
      <c r="AC18" s="3">
        <f>ROUND(0.0,2)</f>
        <v/>
      </c>
      <c r="AD18" s="3">
        <f>ROUND(0.0,2)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IFERROR(((0+AB11+AB12+AB13+AB14+AB15+AB16+AB17)/T2),0)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1 Weekly Total</t>
        </is>
      </c>
      <c r="AO18" s="5">
        <f>ROUND(0.0,2)</f>
        <v/>
      </c>
      <c r="AP18" s="3">
        <f>ROUND(0.0,2)</f>
        <v/>
      </c>
      <c r="AQ18" s="3">
        <f>ROUND(0.0,2)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IFERROR(((0+AO11+AO12+AO13+AO14+AO15+AO16+AO17)/T2),0)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1 Weekly Total</t>
        </is>
      </c>
      <c r="BB18" s="5">
        <f>ROUND(0.0,2)</f>
        <v/>
      </c>
      <c r="BC18" s="3">
        <f>ROUND(0.0,2)</f>
        <v/>
      </c>
      <c r="BD18" s="3">
        <f>ROUND(0.0,2)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IFERROR(((0+BB11+BB12+BB13+BB14+BB15+BB16+BB17)/T2),0)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1 Weekly Total</t>
        </is>
      </c>
      <c r="BO18" s="5">
        <f>ROUND(0.0,2)</f>
        <v/>
      </c>
      <c r="BP18" s="3">
        <f>ROUND(0.0,2)</f>
        <v/>
      </c>
      <c r="BQ18" s="3">
        <f>ROUND(0.0,2)</f>
        <v/>
      </c>
      <c r="BR18" s="3">
        <f>ROUND(0.0,2)</f>
        <v/>
      </c>
      <c r="BS18" s="3">
        <f>ROUND(0.0,2)</f>
        <v/>
      </c>
      <c r="BT18" s="3">
        <f>ROUND(0.0,2)</f>
        <v/>
      </c>
      <c r="BU18" s="3">
        <f>ROUND(0.0,2)</f>
        <v/>
      </c>
      <c r="BV18" s="3">
        <f>ROUND(0.0,2)</f>
        <v/>
      </c>
      <c r="BW18" s="4">
        <f>IFERROR((BQ18/BP18),0)</f>
        <v/>
      </c>
      <c r="BX18" s="4">
        <f>IFERROR(((0+BO11+BO12+BO13+BO14+BO15+BO16+BO17)/T2),0)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1 Weekly Total</t>
        </is>
      </c>
      <c r="CB18" s="5">
        <f>ROUND(0.0,2)</f>
        <v/>
      </c>
      <c r="CC18" s="3">
        <f>ROUND(0.0,2)</f>
        <v/>
      </c>
      <c r="CD18" s="3">
        <f>ROUND(0.0,2)</f>
        <v/>
      </c>
      <c r="CE18" s="3">
        <f>ROUND(0.0,2)</f>
        <v/>
      </c>
      <c r="CF18" s="3">
        <f>ROUND(0.0,2)</f>
        <v/>
      </c>
      <c r="CG18" s="3">
        <f>ROUND(0.0,2)</f>
        <v/>
      </c>
      <c r="CH18" s="3">
        <f>ROUND(0.0,2)</f>
        <v/>
      </c>
      <c r="CI18" s="3">
        <f>ROUND(0.0,2)</f>
        <v/>
      </c>
      <c r="CJ18" s="4">
        <f>IFERROR((CD18/CC18),0)</f>
        <v/>
      </c>
      <c r="CK18" s="4">
        <f>IFERROR(((0+CB11+CB12+CB13+CB14+CB15+CB16+CB17)/T2),0)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1 Weekly Total</t>
        </is>
      </c>
      <c r="CO18" s="5">
        <f>ROUND(0.0,2)</f>
        <v/>
      </c>
      <c r="CP18" s="3">
        <f>ROUND(0.0,2)</f>
        <v/>
      </c>
      <c r="CQ18" s="3">
        <f>ROUND(0.0,2)</f>
        <v/>
      </c>
      <c r="CR18" s="3">
        <f>ROUND(0.0,2)</f>
        <v/>
      </c>
      <c r="CS18" s="3">
        <f>ROUND(0.0,2)</f>
        <v/>
      </c>
      <c r="CT18" s="3">
        <f>ROUND(0.0,2)</f>
        <v/>
      </c>
      <c r="CU18" s="3">
        <f>ROUND(0.0,2)</f>
        <v/>
      </c>
      <c r="CV18" s="3">
        <f>ROUND(0.0,2)</f>
        <v/>
      </c>
      <c r="CW18" s="4">
        <f>IFERROR((CQ18/CP18),0)</f>
        <v/>
      </c>
      <c r="CX18" s="4">
        <f>IFERROR(((0+CO11+CO12+CO13+CO14+CO15+CO16+CO17)/T2),0)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1 Weekly Total</t>
        </is>
      </c>
      <c r="DB18" s="5">
        <f>ROUND(0.0,2)</f>
        <v/>
      </c>
      <c r="DC18" s="3">
        <f>ROUND(0.0,2)</f>
        <v/>
      </c>
      <c r="DD18" s="3">
        <f>ROUND(0.0,2)</f>
        <v/>
      </c>
      <c r="DE18" s="3">
        <f>ROUND(0.0,2)</f>
        <v/>
      </c>
      <c r="DF18" s="3">
        <f>ROUND(0.0,2)</f>
        <v/>
      </c>
      <c r="DG18" s="3">
        <f>ROUND(0.0,2)</f>
        <v/>
      </c>
      <c r="DH18" s="3">
        <f>ROUND(0.0,2)</f>
        <v/>
      </c>
      <c r="DI18" s="3">
        <f>ROUND(0.0,2)</f>
        <v/>
      </c>
      <c r="DJ18" s="4">
        <f>IFERROR((DD18/DC18),0)</f>
        <v/>
      </c>
      <c r="DK18" s="4">
        <f>IFERROR(((0+DB11+DB12+DB13+DB14+DB15+DB16+DB17)/T2),0)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1 Weekly Total</t>
        </is>
      </c>
      <c r="DO18" s="5">
        <f>ROUND(0.0,2)</f>
        <v/>
      </c>
      <c r="DP18" s="3">
        <f>ROUND(0.0,2)</f>
        <v/>
      </c>
      <c r="DQ18" s="3">
        <f>ROUND(0.0,2)</f>
        <v/>
      </c>
      <c r="DR18" s="3">
        <f>ROUND(0.0,2)</f>
        <v/>
      </c>
      <c r="DS18" s="3">
        <f>ROUND(0.0,2)</f>
        <v/>
      </c>
      <c r="DT18" s="3">
        <f>ROUND(0.0,2)</f>
        <v/>
      </c>
      <c r="DU18" s="3">
        <f>ROUND(0.0,2)</f>
        <v/>
      </c>
      <c r="DV18" s="3">
        <f>ROUND(0.0,2)</f>
        <v/>
      </c>
      <c r="DW18" s="4">
        <f>IFERROR((DQ18/DP18),0)</f>
        <v/>
      </c>
      <c r="DX18" s="4">
        <f>IFERROR(((0+DO11+DO12+DO13+DO14+DO15+DO16+DO17)/T2),0)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1 Weekly Total</t>
        </is>
      </c>
      <c r="EB18" s="5">
        <f>ROUND(0.0,2)</f>
        <v/>
      </c>
      <c r="EC18" s="3">
        <f>ROUND(0.0,2)</f>
        <v/>
      </c>
      <c r="ED18" s="3">
        <f>ROUND(0.0,2)</f>
        <v/>
      </c>
      <c r="EE18" s="3">
        <f>ROUND(0.0,2)</f>
        <v/>
      </c>
      <c r="EF18" s="3">
        <f>ROUND(0.0,2)</f>
        <v/>
      </c>
      <c r="EG18" s="3">
        <f>ROUND(0.0,2)</f>
        <v/>
      </c>
      <c r="EH18" s="3">
        <f>ROUND(0.0,2)</f>
        <v/>
      </c>
      <c r="EI18" s="3">
        <f>ROUND(0.0,2)</f>
        <v/>
      </c>
      <c r="EJ18" s="4">
        <f>IFERROR((ED18/EC18),0)</f>
        <v/>
      </c>
      <c r="EK18" s="4">
        <f>IFERROR(((0+EB11+EB12+EB13+EB14+EB15+EB16+EB17)/T2),0)</f>
        <v/>
      </c>
      <c r="EL18" s="5">
        <f>IFERROR(ROUND(EB18/ED18,2),0)</f>
        <v/>
      </c>
      <c r="EM18" s="5">
        <f>IFERROR(ROUND(EB18/EE18,2),0)</f>
        <v/>
      </c>
    </row>
    <row r="19">
      <c r="A19" s="2" t="inlineStr">
        <is>
          <t>2023-09-27</t>
        </is>
      </c>
      <c r="B19" s="5">
        <f>ROUND(0.0,2)</f>
        <v/>
      </c>
      <c r="C19" s="3">
        <f>ROUND(0.0,2)</f>
        <v/>
      </c>
      <c r="D19" s="3">
        <f>ROUND(0.0,2)</f>
        <v/>
      </c>
      <c r="E19" s="3">
        <f>ROUND(0.0,2)</f>
        <v/>
      </c>
      <c r="F19" s="3">
        <f>ROUND(0.0,2)</f>
        <v/>
      </c>
      <c r="G19" s="3">
        <f>ROUND(0.0,2)</f>
        <v/>
      </c>
      <c r="H19" s="3">
        <f>ROUND(0.0,2)</f>
        <v/>
      </c>
      <c r="I19" s="3">
        <f>ROUND(0.0,2)</f>
        <v/>
      </c>
      <c r="J19" s="4">
        <f>IFERROR((D19/C19),0)</f>
        <v/>
      </c>
      <c r="K19" s="4">
        <f>IFERROR(((0+B11+B12+B13+B14+B15+B16+B17+B19)/T2),0)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2023-09-27</t>
        </is>
      </c>
      <c r="O19" s="5">
        <f>ROUND(0.0,2)</f>
        <v/>
      </c>
      <c r="P19" s="3">
        <f>ROUND(0.0,2)</f>
        <v/>
      </c>
      <c r="Q19" s="3">
        <f>ROUND(0.0,2)</f>
        <v/>
      </c>
      <c r="R19" s="3">
        <f>ROUND(0.0,2)</f>
        <v/>
      </c>
      <c r="S19" s="3">
        <f>ROUND(0.0,2)</f>
        <v/>
      </c>
      <c r="T19" s="3">
        <f>ROUND(0.0,2)</f>
        <v/>
      </c>
      <c r="U19" s="3">
        <f>ROUND(0.0,2)</f>
        <v/>
      </c>
      <c r="V19" s="3">
        <f>ROUND(0.0,2)</f>
        <v/>
      </c>
      <c r="W19" s="4">
        <f>IFERROR((Q19/P19),0)</f>
        <v/>
      </c>
      <c r="X19" s="4">
        <f>IFERROR(((0+O11+O12+O13+O14+O15+O16+O17+O19)/T2),0)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2023-09-27</t>
        </is>
      </c>
      <c r="AB19" s="5">
        <f>ROUND(0.0,2)</f>
        <v/>
      </c>
      <c r="AC19" s="3">
        <f>ROUND(0.0,2)</f>
        <v/>
      </c>
      <c r="AD19" s="3">
        <f>ROUND(0.0,2)</f>
        <v/>
      </c>
      <c r="AE19" s="3">
        <f>ROUND(0.0,2)</f>
        <v/>
      </c>
      <c r="AF19" s="3">
        <f>ROUND(0.0,2)</f>
        <v/>
      </c>
      <c r="AG19" s="3">
        <f>ROUND(0.0,2)</f>
        <v/>
      </c>
      <c r="AH19" s="3">
        <f>ROUND(0.0,2)</f>
        <v/>
      </c>
      <c r="AI19" s="3">
        <f>ROUND(0.0,2)</f>
        <v/>
      </c>
      <c r="AJ19" s="4">
        <f>IFERROR((AD19/AC19),0)</f>
        <v/>
      </c>
      <c r="AK19" s="4">
        <f>IFERROR(((0+AB11+AB12+AB13+AB14+AB15+AB16+AB17+AB19)/T2),0)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2023-09-27</t>
        </is>
      </c>
      <c r="AO19" s="5">
        <f>ROUND(0.0,2)</f>
        <v/>
      </c>
      <c r="AP19" s="3">
        <f>ROUND(0.0,2)</f>
        <v/>
      </c>
      <c r="AQ19" s="3">
        <f>ROUND(0.0,2)</f>
        <v/>
      </c>
      <c r="AR19" s="3">
        <f>ROUND(0.0,2)</f>
        <v/>
      </c>
      <c r="AS19" s="3">
        <f>ROUND(0.0,2)</f>
        <v/>
      </c>
      <c r="AT19" s="3">
        <f>ROUND(0.0,2)</f>
        <v/>
      </c>
      <c r="AU19" s="3">
        <f>ROUND(0.0,2)</f>
        <v/>
      </c>
      <c r="AV19" s="3">
        <f>ROUND(0.0,2)</f>
        <v/>
      </c>
      <c r="AW19" s="4">
        <f>IFERROR((AQ19/AP19),0)</f>
        <v/>
      </c>
      <c r="AX19" s="4">
        <f>IFERROR(((0+AO11+AO12+AO13+AO14+AO15+AO16+AO17+AO19)/T2),0)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2023-09-27</t>
        </is>
      </c>
      <c r="BB19" s="5">
        <f>ROUND(0.0,2)</f>
        <v/>
      </c>
      <c r="BC19" s="3">
        <f>ROUND(0.0,2)</f>
        <v/>
      </c>
      <c r="BD19" s="3">
        <f>ROUND(0.0,2)</f>
        <v/>
      </c>
      <c r="BE19" s="3">
        <f>ROUND(0.0,2)</f>
        <v/>
      </c>
      <c r="BF19" s="3">
        <f>ROUND(0.0,2)</f>
        <v/>
      </c>
      <c r="BG19" s="3">
        <f>ROUND(0.0,2)</f>
        <v/>
      </c>
      <c r="BH19" s="3">
        <f>ROUND(0.0,2)</f>
        <v/>
      </c>
      <c r="BI19" s="3">
        <f>ROUND(0.0,2)</f>
        <v/>
      </c>
      <c r="BJ19" s="4">
        <f>IFERROR((BD19/BC19),0)</f>
        <v/>
      </c>
      <c r="BK19" s="4">
        <f>IFERROR(((0+BB11+BB12+BB13+BB14+BB15+BB16+BB17+BB19)/T2),0)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2023-09-27</t>
        </is>
      </c>
      <c r="BO19" s="5">
        <f>ROUND(0.0,2)</f>
        <v/>
      </c>
      <c r="BP19" s="3">
        <f>ROUND(0.0,2)</f>
        <v/>
      </c>
      <c r="BQ19" s="3">
        <f>ROUND(0.0,2)</f>
        <v/>
      </c>
      <c r="BR19" s="3">
        <f>ROUND(0.0,2)</f>
        <v/>
      </c>
      <c r="BS19" s="3">
        <f>ROUND(0.0,2)</f>
        <v/>
      </c>
      <c r="BT19" s="3">
        <f>ROUND(0.0,2)</f>
        <v/>
      </c>
      <c r="BU19" s="3">
        <f>ROUND(0.0,2)</f>
        <v/>
      </c>
      <c r="BV19" s="3">
        <f>ROUND(0.0,2)</f>
        <v/>
      </c>
      <c r="BW19" s="4">
        <f>IFERROR((BQ19/BP19),0)</f>
        <v/>
      </c>
      <c r="BX19" s="4">
        <f>IFERROR(((0+BO11+BO12+BO13+BO14+BO15+BO16+BO17+BO19)/T2),0)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2023-09-27</t>
        </is>
      </c>
      <c r="CB19" s="5">
        <f>ROUND(0.0,2)</f>
        <v/>
      </c>
      <c r="CC19" s="3">
        <f>ROUND(0.0,2)</f>
        <v/>
      </c>
      <c r="CD19" s="3">
        <f>ROUND(0.0,2)</f>
        <v/>
      </c>
      <c r="CE19" s="3">
        <f>ROUND(0.0,2)</f>
        <v/>
      </c>
      <c r="CF19" s="3">
        <f>ROUND(0.0,2)</f>
        <v/>
      </c>
      <c r="CG19" s="3">
        <f>ROUND(0.0,2)</f>
        <v/>
      </c>
      <c r="CH19" s="3">
        <f>ROUND(0.0,2)</f>
        <v/>
      </c>
      <c r="CI19" s="3">
        <f>ROUND(0.0,2)</f>
        <v/>
      </c>
      <c r="CJ19" s="4">
        <f>IFERROR((CD19/CC19),0)</f>
        <v/>
      </c>
      <c r="CK19" s="4">
        <f>IFERROR(((0+CB11+CB12+CB13+CB14+CB15+CB16+CB17+CB19)/T2),0)</f>
        <v/>
      </c>
      <c r="CL19" s="5">
        <f>IFERROR(ROUND(CB19/CD19,2),0)</f>
        <v/>
      </c>
      <c r="CM19" s="5">
        <f>IFERROR(ROUND(CB19/CE19,2),0)</f>
        <v/>
      </c>
      <c r="CN19" s="2" t="inlineStr">
        <is>
          <t>2023-09-27</t>
        </is>
      </c>
      <c r="CO19" s="5">
        <f>ROUND(0.0,2)</f>
        <v/>
      </c>
      <c r="CP19" s="3">
        <f>ROUND(0.0,2)</f>
        <v/>
      </c>
      <c r="CQ19" s="3">
        <f>ROUND(0.0,2)</f>
        <v/>
      </c>
      <c r="CR19" s="3">
        <f>ROUND(0.0,2)</f>
        <v/>
      </c>
      <c r="CS19" s="3">
        <f>ROUND(0.0,2)</f>
        <v/>
      </c>
      <c r="CT19" s="3">
        <f>ROUND(0.0,2)</f>
        <v/>
      </c>
      <c r="CU19" s="3">
        <f>ROUND(0.0,2)</f>
        <v/>
      </c>
      <c r="CV19" s="3">
        <f>ROUND(0.0,2)</f>
        <v/>
      </c>
      <c r="CW19" s="4">
        <f>IFERROR((CQ19/CP19),0)</f>
        <v/>
      </c>
      <c r="CX19" s="4">
        <f>IFERROR(((0+CO11+CO12+CO13+CO14+CO15+CO16+CO17+CO19)/T2),0)</f>
        <v/>
      </c>
      <c r="CY19" s="5">
        <f>IFERROR(ROUND(CO19/CQ19,2),0)</f>
        <v/>
      </c>
      <c r="CZ19" s="5">
        <f>IFERROR(ROUND(CO19/CR19,2),0)</f>
        <v/>
      </c>
      <c r="DA19" s="2" t="inlineStr">
        <is>
          <t>2023-09-27</t>
        </is>
      </c>
      <c r="DB19" s="5">
        <f>ROUND(0.0,2)</f>
        <v/>
      </c>
      <c r="DC19" s="3">
        <f>ROUND(0.0,2)</f>
        <v/>
      </c>
      <c r="DD19" s="3">
        <f>ROUND(0.0,2)</f>
        <v/>
      </c>
      <c r="DE19" s="3">
        <f>ROUND(0.0,2)</f>
        <v/>
      </c>
      <c r="DF19" s="3">
        <f>ROUND(0.0,2)</f>
        <v/>
      </c>
      <c r="DG19" s="3">
        <f>ROUND(0.0,2)</f>
        <v/>
      </c>
      <c r="DH19" s="3">
        <f>ROUND(0.0,2)</f>
        <v/>
      </c>
      <c r="DI19" s="3">
        <f>ROUND(0.0,2)</f>
        <v/>
      </c>
      <c r="DJ19" s="4">
        <f>IFERROR((DD19/DC19),0)</f>
        <v/>
      </c>
      <c r="DK19" s="4">
        <f>IFERROR(((0+DB11+DB12+DB13+DB14+DB15+DB16+DB17+DB19)/T2),0)</f>
        <v/>
      </c>
      <c r="DL19" s="5">
        <f>IFERROR(ROUND(DB19/DD19,2),0)</f>
        <v/>
      </c>
      <c r="DM19" s="5">
        <f>IFERROR(ROUND(DB19/DE19,2),0)</f>
        <v/>
      </c>
      <c r="DN19" s="2" t="inlineStr">
        <is>
          <t>2023-09-27</t>
        </is>
      </c>
      <c r="DO19" s="5">
        <f>ROUND(0.0,2)</f>
        <v/>
      </c>
      <c r="DP19" s="3">
        <f>ROUND(0.0,2)</f>
        <v/>
      </c>
      <c r="DQ19" s="3">
        <f>ROUND(0.0,2)</f>
        <v/>
      </c>
      <c r="DR19" s="3">
        <f>ROUND(0.0,2)</f>
        <v/>
      </c>
      <c r="DS19" s="3">
        <f>ROUND(0.0,2)</f>
        <v/>
      </c>
      <c r="DT19" s="3">
        <f>ROUND(0.0,2)</f>
        <v/>
      </c>
      <c r="DU19" s="3">
        <f>ROUND(0.0,2)</f>
        <v/>
      </c>
      <c r="DV19" s="3">
        <f>ROUND(0.0,2)</f>
        <v/>
      </c>
      <c r="DW19" s="4">
        <f>IFERROR((DQ19/DP19),0)</f>
        <v/>
      </c>
      <c r="DX19" s="4">
        <f>IFERROR(((0+DO11+DO12+DO13+DO14+DO15+DO16+DO17+DO19)/T2),0)</f>
        <v/>
      </c>
      <c r="DY19" s="5">
        <f>IFERROR(ROUND(DO19/DQ19,2),0)</f>
        <v/>
      </c>
      <c r="DZ19" s="5">
        <f>IFERROR(ROUND(DO19/DR19,2),0)</f>
        <v/>
      </c>
      <c r="EA19" s="2" t="inlineStr">
        <is>
          <t>2023-09-27</t>
        </is>
      </c>
      <c r="EB19" s="5">
        <f>ROUND(0.0,2)</f>
        <v/>
      </c>
      <c r="EC19" s="3">
        <f>ROUND(0.0,2)</f>
        <v/>
      </c>
      <c r="ED19" s="3">
        <f>ROUND(0.0,2)</f>
        <v/>
      </c>
      <c r="EE19" s="3">
        <f>ROUND(0.0,2)</f>
        <v/>
      </c>
      <c r="EF19" s="3">
        <f>ROUND(0.0,2)</f>
        <v/>
      </c>
      <c r="EG19" s="3">
        <f>ROUND(0.0,2)</f>
        <v/>
      </c>
      <c r="EH19" s="3">
        <f>ROUND(0.0,2)</f>
        <v/>
      </c>
      <c r="EI19" s="3">
        <f>ROUND(0.0,2)</f>
        <v/>
      </c>
      <c r="EJ19" s="4">
        <f>IFERROR((ED19/EC19),0)</f>
        <v/>
      </c>
      <c r="EK19" s="4">
        <f>IFERROR(((0+EB11+EB12+EB13+EB14+EB15+EB16+EB17+EB19)/T2),0)</f>
        <v/>
      </c>
      <c r="EL19" s="5">
        <f>IFERROR(ROUND(EB19/ED19,2),0)</f>
        <v/>
      </c>
      <c r="EM19" s="5">
        <f>IFERROR(ROUND(EB19/EE19,2),0)</f>
        <v/>
      </c>
    </row>
    <row r="20">
      <c r="A20" s="2" t="inlineStr">
        <is>
          <t>2023-09-28</t>
        </is>
      </c>
      <c r="B20" s="5">
        <f>ROUND(0.0,2)</f>
        <v/>
      </c>
      <c r="C20" s="3">
        <f>ROUND(0.0,2)</f>
        <v/>
      </c>
      <c r="D20" s="3">
        <f>ROUND(0.0,2)</f>
        <v/>
      </c>
      <c r="E20" s="3">
        <f>ROUND(0.0,2)</f>
        <v/>
      </c>
      <c r="F20" s="3">
        <f>ROUND(0.0,2)</f>
        <v/>
      </c>
      <c r="G20" s="3">
        <f>ROUND(0.0,2)</f>
        <v/>
      </c>
      <c r="H20" s="3">
        <f>ROUND(0.0,2)</f>
        <v/>
      </c>
      <c r="I20" s="3">
        <f>ROUND(0.0,2)</f>
        <v/>
      </c>
      <c r="J20" s="4">
        <f>IFERROR((D20/C20),0)</f>
        <v/>
      </c>
      <c r="K20" s="4">
        <f>IFERROR(((0+B11+B12+B13+B14+B15+B16+B17+B19+B20)/T2),0)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2023-09-28</t>
        </is>
      </c>
      <c r="O20" s="5">
        <f>ROUND(0.0,2)</f>
        <v/>
      </c>
      <c r="P20" s="3">
        <f>ROUND(0.0,2)</f>
        <v/>
      </c>
      <c r="Q20" s="3">
        <f>ROUND(0.0,2)</f>
        <v/>
      </c>
      <c r="R20" s="3">
        <f>ROUND(0.0,2)</f>
        <v/>
      </c>
      <c r="S20" s="3">
        <f>ROUND(0.0,2)</f>
        <v/>
      </c>
      <c r="T20" s="3">
        <f>ROUND(0.0,2)</f>
        <v/>
      </c>
      <c r="U20" s="3">
        <f>ROUND(0.0,2)</f>
        <v/>
      </c>
      <c r="V20" s="3">
        <f>ROUND(0.0,2)</f>
        <v/>
      </c>
      <c r="W20" s="4">
        <f>IFERROR((Q20/P20),0)</f>
        <v/>
      </c>
      <c r="X20" s="4">
        <f>IFERROR(((0+O11+O12+O13+O14+O15+O16+O17+O19+O20)/T2),0)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2023-09-28</t>
        </is>
      </c>
      <c r="AB20" s="5">
        <f>ROUND(0.0,2)</f>
        <v/>
      </c>
      <c r="AC20" s="3">
        <f>ROUND(0.0,2)</f>
        <v/>
      </c>
      <c r="AD20" s="3">
        <f>ROUND(0.0,2)</f>
        <v/>
      </c>
      <c r="AE20" s="3">
        <f>ROUND(0.0,2)</f>
        <v/>
      </c>
      <c r="AF20" s="3">
        <f>ROUND(0.0,2)</f>
        <v/>
      </c>
      <c r="AG20" s="3">
        <f>ROUND(0.0,2)</f>
        <v/>
      </c>
      <c r="AH20" s="3">
        <f>ROUND(0.0,2)</f>
        <v/>
      </c>
      <c r="AI20" s="3">
        <f>ROUND(0.0,2)</f>
        <v/>
      </c>
      <c r="AJ20" s="4">
        <f>IFERROR((AD20/AC20),0)</f>
        <v/>
      </c>
      <c r="AK20" s="4">
        <f>IFERROR(((0+AB11+AB12+AB13+AB14+AB15+AB16+AB17+AB19+AB20)/T2),0)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2023-09-28</t>
        </is>
      </c>
      <c r="AO20" s="5">
        <f>ROUND(0.0,2)</f>
        <v/>
      </c>
      <c r="AP20" s="3">
        <f>ROUND(0.0,2)</f>
        <v/>
      </c>
      <c r="AQ20" s="3">
        <f>ROUND(0.0,2)</f>
        <v/>
      </c>
      <c r="AR20" s="3">
        <f>ROUND(0.0,2)</f>
        <v/>
      </c>
      <c r="AS20" s="3">
        <f>ROUND(0.0,2)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IFERROR(((0+AO11+AO12+AO13+AO14+AO15+AO16+AO17+AO19+AO20)/T2),0)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2023-09-28</t>
        </is>
      </c>
      <c r="BB20" s="5">
        <f>ROUND(0.0,2)</f>
        <v/>
      </c>
      <c r="BC20" s="3">
        <f>ROUND(0.0,2)</f>
        <v/>
      </c>
      <c r="BD20" s="3">
        <f>ROUND(0.0,2)</f>
        <v/>
      </c>
      <c r="BE20" s="3">
        <f>ROUND(0.0,2)</f>
        <v/>
      </c>
      <c r="BF20" s="3">
        <f>ROUND(0.0,2)</f>
        <v/>
      </c>
      <c r="BG20" s="3">
        <f>ROUND(0.0,2)</f>
        <v/>
      </c>
      <c r="BH20" s="3">
        <f>ROUND(0.0,2)</f>
        <v/>
      </c>
      <c r="BI20" s="3">
        <f>ROUND(0.0,2)</f>
        <v/>
      </c>
      <c r="BJ20" s="4">
        <f>IFERROR((BD20/BC20),0)</f>
        <v/>
      </c>
      <c r="BK20" s="4">
        <f>IFERROR(((0+BB11+BB12+BB13+BB14+BB15+BB16+BB17+BB19+BB20)/T2),0)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2023-09-28</t>
        </is>
      </c>
      <c r="BO20" s="5">
        <f>ROUND(0.0,2)</f>
        <v/>
      </c>
      <c r="BP20" s="3">
        <f>ROUND(0.0,2)</f>
        <v/>
      </c>
      <c r="BQ20" s="3">
        <f>ROUND(0.0,2)</f>
        <v/>
      </c>
      <c r="BR20" s="3">
        <f>ROUND(0.0,2)</f>
        <v/>
      </c>
      <c r="BS20" s="3">
        <f>ROUND(0.0,2)</f>
        <v/>
      </c>
      <c r="BT20" s="3">
        <f>ROUND(0.0,2)</f>
        <v/>
      </c>
      <c r="BU20" s="3">
        <f>ROUND(0.0,2)</f>
        <v/>
      </c>
      <c r="BV20" s="3">
        <f>ROUND(0.0,2)</f>
        <v/>
      </c>
      <c r="BW20" s="4">
        <f>IFERROR((BQ20/BP20),0)</f>
        <v/>
      </c>
      <c r="BX20" s="4">
        <f>IFERROR(((0+BO11+BO12+BO13+BO14+BO15+BO16+BO17+BO19+BO20)/T2),0)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2023-09-28</t>
        </is>
      </c>
      <c r="CB20" s="5">
        <f>ROUND(0.0,2)</f>
        <v/>
      </c>
      <c r="CC20" s="3">
        <f>ROUND(0.0,2)</f>
        <v/>
      </c>
      <c r="CD20" s="3">
        <f>ROUND(0.0,2)</f>
        <v/>
      </c>
      <c r="CE20" s="3">
        <f>ROUND(0.0,2)</f>
        <v/>
      </c>
      <c r="CF20" s="3">
        <f>ROUND(0.0,2)</f>
        <v/>
      </c>
      <c r="CG20" s="3">
        <f>ROUND(0.0,2)</f>
        <v/>
      </c>
      <c r="CH20" s="3">
        <f>ROUND(0.0,2)</f>
        <v/>
      </c>
      <c r="CI20" s="3">
        <f>ROUND(0.0,2)</f>
        <v/>
      </c>
      <c r="CJ20" s="4">
        <f>IFERROR((CD20/CC20),0)</f>
        <v/>
      </c>
      <c r="CK20" s="4">
        <f>IFERROR(((0+CB11+CB12+CB13+CB14+CB15+CB16+CB17+CB19+CB20)/T2),0)</f>
        <v/>
      </c>
      <c r="CL20" s="5">
        <f>IFERROR(ROUND(CB20/CD20,2),0)</f>
        <v/>
      </c>
      <c r="CM20" s="5">
        <f>IFERROR(ROUND(CB20/CE20,2),0)</f>
        <v/>
      </c>
      <c r="CN20" s="2" t="inlineStr">
        <is>
          <t>2023-09-28</t>
        </is>
      </c>
      <c r="CO20" s="5">
        <f>ROUND(0.0,2)</f>
        <v/>
      </c>
      <c r="CP20" s="3">
        <f>ROUND(0.0,2)</f>
        <v/>
      </c>
      <c r="CQ20" s="3">
        <f>ROUND(0.0,2)</f>
        <v/>
      </c>
      <c r="CR20" s="3">
        <f>ROUND(0.0,2)</f>
        <v/>
      </c>
      <c r="CS20" s="3">
        <f>ROUND(0.0,2)</f>
        <v/>
      </c>
      <c r="CT20" s="3">
        <f>ROUND(0.0,2)</f>
        <v/>
      </c>
      <c r="CU20" s="3">
        <f>ROUND(0.0,2)</f>
        <v/>
      </c>
      <c r="CV20" s="3">
        <f>ROUND(0.0,2)</f>
        <v/>
      </c>
      <c r="CW20" s="4">
        <f>IFERROR((CQ20/CP20),0)</f>
        <v/>
      </c>
      <c r="CX20" s="4">
        <f>IFERROR(((0+CO11+CO12+CO13+CO14+CO15+CO16+CO17+CO19+CO20)/T2),0)</f>
        <v/>
      </c>
      <c r="CY20" s="5">
        <f>IFERROR(ROUND(CO20/CQ20,2),0)</f>
        <v/>
      </c>
      <c r="CZ20" s="5">
        <f>IFERROR(ROUND(CO20/CR20,2),0)</f>
        <v/>
      </c>
      <c r="DA20" s="2" t="inlineStr">
        <is>
          <t>2023-09-28</t>
        </is>
      </c>
      <c r="DB20" s="5">
        <f>ROUND(0.0,2)</f>
        <v/>
      </c>
      <c r="DC20" s="3">
        <f>ROUND(0.0,2)</f>
        <v/>
      </c>
      <c r="DD20" s="3">
        <f>ROUND(0.0,2)</f>
        <v/>
      </c>
      <c r="DE20" s="3">
        <f>ROUND(0.0,2)</f>
        <v/>
      </c>
      <c r="DF20" s="3">
        <f>ROUND(0.0,2)</f>
        <v/>
      </c>
      <c r="DG20" s="3">
        <f>ROUND(0.0,2)</f>
        <v/>
      </c>
      <c r="DH20" s="3">
        <f>ROUND(0.0,2)</f>
        <v/>
      </c>
      <c r="DI20" s="3">
        <f>ROUND(0.0,2)</f>
        <v/>
      </c>
      <c r="DJ20" s="4">
        <f>IFERROR((DD20/DC20),0)</f>
        <v/>
      </c>
      <c r="DK20" s="4">
        <f>IFERROR(((0+DB11+DB12+DB13+DB14+DB15+DB16+DB17+DB19+DB20)/T2),0)</f>
        <v/>
      </c>
      <c r="DL20" s="5">
        <f>IFERROR(ROUND(DB20/DD20,2),0)</f>
        <v/>
      </c>
      <c r="DM20" s="5">
        <f>IFERROR(ROUND(DB20/DE20,2),0)</f>
        <v/>
      </c>
      <c r="DN20" s="2" t="inlineStr">
        <is>
          <t>2023-09-28</t>
        </is>
      </c>
      <c r="DO20" s="5">
        <f>ROUND(0.0,2)</f>
        <v/>
      </c>
      <c r="DP20" s="3">
        <f>ROUND(0.0,2)</f>
        <v/>
      </c>
      <c r="DQ20" s="3">
        <f>ROUND(0.0,2)</f>
        <v/>
      </c>
      <c r="DR20" s="3">
        <f>ROUND(0.0,2)</f>
        <v/>
      </c>
      <c r="DS20" s="3">
        <f>ROUND(0.0,2)</f>
        <v/>
      </c>
      <c r="DT20" s="3">
        <f>ROUND(0.0,2)</f>
        <v/>
      </c>
      <c r="DU20" s="3">
        <f>ROUND(0.0,2)</f>
        <v/>
      </c>
      <c r="DV20" s="3">
        <f>ROUND(0.0,2)</f>
        <v/>
      </c>
      <c r="DW20" s="4">
        <f>IFERROR((DQ20/DP20),0)</f>
        <v/>
      </c>
      <c r="DX20" s="4">
        <f>IFERROR(((0+DO11+DO12+DO13+DO14+DO15+DO16+DO17+DO19+DO20)/T2),0)</f>
        <v/>
      </c>
      <c r="DY20" s="5">
        <f>IFERROR(ROUND(DO20/DQ20,2),0)</f>
        <v/>
      </c>
      <c r="DZ20" s="5">
        <f>IFERROR(ROUND(DO20/DR20,2),0)</f>
        <v/>
      </c>
      <c r="EA20" s="2" t="inlineStr">
        <is>
          <t>2023-09-28</t>
        </is>
      </c>
      <c r="EB20" s="5">
        <f>ROUND(0.0,2)</f>
        <v/>
      </c>
      <c r="EC20" s="3">
        <f>ROUND(0.0,2)</f>
        <v/>
      </c>
      <c r="ED20" s="3">
        <f>ROUND(0.0,2)</f>
        <v/>
      </c>
      <c r="EE20" s="3">
        <f>ROUND(0.0,2)</f>
        <v/>
      </c>
      <c r="EF20" s="3">
        <f>ROUND(0.0,2)</f>
        <v/>
      </c>
      <c r="EG20" s="3">
        <f>ROUND(0.0,2)</f>
        <v/>
      </c>
      <c r="EH20" s="3">
        <f>ROUND(0.0,2)</f>
        <v/>
      </c>
      <c r="EI20" s="3">
        <f>ROUND(0.0,2)</f>
        <v/>
      </c>
      <c r="EJ20" s="4">
        <f>IFERROR((ED20/EC20),0)</f>
        <v/>
      </c>
      <c r="EK20" s="4">
        <f>IFERROR(((0+EB11+EB12+EB13+EB14+EB15+EB16+EB17+EB19+EB20)/T2),0)</f>
        <v/>
      </c>
      <c r="EL20" s="5">
        <f>IFERROR(ROUND(EB20/ED20,2),0)</f>
        <v/>
      </c>
      <c r="EM20" s="5">
        <f>IFERROR(ROUND(EB20/EE20,2),0)</f>
        <v/>
      </c>
    </row>
    <row r="21">
      <c r="A21" s="2" t="inlineStr">
        <is>
          <t>2023-09-29</t>
        </is>
      </c>
      <c r="B21" s="5">
        <f>ROUND(0.0,2)</f>
        <v/>
      </c>
      <c r="C21" s="3">
        <f>ROUND(0.0,2)</f>
        <v/>
      </c>
      <c r="D21" s="3">
        <f>ROUND(0.0,2)</f>
        <v/>
      </c>
      <c r="E21" s="3">
        <f>ROUND(0.0,2)</f>
        <v/>
      </c>
      <c r="F21" s="3">
        <f>ROUND(0.0,2)</f>
        <v/>
      </c>
      <c r="G21" s="3">
        <f>ROUND(0.0,2)</f>
        <v/>
      </c>
      <c r="H21" s="3">
        <f>ROUND(0.0,2)</f>
        <v/>
      </c>
      <c r="I21" s="3">
        <f>ROUND(0.0,2)</f>
        <v/>
      </c>
      <c r="J21" s="4">
        <f>IFERROR((D21/C21),0)</f>
        <v/>
      </c>
      <c r="K21" s="4">
        <f>IFERROR(((0+B11+B12+B13+B14+B15+B16+B17+B19+B20+B21)/T2),0)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2023-09-29</t>
        </is>
      </c>
      <c r="O21" s="5">
        <f>ROUND(0.0,2)</f>
        <v/>
      </c>
      <c r="P21" s="3">
        <f>ROUND(0.0,2)</f>
        <v/>
      </c>
      <c r="Q21" s="3">
        <f>ROUND(0.0,2)</f>
        <v/>
      </c>
      <c r="R21" s="3">
        <f>ROUND(0.0,2)</f>
        <v/>
      </c>
      <c r="S21" s="3">
        <f>ROUND(0.0,2)</f>
        <v/>
      </c>
      <c r="T21" s="3">
        <f>ROUND(0.0,2)</f>
        <v/>
      </c>
      <c r="U21" s="3">
        <f>ROUND(0.0,2)</f>
        <v/>
      </c>
      <c r="V21" s="3">
        <f>ROUND(0.0,2)</f>
        <v/>
      </c>
      <c r="W21" s="4">
        <f>IFERROR((Q21/P21),0)</f>
        <v/>
      </c>
      <c r="X21" s="4">
        <f>IFERROR(((0+O11+O12+O13+O14+O15+O16+O17+O19+O20+O21)/T2),0)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2023-09-29</t>
        </is>
      </c>
      <c r="AB21" s="5">
        <f>ROUND(0.0,2)</f>
        <v/>
      </c>
      <c r="AC21" s="3">
        <f>ROUND(0.0,2)</f>
        <v/>
      </c>
      <c r="AD21" s="3">
        <f>ROUND(0.0,2)</f>
        <v/>
      </c>
      <c r="AE21" s="3">
        <f>ROUND(0.0,2)</f>
        <v/>
      </c>
      <c r="AF21" s="3">
        <f>ROUND(0.0,2)</f>
        <v/>
      </c>
      <c r="AG21" s="3">
        <f>ROUND(0.0,2)</f>
        <v/>
      </c>
      <c r="AH21" s="3">
        <f>ROUND(0.0,2)</f>
        <v/>
      </c>
      <c r="AI21" s="3">
        <f>ROUND(0.0,2)</f>
        <v/>
      </c>
      <c r="AJ21" s="4">
        <f>IFERROR((AD21/AC21),0)</f>
        <v/>
      </c>
      <c r="AK21" s="4">
        <f>IFERROR(((0+AB11+AB12+AB13+AB14+AB15+AB16+AB17+AB19+AB20+AB21)/T2),0)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2023-09-29</t>
        </is>
      </c>
      <c r="AO21" s="5">
        <f>ROUND(0.0,2)</f>
        <v/>
      </c>
      <c r="AP21" s="3">
        <f>ROUND(0.0,2)</f>
        <v/>
      </c>
      <c r="AQ21" s="3">
        <f>ROUND(0.0,2)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IFERROR(((0+AO11+AO12+AO13+AO14+AO15+AO16+AO17+AO19+AO20+AO21)/T2),0)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2023-09-29</t>
        </is>
      </c>
      <c r="BB21" s="5">
        <f>ROUND(0.0,2)</f>
        <v/>
      </c>
      <c r="BC21" s="3">
        <f>ROUND(0.0,2)</f>
        <v/>
      </c>
      <c r="BD21" s="3">
        <f>ROUND(0.0,2)</f>
        <v/>
      </c>
      <c r="BE21" s="3">
        <f>ROUND(0.0,2)</f>
        <v/>
      </c>
      <c r="BF21" s="3">
        <f>ROUND(0.0,2)</f>
        <v/>
      </c>
      <c r="BG21" s="3">
        <f>ROUND(0.0,2)</f>
        <v/>
      </c>
      <c r="BH21" s="3">
        <f>ROUND(0.0,2)</f>
        <v/>
      </c>
      <c r="BI21" s="3">
        <f>ROUND(0.0,2)</f>
        <v/>
      </c>
      <c r="BJ21" s="4">
        <f>IFERROR((BD21/BC21),0)</f>
        <v/>
      </c>
      <c r="BK21" s="4">
        <f>IFERROR(((0+BB11+BB12+BB13+BB14+BB15+BB16+BB17+BB19+BB20+BB21)/T2),0)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2023-09-29</t>
        </is>
      </c>
      <c r="BO21" s="5">
        <f>ROUND(0.0,2)</f>
        <v/>
      </c>
      <c r="BP21" s="3">
        <f>ROUND(0.0,2)</f>
        <v/>
      </c>
      <c r="BQ21" s="3">
        <f>ROUND(0.0,2)</f>
        <v/>
      </c>
      <c r="BR21" s="3">
        <f>ROUND(0.0,2)</f>
        <v/>
      </c>
      <c r="BS21" s="3">
        <f>ROUND(0.0,2)</f>
        <v/>
      </c>
      <c r="BT21" s="3">
        <f>ROUND(0.0,2)</f>
        <v/>
      </c>
      <c r="BU21" s="3">
        <f>ROUND(0.0,2)</f>
        <v/>
      </c>
      <c r="BV21" s="3">
        <f>ROUND(0.0,2)</f>
        <v/>
      </c>
      <c r="BW21" s="4">
        <f>IFERROR((BQ21/BP21),0)</f>
        <v/>
      </c>
      <c r="BX21" s="4">
        <f>IFERROR(((0+BO11+BO12+BO13+BO14+BO15+BO16+BO17+BO19+BO20+BO21)/T2),0)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2023-09-29</t>
        </is>
      </c>
      <c r="CB21" s="5">
        <f>ROUND(0.0,2)</f>
        <v/>
      </c>
      <c r="CC21" s="3">
        <f>ROUND(0.0,2)</f>
        <v/>
      </c>
      <c r="CD21" s="3">
        <f>ROUND(0.0,2)</f>
        <v/>
      </c>
      <c r="CE21" s="3">
        <f>ROUND(0.0,2)</f>
        <v/>
      </c>
      <c r="CF21" s="3">
        <f>ROUND(0.0,2)</f>
        <v/>
      </c>
      <c r="CG21" s="3">
        <f>ROUND(0.0,2)</f>
        <v/>
      </c>
      <c r="CH21" s="3">
        <f>ROUND(0.0,2)</f>
        <v/>
      </c>
      <c r="CI21" s="3">
        <f>ROUND(0.0,2)</f>
        <v/>
      </c>
      <c r="CJ21" s="4">
        <f>IFERROR((CD21/CC21),0)</f>
        <v/>
      </c>
      <c r="CK21" s="4">
        <f>IFERROR(((0+CB11+CB12+CB13+CB14+CB15+CB16+CB17+CB19+CB20+CB21)/T2),0)</f>
        <v/>
      </c>
      <c r="CL21" s="5">
        <f>IFERROR(ROUND(CB21/CD21,2),0)</f>
        <v/>
      </c>
      <c r="CM21" s="5">
        <f>IFERROR(ROUND(CB21/CE21,2),0)</f>
        <v/>
      </c>
      <c r="CN21" s="2" t="inlineStr">
        <is>
          <t>2023-09-29</t>
        </is>
      </c>
      <c r="CO21" s="5">
        <f>ROUND(0.0,2)</f>
        <v/>
      </c>
      <c r="CP21" s="3">
        <f>ROUND(0.0,2)</f>
        <v/>
      </c>
      <c r="CQ21" s="3">
        <f>ROUND(0.0,2)</f>
        <v/>
      </c>
      <c r="CR21" s="3">
        <f>ROUND(0.0,2)</f>
        <v/>
      </c>
      <c r="CS21" s="3">
        <f>ROUND(0.0,2)</f>
        <v/>
      </c>
      <c r="CT21" s="3">
        <f>ROUND(0.0,2)</f>
        <v/>
      </c>
      <c r="CU21" s="3">
        <f>ROUND(0.0,2)</f>
        <v/>
      </c>
      <c r="CV21" s="3">
        <f>ROUND(0.0,2)</f>
        <v/>
      </c>
      <c r="CW21" s="4">
        <f>IFERROR((CQ21/CP21),0)</f>
        <v/>
      </c>
      <c r="CX21" s="4">
        <f>IFERROR(((0+CO11+CO12+CO13+CO14+CO15+CO16+CO17+CO19+CO20+CO21)/T2),0)</f>
        <v/>
      </c>
      <c r="CY21" s="5">
        <f>IFERROR(ROUND(CO21/CQ21,2),0)</f>
        <v/>
      </c>
      <c r="CZ21" s="5">
        <f>IFERROR(ROUND(CO21/CR21,2),0)</f>
        <v/>
      </c>
      <c r="DA21" s="2" t="inlineStr">
        <is>
          <t>2023-09-29</t>
        </is>
      </c>
      <c r="DB21" s="5">
        <f>ROUND(0.0,2)</f>
        <v/>
      </c>
      <c r="DC21" s="3">
        <f>ROUND(0.0,2)</f>
        <v/>
      </c>
      <c r="DD21" s="3">
        <f>ROUND(0.0,2)</f>
        <v/>
      </c>
      <c r="DE21" s="3">
        <f>ROUND(0.0,2)</f>
        <v/>
      </c>
      <c r="DF21" s="3">
        <f>ROUND(0.0,2)</f>
        <v/>
      </c>
      <c r="DG21" s="3">
        <f>ROUND(0.0,2)</f>
        <v/>
      </c>
      <c r="DH21" s="3">
        <f>ROUND(0.0,2)</f>
        <v/>
      </c>
      <c r="DI21" s="3">
        <f>ROUND(0.0,2)</f>
        <v/>
      </c>
      <c r="DJ21" s="4">
        <f>IFERROR((DD21/DC21),0)</f>
        <v/>
      </c>
      <c r="DK21" s="4">
        <f>IFERROR(((0+DB11+DB12+DB13+DB14+DB15+DB16+DB17+DB19+DB20+DB21)/T2),0)</f>
        <v/>
      </c>
      <c r="DL21" s="5">
        <f>IFERROR(ROUND(DB21/DD21,2),0)</f>
        <v/>
      </c>
      <c r="DM21" s="5">
        <f>IFERROR(ROUND(DB21/DE21,2),0)</f>
        <v/>
      </c>
      <c r="DN21" s="2" t="inlineStr">
        <is>
          <t>2023-09-29</t>
        </is>
      </c>
      <c r="DO21" s="5">
        <f>ROUND(0.0,2)</f>
        <v/>
      </c>
      <c r="DP21" s="3">
        <f>ROUND(0.0,2)</f>
        <v/>
      </c>
      <c r="DQ21" s="3">
        <f>ROUND(0.0,2)</f>
        <v/>
      </c>
      <c r="DR21" s="3">
        <f>ROUND(0.0,2)</f>
        <v/>
      </c>
      <c r="DS21" s="3">
        <f>ROUND(0.0,2)</f>
        <v/>
      </c>
      <c r="DT21" s="3">
        <f>ROUND(0.0,2)</f>
        <v/>
      </c>
      <c r="DU21" s="3">
        <f>ROUND(0.0,2)</f>
        <v/>
      </c>
      <c r="DV21" s="3">
        <f>ROUND(0.0,2)</f>
        <v/>
      </c>
      <c r="DW21" s="4">
        <f>IFERROR((DQ21/DP21),0)</f>
        <v/>
      </c>
      <c r="DX21" s="4">
        <f>IFERROR(((0+DO11+DO12+DO13+DO14+DO15+DO16+DO17+DO19+DO20+DO21)/T2),0)</f>
        <v/>
      </c>
      <c r="DY21" s="5">
        <f>IFERROR(ROUND(DO21/DQ21,2),0)</f>
        <v/>
      </c>
      <c r="DZ21" s="5">
        <f>IFERROR(ROUND(DO21/DR21,2),0)</f>
        <v/>
      </c>
      <c r="EA21" s="2" t="inlineStr">
        <is>
          <t>2023-09-29</t>
        </is>
      </c>
      <c r="EB21" s="5">
        <f>ROUND(0.0,2)</f>
        <v/>
      </c>
      <c r="EC21" s="3">
        <f>ROUND(0.0,2)</f>
        <v/>
      </c>
      <c r="ED21" s="3">
        <f>ROUND(0.0,2)</f>
        <v/>
      </c>
      <c r="EE21" s="3">
        <f>ROUND(0.0,2)</f>
        <v/>
      </c>
      <c r="EF21" s="3">
        <f>ROUND(0.0,2)</f>
        <v/>
      </c>
      <c r="EG21" s="3">
        <f>ROUND(0.0,2)</f>
        <v/>
      </c>
      <c r="EH21" s="3">
        <f>ROUND(0.0,2)</f>
        <v/>
      </c>
      <c r="EI21" s="3">
        <f>ROUND(0.0,2)</f>
        <v/>
      </c>
      <c r="EJ21" s="4">
        <f>IFERROR((ED21/EC21),0)</f>
        <v/>
      </c>
      <c r="EK21" s="4">
        <f>IFERROR(((0+EB11+EB12+EB13+EB14+EB15+EB16+EB17+EB19+EB20+EB21)/T2),0)</f>
        <v/>
      </c>
      <c r="EL21" s="5">
        <f>IFERROR(ROUND(EB21/ED21,2),0)</f>
        <v/>
      </c>
      <c r="EM21" s="5">
        <f>IFERROR(ROUND(EB21/EE21,2),0)</f>
        <v/>
      </c>
    </row>
    <row r="22">
      <c r="A22" s="2" t="inlineStr">
        <is>
          <t>2023-09-30</t>
        </is>
      </c>
      <c r="B22" s="5">
        <f>ROUND(0.0,2)</f>
        <v/>
      </c>
      <c r="C22" s="3">
        <f>ROUND(0.0,2)</f>
        <v/>
      </c>
      <c r="D22" s="3">
        <f>ROUND(0.0,2)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IFERROR(((0+B11+B12+B13+B14+B15+B16+B17+B19+B20+B21+B22)/T2),0)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2023-09-30</t>
        </is>
      </c>
      <c r="O22" s="5">
        <f>ROUND(0.0,2)</f>
        <v/>
      </c>
      <c r="P22" s="3">
        <f>ROUND(0.0,2)</f>
        <v/>
      </c>
      <c r="Q22" s="3">
        <f>ROUND(0.0,2)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IFERROR(((0+O11+O12+O13+O14+O15+O16+O17+O19+O20+O21+O22)/T2),0)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2023-09-30</t>
        </is>
      </c>
      <c r="AB22" s="5">
        <f>ROUND(0.0,2)</f>
        <v/>
      </c>
      <c r="AC22" s="3">
        <f>ROUND(0.0,2)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IFERROR(((0+AB11+AB12+AB13+AB14+AB15+AB16+AB17+AB19+AB20+AB21+AB22)/T2),0)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2023-09-30</t>
        </is>
      </c>
      <c r="AO22" s="5">
        <f>ROUND(0.0,2)</f>
        <v/>
      </c>
      <c r="AP22" s="3">
        <f>ROUND(0.0,2)</f>
        <v/>
      </c>
      <c r="AQ22" s="3">
        <f>ROUND(0.0,2)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IFERROR(((0+AO11+AO12+AO13+AO14+AO15+AO16+AO17+AO19+AO20+AO21+AO22)/T2),0)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2023-09-30</t>
        </is>
      </c>
      <c r="BB22" s="5">
        <f>ROUND(0.0,2)</f>
        <v/>
      </c>
      <c r="BC22" s="3">
        <f>ROUND(0.0,2)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IFERROR(((0+BB11+BB12+BB13+BB14+BB15+BB16+BB17+BB19+BB20+BB21+BB22)/T2),0)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2023-09-30</t>
        </is>
      </c>
      <c r="BO22" s="5">
        <f>ROUND(0.0,2)</f>
        <v/>
      </c>
      <c r="BP22" s="3">
        <f>ROUND(0.0,2)</f>
        <v/>
      </c>
      <c r="BQ22" s="3">
        <f>ROUND(0.0,2)</f>
        <v/>
      </c>
      <c r="BR22" s="3">
        <f>ROUND(0.0,2)</f>
        <v/>
      </c>
      <c r="BS22" s="3">
        <f>ROUND(0.0,2)</f>
        <v/>
      </c>
      <c r="BT22" s="3">
        <f>ROUND(0.0,2)</f>
        <v/>
      </c>
      <c r="BU22" s="3">
        <f>ROUND(0.0,2)</f>
        <v/>
      </c>
      <c r="BV22" s="3">
        <f>ROUND(0.0,2)</f>
        <v/>
      </c>
      <c r="BW22" s="4">
        <f>IFERROR((BQ22/BP22),0)</f>
        <v/>
      </c>
      <c r="BX22" s="4">
        <f>IFERROR(((0+BO11+BO12+BO13+BO14+BO15+BO16+BO17+BO19+BO20+BO21+BO22)/T2),0)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2023-09-30</t>
        </is>
      </c>
      <c r="CB22" s="5">
        <f>ROUND(0.0,2)</f>
        <v/>
      </c>
      <c r="CC22" s="3">
        <f>ROUND(0.0,2)</f>
        <v/>
      </c>
      <c r="CD22" s="3">
        <f>ROUND(0.0,2)</f>
        <v/>
      </c>
      <c r="CE22" s="3">
        <f>ROUND(0.0,2)</f>
        <v/>
      </c>
      <c r="CF22" s="3">
        <f>ROUND(0.0,2)</f>
        <v/>
      </c>
      <c r="CG22" s="3">
        <f>ROUND(0.0,2)</f>
        <v/>
      </c>
      <c r="CH22" s="3">
        <f>ROUND(0.0,2)</f>
        <v/>
      </c>
      <c r="CI22" s="3">
        <f>ROUND(0.0,2)</f>
        <v/>
      </c>
      <c r="CJ22" s="4">
        <f>IFERROR((CD22/CC22),0)</f>
        <v/>
      </c>
      <c r="CK22" s="4">
        <f>IFERROR(((0+CB11+CB12+CB13+CB14+CB15+CB16+CB17+CB19+CB20+CB21+CB22)/T2),0)</f>
        <v/>
      </c>
      <c r="CL22" s="5">
        <f>IFERROR(ROUND(CB22/CD22,2),0)</f>
        <v/>
      </c>
      <c r="CM22" s="5">
        <f>IFERROR(ROUND(CB22/CE22,2),0)</f>
        <v/>
      </c>
      <c r="CN22" s="2" t="inlineStr">
        <is>
          <t>2023-09-30</t>
        </is>
      </c>
      <c r="CO22" s="5">
        <f>ROUND(0.0,2)</f>
        <v/>
      </c>
      <c r="CP22" s="3">
        <f>ROUND(0.0,2)</f>
        <v/>
      </c>
      <c r="CQ22" s="3">
        <f>ROUND(0.0,2)</f>
        <v/>
      </c>
      <c r="CR22" s="3">
        <f>ROUND(0.0,2)</f>
        <v/>
      </c>
      <c r="CS22" s="3">
        <f>ROUND(0.0,2)</f>
        <v/>
      </c>
      <c r="CT22" s="3">
        <f>ROUND(0.0,2)</f>
        <v/>
      </c>
      <c r="CU22" s="3">
        <f>ROUND(0.0,2)</f>
        <v/>
      </c>
      <c r="CV22" s="3">
        <f>ROUND(0.0,2)</f>
        <v/>
      </c>
      <c r="CW22" s="4">
        <f>IFERROR((CQ22/CP22),0)</f>
        <v/>
      </c>
      <c r="CX22" s="4">
        <f>IFERROR(((0+CO11+CO12+CO13+CO14+CO15+CO16+CO17+CO19+CO20+CO21+CO22)/T2),0)</f>
        <v/>
      </c>
      <c r="CY22" s="5">
        <f>IFERROR(ROUND(CO22/CQ22,2),0)</f>
        <v/>
      </c>
      <c r="CZ22" s="5">
        <f>IFERROR(ROUND(CO22/CR22,2),0)</f>
        <v/>
      </c>
      <c r="DA22" s="2" t="inlineStr">
        <is>
          <t>2023-09-30</t>
        </is>
      </c>
      <c r="DB22" s="5">
        <f>ROUND(0.0,2)</f>
        <v/>
      </c>
      <c r="DC22" s="3">
        <f>ROUND(0.0,2)</f>
        <v/>
      </c>
      <c r="DD22" s="3">
        <f>ROUND(0.0,2)</f>
        <v/>
      </c>
      <c r="DE22" s="3">
        <f>ROUND(0.0,2)</f>
        <v/>
      </c>
      <c r="DF22" s="3">
        <f>ROUND(0.0,2)</f>
        <v/>
      </c>
      <c r="DG22" s="3">
        <f>ROUND(0.0,2)</f>
        <v/>
      </c>
      <c r="DH22" s="3">
        <f>ROUND(0.0,2)</f>
        <v/>
      </c>
      <c r="DI22" s="3">
        <f>ROUND(0.0,2)</f>
        <v/>
      </c>
      <c r="DJ22" s="4">
        <f>IFERROR((DD22/DC22),0)</f>
        <v/>
      </c>
      <c r="DK22" s="4">
        <f>IFERROR(((0+DB11+DB12+DB13+DB14+DB15+DB16+DB17+DB19+DB20+DB21+DB22)/T2),0)</f>
        <v/>
      </c>
      <c r="DL22" s="5">
        <f>IFERROR(ROUND(DB22/DD22,2),0)</f>
        <v/>
      </c>
      <c r="DM22" s="5">
        <f>IFERROR(ROUND(DB22/DE22,2),0)</f>
        <v/>
      </c>
      <c r="DN22" s="2" t="inlineStr">
        <is>
          <t>2023-09-30</t>
        </is>
      </c>
      <c r="DO22" s="5">
        <f>ROUND(0.0,2)</f>
        <v/>
      </c>
      <c r="DP22" s="3">
        <f>ROUND(0.0,2)</f>
        <v/>
      </c>
      <c r="DQ22" s="3">
        <f>ROUND(0.0,2)</f>
        <v/>
      </c>
      <c r="DR22" s="3">
        <f>ROUND(0.0,2)</f>
        <v/>
      </c>
      <c r="DS22" s="3">
        <f>ROUND(0.0,2)</f>
        <v/>
      </c>
      <c r="DT22" s="3">
        <f>ROUND(0.0,2)</f>
        <v/>
      </c>
      <c r="DU22" s="3">
        <f>ROUND(0.0,2)</f>
        <v/>
      </c>
      <c r="DV22" s="3">
        <f>ROUND(0.0,2)</f>
        <v/>
      </c>
      <c r="DW22" s="4">
        <f>IFERROR((DQ22/DP22),0)</f>
        <v/>
      </c>
      <c r="DX22" s="4">
        <f>IFERROR(((0+DO11+DO12+DO13+DO14+DO15+DO16+DO17+DO19+DO20+DO21+DO22)/T2),0)</f>
        <v/>
      </c>
      <c r="DY22" s="5">
        <f>IFERROR(ROUND(DO22/DQ22,2),0)</f>
        <v/>
      </c>
      <c r="DZ22" s="5">
        <f>IFERROR(ROUND(DO22/DR22,2),0)</f>
        <v/>
      </c>
      <c r="EA22" s="2" t="inlineStr">
        <is>
          <t>2023-09-30</t>
        </is>
      </c>
      <c r="EB22" s="5">
        <f>ROUND(0.0,2)</f>
        <v/>
      </c>
      <c r="EC22" s="3">
        <f>ROUND(0.0,2)</f>
        <v/>
      </c>
      <c r="ED22" s="3">
        <f>ROUND(0.0,2)</f>
        <v/>
      </c>
      <c r="EE22" s="3">
        <f>ROUND(0.0,2)</f>
        <v/>
      </c>
      <c r="EF22" s="3">
        <f>ROUND(0.0,2)</f>
        <v/>
      </c>
      <c r="EG22" s="3">
        <f>ROUND(0.0,2)</f>
        <v/>
      </c>
      <c r="EH22" s="3">
        <f>ROUND(0.0,2)</f>
        <v/>
      </c>
      <c r="EI22" s="3">
        <f>ROUND(0.0,2)</f>
        <v/>
      </c>
      <c r="EJ22" s="4">
        <f>IFERROR((ED22/EC22),0)</f>
        <v/>
      </c>
      <c r="EK22" s="4">
        <f>IFERROR(((0+EB11+EB12+EB13+EB14+EB15+EB16+EB17+EB19+EB20+EB21+EB22)/T2),0)</f>
        <v/>
      </c>
      <c r="EL22" s="5">
        <f>IFERROR(ROUND(EB22/ED22,2),0)</f>
        <v/>
      </c>
      <c r="EM22" s="5">
        <f>IFERROR(ROUND(EB22/EE22,2),0)</f>
        <v/>
      </c>
    </row>
    <row r="23">
      <c r="A23" s="2" t="inlineStr">
        <is>
          <t>2023-10-01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IFERROR(((0+B11+B12+B13+B14+B15+B16+B17+B19+B20+B21+B22+B23)/T2),0)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2023-10-01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IFERROR(((0+O11+O12+O13+O14+O15+O16+O17+O19+O20+O21+O22+O23)/T2),0)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2023-10-01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IFERROR(((0+AB11+AB12+AB13+AB14+AB15+AB16+AB17+AB19+AB20+AB21+AB22+AB23)/T2),0)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2023-10-01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IFERROR(((0+AO11+AO12+AO13+AO14+AO15+AO16+AO17+AO19+AO20+AO21+AO22+AO23)/T2),0)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2023-10-01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IFERROR(((0+BB11+BB12+BB13+BB14+BB15+BB16+BB17+BB19+BB20+BB21+BB22+BB23)/T2),0)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2023-10-01</t>
        </is>
      </c>
      <c r="BO23" s="5">
        <f>ROUND(0.0,2)</f>
        <v/>
      </c>
      <c r="BP23" s="3">
        <f>ROUND(0.0,2)</f>
        <v/>
      </c>
      <c r="BQ23" s="3">
        <f>ROUND(0.0,2)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IFERROR(((0+BO11+BO12+BO13+BO14+BO15+BO16+BO17+BO19+BO20+BO21+BO22+BO23)/T2),0)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2023-10-01</t>
        </is>
      </c>
      <c r="CB23" s="5">
        <f>ROUND(0.0,2)</f>
        <v/>
      </c>
      <c r="CC23" s="3">
        <f>ROUND(0.0,2)</f>
        <v/>
      </c>
      <c r="CD23" s="3">
        <f>ROUND(0.0,2)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IFERROR(((0+CB11+CB12+CB13+CB14+CB15+CB16+CB17+CB19+CB20+CB21+CB22+CB23)/T2),0)</f>
        <v/>
      </c>
      <c r="CL23" s="5">
        <f>IFERROR(ROUND(CB23/CD23,2),0)</f>
        <v/>
      </c>
      <c r="CM23" s="5">
        <f>IFERROR(ROUND(CB23/CE23,2),0)</f>
        <v/>
      </c>
      <c r="CN23" s="2" t="inlineStr">
        <is>
          <t>2023-10-01</t>
        </is>
      </c>
      <c r="CO23" s="5">
        <f>ROUND(0.0,2)</f>
        <v/>
      </c>
      <c r="CP23" s="3">
        <f>ROUND(0.0,2)</f>
        <v/>
      </c>
      <c r="CQ23" s="3">
        <f>ROUND(0.0,2)</f>
        <v/>
      </c>
      <c r="CR23" s="3">
        <f>ROUND(0.0,2)</f>
        <v/>
      </c>
      <c r="CS23" s="3">
        <f>ROUND(0.0,2)</f>
        <v/>
      </c>
      <c r="CT23" s="3">
        <f>ROUND(0.0,2)</f>
        <v/>
      </c>
      <c r="CU23" s="3">
        <f>ROUND(0.0,2)</f>
        <v/>
      </c>
      <c r="CV23" s="3">
        <f>ROUND(0.0,2)</f>
        <v/>
      </c>
      <c r="CW23" s="4">
        <f>IFERROR((CQ23/CP23),0)</f>
        <v/>
      </c>
      <c r="CX23" s="4">
        <f>IFERROR(((0+CO11+CO12+CO13+CO14+CO15+CO16+CO17+CO19+CO20+CO21+CO22+CO23)/T2),0)</f>
        <v/>
      </c>
      <c r="CY23" s="5">
        <f>IFERROR(ROUND(CO23/CQ23,2),0)</f>
        <v/>
      </c>
      <c r="CZ23" s="5">
        <f>IFERROR(ROUND(CO23/CR23,2),0)</f>
        <v/>
      </c>
      <c r="DA23" s="2" t="inlineStr">
        <is>
          <t>2023-10-01</t>
        </is>
      </c>
      <c r="DB23" s="5">
        <f>ROUND(0.0,2)</f>
        <v/>
      </c>
      <c r="DC23" s="3">
        <f>ROUND(0.0,2)</f>
        <v/>
      </c>
      <c r="DD23" s="3">
        <f>ROUND(0.0,2)</f>
        <v/>
      </c>
      <c r="DE23" s="3">
        <f>ROUND(0.0,2)</f>
        <v/>
      </c>
      <c r="DF23" s="3">
        <f>ROUND(0.0,2)</f>
        <v/>
      </c>
      <c r="DG23" s="3">
        <f>ROUND(0.0,2)</f>
        <v/>
      </c>
      <c r="DH23" s="3">
        <f>ROUND(0.0,2)</f>
        <v/>
      </c>
      <c r="DI23" s="3">
        <f>ROUND(0.0,2)</f>
        <v/>
      </c>
      <c r="DJ23" s="4">
        <f>IFERROR((DD23/DC23),0)</f>
        <v/>
      </c>
      <c r="DK23" s="4">
        <f>IFERROR(((0+DB11+DB12+DB13+DB14+DB15+DB16+DB17+DB19+DB20+DB21+DB22+DB23)/T2),0)</f>
        <v/>
      </c>
      <c r="DL23" s="5">
        <f>IFERROR(ROUND(DB23/DD23,2),0)</f>
        <v/>
      </c>
      <c r="DM23" s="5">
        <f>IFERROR(ROUND(DB23/DE23,2),0)</f>
        <v/>
      </c>
      <c r="DN23" s="2" t="inlineStr">
        <is>
          <t>2023-10-01</t>
        </is>
      </c>
      <c r="DO23" s="5">
        <f>ROUND(0.0,2)</f>
        <v/>
      </c>
      <c r="DP23" s="3">
        <f>ROUND(0.0,2)</f>
        <v/>
      </c>
      <c r="DQ23" s="3">
        <f>ROUND(0.0,2)</f>
        <v/>
      </c>
      <c r="DR23" s="3">
        <f>ROUND(0.0,2)</f>
        <v/>
      </c>
      <c r="DS23" s="3">
        <f>ROUND(0.0,2)</f>
        <v/>
      </c>
      <c r="DT23" s="3">
        <f>ROUND(0.0,2)</f>
        <v/>
      </c>
      <c r="DU23" s="3">
        <f>ROUND(0.0,2)</f>
        <v/>
      </c>
      <c r="DV23" s="3">
        <f>ROUND(0.0,2)</f>
        <v/>
      </c>
      <c r="DW23" s="4">
        <f>IFERROR((DQ23/DP23),0)</f>
        <v/>
      </c>
      <c r="DX23" s="4">
        <f>IFERROR(((0+DO11+DO12+DO13+DO14+DO15+DO16+DO17+DO19+DO20+DO21+DO22+DO23)/T2),0)</f>
        <v/>
      </c>
      <c r="DY23" s="5">
        <f>IFERROR(ROUND(DO23/DQ23,2),0)</f>
        <v/>
      </c>
      <c r="DZ23" s="5">
        <f>IFERROR(ROUND(DO23/DR23,2),0)</f>
        <v/>
      </c>
      <c r="EA23" s="2" t="inlineStr">
        <is>
          <t>2023-10-01</t>
        </is>
      </c>
      <c r="EB23" s="5">
        <f>ROUND(0.0,2)</f>
        <v/>
      </c>
      <c r="EC23" s="3">
        <f>ROUND(0.0,2)</f>
        <v/>
      </c>
      <c r="ED23" s="3">
        <f>ROUND(0.0,2)</f>
        <v/>
      </c>
      <c r="EE23" s="3">
        <f>ROUND(0.0,2)</f>
        <v/>
      </c>
      <c r="EF23" s="3">
        <f>ROUND(0.0,2)</f>
        <v/>
      </c>
      <c r="EG23" s="3">
        <f>ROUND(0.0,2)</f>
        <v/>
      </c>
      <c r="EH23" s="3">
        <f>ROUND(0.0,2)</f>
        <v/>
      </c>
      <c r="EI23" s="3">
        <f>ROUND(0.0,2)</f>
        <v/>
      </c>
      <c r="EJ23" s="4">
        <f>IFERROR((ED23/EC23),0)</f>
        <v/>
      </c>
      <c r="EK23" s="4">
        <f>IFERROR(((0+EB11+EB12+EB13+EB14+EB15+EB16+EB17+EB19+EB20+EB21+EB22+EB23)/T2),0)</f>
        <v/>
      </c>
      <c r="EL23" s="5">
        <f>IFERROR(ROUND(EB23/ED23,2),0)</f>
        <v/>
      </c>
      <c r="EM23" s="5">
        <f>IFERROR(ROUND(EB23/EE23,2),0)</f>
        <v/>
      </c>
    </row>
    <row r="24">
      <c r="A24" s="2" t="inlineStr">
        <is>
          <t>2023-10-02</t>
        </is>
      </c>
      <c r="B24" s="5">
        <f>ROUND(0.0,2)</f>
        <v/>
      </c>
      <c r="C24" s="3">
        <f>ROUND(0.0,2)</f>
        <v/>
      </c>
      <c r="D24" s="3">
        <f>ROUND(0.0,2)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IFERROR(((0+B11+B12+B13+B14+B15+B16+B17+B19+B20+B21+B22+B23+B24)/T2),0)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2023-10-02</t>
        </is>
      </c>
      <c r="O24" s="5">
        <f>ROUND(0.0,2)</f>
        <v/>
      </c>
      <c r="P24" s="3">
        <f>ROUND(0.0,2)</f>
        <v/>
      </c>
      <c r="Q24" s="3">
        <f>ROUND(0.0,2)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IFERROR(((0+O11+O12+O13+O14+O15+O16+O17+O19+O20+O21+O22+O23+O24)/T2),0)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2023-10-02</t>
        </is>
      </c>
      <c r="AB24" s="5">
        <f>ROUND(0.0,2)</f>
        <v/>
      </c>
      <c r="AC24" s="3">
        <f>ROUND(0.0,2)</f>
        <v/>
      </c>
      <c r="AD24" s="3">
        <f>ROUND(0.0,2)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IFERROR(((0+AB11+AB12+AB13+AB14+AB15+AB16+AB17+AB19+AB20+AB21+AB22+AB23+AB24)/T2),0)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2023-10-02</t>
        </is>
      </c>
      <c r="AO24" s="5">
        <f>ROUND(0.0,2)</f>
        <v/>
      </c>
      <c r="AP24" s="3">
        <f>ROUND(0.0,2)</f>
        <v/>
      </c>
      <c r="AQ24" s="3">
        <f>ROUND(0.0,2)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IFERROR(((0+AO11+AO12+AO13+AO14+AO15+AO16+AO17+AO19+AO20+AO21+AO22+AO23+AO24)/T2),0)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2023-10-02</t>
        </is>
      </c>
      <c r="BB24" s="5">
        <f>ROUND(0.0,2)</f>
        <v/>
      </c>
      <c r="BC24" s="3">
        <f>ROUND(0.0,2)</f>
        <v/>
      </c>
      <c r="BD24" s="3">
        <f>ROUND(0.0,2)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IFERROR(((0+BB11+BB12+BB13+BB14+BB15+BB16+BB17+BB19+BB20+BB21+BB22+BB23+BB24)/T2),0)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2023-10-02</t>
        </is>
      </c>
      <c r="BO24" s="5">
        <f>ROUND(0.0,2)</f>
        <v/>
      </c>
      <c r="BP24" s="3">
        <f>ROUND(0.0,2)</f>
        <v/>
      </c>
      <c r="BQ24" s="3">
        <f>ROUND(0.0,2)</f>
        <v/>
      </c>
      <c r="BR24" s="3">
        <f>ROUND(0.0,2)</f>
        <v/>
      </c>
      <c r="BS24" s="3">
        <f>ROUND(0.0,2)</f>
        <v/>
      </c>
      <c r="BT24" s="3">
        <f>ROUND(0.0,2)</f>
        <v/>
      </c>
      <c r="BU24" s="3">
        <f>ROUND(0.0,2)</f>
        <v/>
      </c>
      <c r="BV24" s="3">
        <f>ROUND(0.0,2)</f>
        <v/>
      </c>
      <c r="BW24" s="4">
        <f>IFERROR((BQ24/BP24),0)</f>
        <v/>
      </c>
      <c r="BX24" s="4">
        <f>IFERROR(((0+BO11+BO12+BO13+BO14+BO15+BO16+BO17+BO19+BO20+BO21+BO22+BO23+BO24)/T2),0)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2023-10-02</t>
        </is>
      </c>
      <c r="CB24" s="5">
        <f>ROUND(0.0,2)</f>
        <v/>
      </c>
      <c r="CC24" s="3">
        <f>ROUND(0.0,2)</f>
        <v/>
      </c>
      <c r="CD24" s="3">
        <f>ROUND(0.0,2)</f>
        <v/>
      </c>
      <c r="CE24" s="3">
        <f>ROUND(0.0,2)</f>
        <v/>
      </c>
      <c r="CF24" s="3">
        <f>ROUND(0.0,2)</f>
        <v/>
      </c>
      <c r="CG24" s="3">
        <f>ROUND(0.0,2)</f>
        <v/>
      </c>
      <c r="CH24" s="3">
        <f>ROUND(0.0,2)</f>
        <v/>
      </c>
      <c r="CI24" s="3">
        <f>ROUND(0.0,2)</f>
        <v/>
      </c>
      <c r="CJ24" s="4">
        <f>IFERROR((CD24/CC24),0)</f>
        <v/>
      </c>
      <c r="CK24" s="4">
        <f>IFERROR(((0+CB11+CB12+CB13+CB14+CB15+CB16+CB17+CB19+CB20+CB21+CB22+CB23+CB24)/T2),0)</f>
        <v/>
      </c>
      <c r="CL24" s="5">
        <f>IFERROR(ROUND(CB24/CD24,2),0)</f>
        <v/>
      </c>
      <c r="CM24" s="5">
        <f>IFERROR(ROUND(CB24/CE24,2),0)</f>
        <v/>
      </c>
      <c r="CN24" s="2" t="inlineStr">
        <is>
          <t>2023-10-02</t>
        </is>
      </c>
      <c r="CO24" s="5">
        <f>ROUND(0.0,2)</f>
        <v/>
      </c>
      <c r="CP24" s="3">
        <f>ROUND(0.0,2)</f>
        <v/>
      </c>
      <c r="CQ24" s="3">
        <f>ROUND(0.0,2)</f>
        <v/>
      </c>
      <c r="CR24" s="3">
        <f>ROUND(0.0,2)</f>
        <v/>
      </c>
      <c r="CS24" s="3">
        <f>ROUND(0.0,2)</f>
        <v/>
      </c>
      <c r="CT24" s="3">
        <f>ROUND(0.0,2)</f>
        <v/>
      </c>
      <c r="CU24" s="3">
        <f>ROUND(0.0,2)</f>
        <v/>
      </c>
      <c r="CV24" s="3">
        <f>ROUND(0.0,2)</f>
        <v/>
      </c>
      <c r="CW24" s="4">
        <f>IFERROR((CQ24/CP24),0)</f>
        <v/>
      </c>
      <c r="CX24" s="4">
        <f>IFERROR(((0+CO11+CO12+CO13+CO14+CO15+CO16+CO17+CO19+CO20+CO21+CO22+CO23+CO24)/T2),0)</f>
        <v/>
      </c>
      <c r="CY24" s="5">
        <f>IFERROR(ROUND(CO24/CQ24,2),0)</f>
        <v/>
      </c>
      <c r="CZ24" s="5">
        <f>IFERROR(ROUND(CO24/CR24,2),0)</f>
        <v/>
      </c>
      <c r="DA24" s="2" t="inlineStr">
        <is>
          <t>2023-10-02</t>
        </is>
      </c>
      <c r="DB24" s="5">
        <f>ROUND(0.0,2)</f>
        <v/>
      </c>
      <c r="DC24" s="3">
        <f>ROUND(0.0,2)</f>
        <v/>
      </c>
      <c r="DD24" s="3">
        <f>ROUND(0.0,2)</f>
        <v/>
      </c>
      <c r="DE24" s="3">
        <f>ROUND(0.0,2)</f>
        <v/>
      </c>
      <c r="DF24" s="3">
        <f>ROUND(0.0,2)</f>
        <v/>
      </c>
      <c r="DG24" s="3">
        <f>ROUND(0.0,2)</f>
        <v/>
      </c>
      <c r="DH24" s="3">
        <f>ROUND(0.0,2)</f>
        <v/>
      </c>
      <c r="DI24" s="3">
        <f>ROUND(0.0,2)</f>
        <v/>
      </c>
      <c r="DJ24" s="4">
        <f>IFERROR((DD24/DC24),0)</f>
        <v/>
      </c>
      <c r="DK24" s="4">
        <f>IFERROR(((0+DB11+DB12+DB13+DB14+DB15+DB16+DB17+DB19+DB20+DB21+DB22+DB23+DB24)/T2),0)</f>
        <v/>
      </c>
      <c r="DL24" s="5">
        <f>IFERROR(ROUND(DB24/DD24,2),0)</f>
        <v/>
      </c>
      <c r="DM24" s="5">
        <f>IFERROR(ROUND(DB24/DE24,2),0)</f>
        <v/>
      </c>
      <c r="DN24" s="2" t="inlineStr">
        <is>
          <t>2023-10-02</t>
        </is>
      </c>
      <c r="DO24" s="5">
        <f>ROUND(0.0,2)</f>
        <v/>
      </c>
      <c r="DP24" s="3">
        <f>ROUND(0.0,2)</f>
        <v/>
      </c>
      <c r="DQ24" s="3">
        <f>ROUND(0.0,2)</f>
        <v/>
      </c>
      <c r="DR24" s="3">
        <f>ROUND(0.0,2)</f>
        <v/>
      </c>
      <c r="DS24" s="3">
        <f>ROUND(0.0,2)</f>
        <v/>
      </c>
      <c r="DT24" s="3">
        <f>ROUND(0.0,2)</f>
        <v/>
      </c>
      <c r="DU24" s="3">
        <f>ROUND(0.0,2)</f>
        <v/>
      </c>
      <c r="DV24" s="3">
        <f>ROUND(0.0,2)</f>
        <v/>
      </c>
      <c r="DW24" s="4">
        <f>IFERROR((DQ24/DP24),0)</f>
        <v/>
      </c>
      <c r="DX24" s="4">
        <f>IFERROR(((0+DO11+DO12+DO13+DO14+DO15+DO16+DO17+DO19+DO20+DO21+DO22+DO23+DO24)/T2),0)</f>
        <v/>
      </c>
      <c r="DY24" s="5">
        <f>IFERROR(ROUND(DO24/DQ24,2),0)</f>
        <v/>
      </c>
      <c r="DZ24" s="5">
        <f>IFERROR(ROUND(DO24/DR24,2),0)</f>
        <v/>
      </c>
      <c r="EA24" s="2" t="inlineStr">
        <is>
          <t>2023-10-02</t>
        </is>
      </c>
      <c r="EB24" s="5">
        <f>ROUND(0.0,2)</f>
        <v/>
      </c>
      <c r="EC24" s="3">
        <f>ROUND(0.0,2)</f>
        <v/>
      </c>
      <c r="ED24" s="3">
        <f>ROUND(0.0,2)</f>
        <v/>
      </c>
      <c r="EE24" s="3">
        <f>ROUND(0.0,2)</f>
        <v/>
      </c>
      <c r="EF24" s="3">
        <f>ROUND(0.0,2)</f>
        <v/>
      </c>
      <c r="EG24" s="3">
        <f>ROUND(0.0,2)</f>
        <v/>
      </c>
      <c r="EH24" s="3">
        <f>ROUND(0.0,2)</f>
        <v/>
      </c>
      <c r="EI24" s="3">
        <f>ROUND(0.0,2)</f>
        <v/>
      </c>
      <c r="EJ24" s="4">
        <f>IFERROR((ED24/EC24),0)</f>
        <v/>
      </c>
      <c r="EK24" s="4">
        <f>IFERROR(((0+EB11+EB12+EB13+EB14+EB15+EB16+EB17+EB19+EB20+EB21+EB22+EB23+EB24)/T2),0)</f>
        <v/>
      </c>
      <c r="EL24" s="5">
        <f>IFERROR(ROUND(EB24/ED24,2),0)</f>
        <v/>
      </c>
      <c r="EM24" s="5">
        <f>IFERROR(ROUND(EB24/EE24,2),0)</f>
        <v/>
      </c>
    </row>
    <row r="25">
      <c r="A25" s="2" t="inlineStr">
        <is>
          <t>2023-10-03</t>
        </is>
      </c>
      <c r="B25" s="5">
        <f>ROUND(0.0,2)</f>
        <v/>
      </c>
      <c r="C25" s="3">
        <f>ROUND(0.0,2)</f>
        <v/>
      </c>
      <c r="D25" s="3">
        <f>ROUND(0.0,2)</f>
        <v/>
      </c>
      <c r="E25" s="3">
        <f>ROUND(0.0,2)</f>
        <v/>
      </c>
      <c r="F25" s="3">
        <f>ROUND(0.0,2)</f>
        <v/>
      </c>
      <c r="G25" s="3">
        <f>ROUND(0.0,2)</f>
        <v/>
      </c>
      <c r="H25" s="3">
        <f>ROUND(0.0,2)</f>
        <v/>
      </c>
      <c r="I25" s="3">
        <f>ROUND(0.0,2)</f>
        <v/>
      </c>
      <c r="J25" s="4">
        <f>IFERROR((D25/C25),0)</f>
        <v/>
      </c>
      <c r="K25" s="4">
        <f>IFERROR(((0+B11+B12+B13+B14+B15+B16+B17+B19+B20+B21+B22+B23+B24+B25)/T2),0)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2023-10-03</t>
        </is>
      </c>
      <c r="O25" s="5">
        <f>ROUND(0.0,2)</f>
        <v/>
      </c>
      <c r="P25" s="3">
        <f>ROUND(0.0,2)</f>
        <v/>
      </c>
      <c r="Q25" s="3">
        <f>ROUND(0.0,2)</f>
        <v/>
      </c>
      <c r="R25" s="3">
        <f>ROUND(0.0,2)</f>
        <v/>
      </c>
      <c r="S25" s="3">
        <f>ROUND(0.0,2)</f>
        <v/>
      </c>
      <c r="T25" s="3">
        <f>ROUND(0.0,2)</f>
        <v/>
      </c>
      <c r="U25" s="3">
        <f>ROUND(0.0,2)</f>
        <v/>
      </c>
      <c r="V25" s="3">
        <f>ROUND(0.0,2)</f>
        <v/>
      </c>
      <c r="W25" s="4">
        <f>IFERROR((Q25/P25),0)</f>
        <v/>
      </c>
      <c r="X25" s="4">
        <f>IFERROR(((0+O11+O12+O13+O14+O15+O16+O17+O19+O20+O21+O22+O23+O24+O25)/T2),0)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2023-10-03</t>
        </is>
      </c>
      <c r="AB25" s="5">
        <f>ROUND(0.0,2)</f>
        <v/>
      </c>
      <c r="AC25" s="3">
        <f>ROUND(0.0,2)</f>
        <v/>
      </c>
      <c r="AD25" s="3">
        <f>ROUND(0.0,2)</f>
        <v/>
      </c>
      <c r="AE25" s="3">
        <f>ROUND(0.0,2)</f>
        <v/>
      </c>
      <c r="AF25" s="3">
        <f>ROUND(0.0,2)</f>
        <v/>
      </c>
      <c r="AG25" s="3">
        <f>ROUND(0.0,2)</f>
        <v/>
      </c>
      <c r="AH25" s="3">
        <f>ROUND(0.0,2)</f>
        <v/>
      </c>
      <c r="AI25" s="3">
        <f>ROUND(0.0,2)</f>
        <v/>
      </c>
      <c r="AJ25" s="4">
        <f>IFERROR((AD25/AC25),0)</f>
        <v/>
      </c>
      <c r="AK25" s="4">
        <f>IFERROR(((0+AB11+AB12+AB13+AB14+AB15+AB16+AB17+AB19+AB20+AB21+AB22+AB23+AB24+AB25)/T2),0)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2023-10-03</t>
        </is>
      </c>
      <c r="AO25" s="5">
        <f>ROUND(0.0,2)</f>
        <v/>
      </c>
      <c r="AP25" s="3">
        <f>ROUND(0.0,2)</f>
        <v/>
      </c>
      <c r="AQ25" s="3">
        <f>ROUND(0.0,2)</f>
        <v/>
      </c>
      <c r="AR25" s="3">
        <f>ROUND(0.0,2)</f>
        <v/>
      </c>
      <c r="AS25" s="3">
        <f>ROUND(0.0,2)</f>
        <v/>
      </c>
      <c r="AT25" s="3">
        <f>ROUND(0.0,2)</f>
        <v/>
      </c>
      <c r="AU25" s="3">
        <f>ROUND(0.0,2)</f>
        <v/>
      </c>
      <c r="AV25" s="3">
        <f>ROUND(0.0,2)</f>
        <v/>
      </c>
      <c r="AW25" s="4">
        <f>IFERROR((AQ25/AP25),0)</f>
        <v/>
      </c>
      <c r="AX25" s="4">
        <f>IFERROR(((0+AO11+AO12+AO13+AO14+AO15+AO16+AO17+AO19+AO20+AO21+AO22+AO23+AO24+AO25)/T2),0)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2023-10-03</t>
        </is>
      </c>
      <c r="BB25" s="5">
        <f>ROUND(0.0,2)</f>
        <v/>
      </c>
      <c r="BC25" s="3">
        <f>ROUND(0.0,2)</f>
        <v/>
      </c>
      <c r="BD25" s="3">
        <f>ROUND(0.0,2)</f>
        <v/>
      </c>
      <c r="BE25" s="3">
        <f>ROUND(0.0,2)</f>
        <v/>
      </c>
      <c r="BF25" s="3">
        <f>ROUND(0.0,2)</f>
        <v/>
      </c>
      <c r="BG25" s="3">
        <f>ROUND(0.0,2)</f>
        <v/>
      </c>
      <c r="BH25" s="3">
        <f>ROUND(0.0,2)</f>
        <v/>
      </c>
      <c r="BI25" s="3">
        <f>ROUND(0.0,2)</f>
        <v/>
      </c>
      <c r="BJ25" s="4">
        <f>IFERROR((BD25/BC25),0)</f>
        <v/>
      </c>
      <c r="BK25" s="4">
        <f>IFERROR(((0+BB11+BB12+BB13+BB14+BB15+BB16+BB17+BB19+BB20+BB21+BB22+BB23+BB24+BB25)/T2),0)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2023-10-03</t>
        </is>
      </c>
      <c r="BO25" s="5">
        <f>ROUND(0.0,2)</f>
        <v/>
      </c>
      <c r="BP25" s="3">
        <f>ROUND(0.0,2)</f>
        <v/>
      </c>
      <c r="BQ25" s="3">
        <f>ROUND(0.0,2)</f>
        <v/>
      </c>
      <c r="BR25" s="3">
        <f>ROUND(0.0,2)</f>
        <v/>
      </c>
      <c r="BS25" s="3">
        <f>ROUND(0.0,2)</f>
        <v/>
      </c>
      <c r="BT25" s="3">
        <f>ROUND(0.0,2)</f>
        <v/>
      </c>
      <c r="BU25" s="3">
        <f>ROUND(0.0,2)</f>
        <v/>
      </c>
      <c r="BV25" s="3">
        <f>ROUND(0.0,2)</f>
        <v/>
      </c>
      <c r="BW25" s="4">
        <f>IFERROR((BQ25/BP25),0)</f>
        <v/>
      </c>
      <c r="BX25" s="4">
        <f>IFERROR(((0+BO11+BO12+BO13+BO14+BO15+BO16+BO17+BO19+BO20+BO21+BO22+BO23+BO24+BO25)/T2),0)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2023-10-03</t>
        </is>
      </c>
      <c r="CB25" s="5">
        <f>ROUND(0.0,2)</f>
        <v/>
      </c>
      <c r="CC25" s="3">
        <f>ROUND(0.0,2)</f>
        <v/>
      </c>
      <c r="CD25" s="3">
        <f>ROUND(0.0,2)</f>
        <v/>
      </c>
      <c r="CE25" s="3">
        <f>ROUND(0.0,2)</f>
        <v/>
      </c>
      <c r="CF25" s="3">
        <f>ROUND(0.0,2)</f>
        <v/>
      </c>
      <c r="CG25" s="3">
        <f>ROUND(0.0,2)</f>
        <v/>
      </c>
      <c r="CH25" s="3">
        <f>ROUND(0.0,2)</f>
        <v/>
      </c>
      <c r="CI25" s="3">
        <f>ROUND(0.0,2)</f>
        <v/>
      </c>
      <c r="CJ25" s="4">
        <f>IFERROR((CD25/CC25),0)</f>
        <v/>
      </c>
      <c r="CK25" s="4">
        <f>IFERROR(((0+CB11+CB12+CB13+CB14+CB15+CB16+CB17+CB19+CB20+CB21+CB22+CB23+CB24+CB25)/T2),0)</f>
        <v/>
      </c>
      <c r="CL25" s="5">
        <f>IFERROR(ROUND(CB25/CD25,2),0)</f>
        <v/>
      </c>
      <c r="CM25" s="5">
        <f>IFERROR(ROUND(CB25/CE25,2),0)</f>
        <v/>
      </c>
      <c r="CN25" s="2" t="inlineStr">
        <is>
          <t>2023-10-03</t>
        </is>
      </c>
      <c r="CO25" s="5">
        <f>ROUND(0.0,2)</f>
        <v/>
      </c>
      <c r="CP25" s="3">
        <f>ROUND(0.0,2)</f>
        <v/>
      </c>
      <c r="CQ25" s="3">
        <f>ROUND(0.0,2)</f>
        <v/>
      </c>
      <c r="CR25" s="3">
        <f>ROUND(0.0,2)</f>
        <v/>
      </c>
      <c r="CS25" s="3">
        <f>ROUND(0.0,2)</f>
        <v/>
      </c>
      <c r="CT25" s="3">
        <f>ROUND(0.0,2)</f>
        <v/>
      </c>
      <c r="CU25" s="3">
        <f>ROUND(0.0,2)</f>
        <v/>
      </c>
      <c r="CV25" s="3">
        <f>ROUND(0.0,2)</f>
        <v/>
      </c>
      <c r="CW25" s="4">
        <f>IFERROR((CQ25/CP25),0)</f>
        <v/>
      </c>
      <c r="CX25" s="4">
        <f>IFERROR(((0+CO11+CO12+CO13+CO14+CO15+CO16+CO17+CO19+CO20+CO21+CO22+CO23+CO24+CO25)/T2),0)</f>
        <v/>
      </c>
      <c r="CY25" s="5">
        <f>IFERROR(ROUND(CO25/CQ25,2),0)</f>
        <v/>
      </c>
      <c r="CZ25" s="5">
        <f>IFERROR(ROUND(CO25/CR25,2),0)</f>
        <v/>
      </c>
      <c r="DA25" s="2" t="inlineStr">
        <is>
          <t>2023-10-03</t>
        </is>
      </c>
      <c r="DB25" s="5">
        <f>ROUND(0.0,2)</f>
        <v/>
      </c>
      <c r="DC25" s="3">
        <f>ROUND(0.0,2)</f>
        <v/>
      </c>
      <c r="DD25" s="3">
        <f>ROUND(0.0,2)</f>
        <v/>
      </c>
      <c r="DE25" s="3">
        <f>ROUND(0.0,2)</f>
        <v/>
      </c>
      <c r="DF25" s="3">
        <f>ROUND(0.0,2)</f>
        <v/>
      </c>
      <c r="DG25" s="3">
        <f>ROUND(0.0,2)</f>
        <v/>
      </c>
      <c r="DH25" s="3">
        <f>ROUND(0.0,2)</f>
        <v/>
      </c>
      <c r="DI25" s="3">
        <f>ROUND(0.0,2)</f>
        <v/>
      </c>
      <c r="DJ25" s="4">
        <f>IFERROR((DD25/DC25),0)</f>
        <v/>
      </c>
      <c r="DK25" s="4">
        <f>IFERROR(((0+DB11+DB12+DB13+DB14+DB15+DB16+DB17+DB19+DB20+DB21+DB22+DB23+DB24+DB25)/T2),0)</f>
        <v/>
      </c>
      <c r="DL25" s="5">
        <f>IFERROR(ROUND(DB25/DD25,2),0)</f>
        <v/>
      </c>
      <c r="DM25" s="5">
        <f>IFERROR(ROUND(DB25/DE25,2),0)</f>
        <v/>
      </c>
      <c r="DN25" s="2" t="inlineStr">
        <is>
          <t>2023-10-03</t>
        </is>
      </c>
      <c r="DO25" s="5">
        <f>ROUND(0.0,2)</f>
        <v/>
      </c>
      <c r="DP25" s="3">
        <f>ROUND(0.0,2)</f>
        <v/>
      </c>
      <c r="DQ25" s="3">
        <f>ROUND(0.0,2)</f>
        <v/>
      </c>
      <c r="DR25" s="3">
        <f>ROUND(0.0,2)</f>
        <v/>
      </c>
      <c r="DS25" s="3">
        <f>ROUND(0.0,2)</f>
        <v/>
      </c>
      <c r="DT25" s="3">
        <f>ROUND(0.0,2)</f>
        <v/>
      </c>
      <c r="DU25" s="3">
        <f>ROUND(0.0,2)</f>
        <v/>
      </c>
      <c r="DV25" s="3">
        <f>ROUND(0.0,2)</f>
        <v/>
      </c>
      <c r="DW25" s="4">
        <f>IFERROR((DQ25/DP25),0)</f>
        <v/>
      </c>
      <c r="DX25" s="4">
        <f>IFERROR(((0+DO11+DO12+DO13+DO14+DO15+DO16+DO17+DO19+DO20+DO21+DO22+DO23+DO24+DO25)/T2),0)</f>
        <v/>
      </c>
      <c r="DY25" s="5">
        <f>IFERROR(ROUND(DO25/DQ25,2),0)</f>
        <v/>
      </c>
      <c r="DZ25" s="5">
        <f>IFERROR(ROUND(DO25/DR25,2),0)</f>
        <v/>
      </c>
      <c r="EA25" s="2" t="inlineStr">
        <is>
          <t>2023-10-03</t>
        </is>
      </c>
      <c r="EB25" s="5">
        <f>ROUND(0.0,2)</f>
        <v/>
      </c>
      <c r="EC25" s="3">
        <f>ROUND(0.0,2)</f>
        <v/>
      </c>
      <c r="ED25" s="3">
        <f>ROUND(0.0,2)</f>
        <v/>
      </c>
      <c r="EE25" s="3">
        <f>ROUND(0.0,2)</f>
        <v/>
      </c>
      <c r="EF25" s="3">
        <f>ROUND(0.0,2)</f>
        <v/>
      </c>
      <c r="EG25" s="3">
        <f>ROUND(0.0,2)</f>
        <v/>
      </c>
      <c r="EH25" s="3">
        <f>ROUND(0.0,2)</f>
        <v/>
      </c>
      <c r="EI25" s="3">
        <f>ROUND(0.0,2)</f>
        <v/>
      </c>
      <c r="EJ25" s="4">
        <f>IFERROR((ED25/EC25),0)</f>
        <v/>
      </c>
      <c r="EK25" s="4">
        <f>IFERROR(((0+EB11+EB12+EB13+EB14+EB15+EB16+EB17+EB19+EB20+EB21+EB22+EB23+EB24+EB25)/T2),0)</f>
        <v/>
      </c>
      <c r="EL25" s="5">
        <f>IFERROR(ROUND(EB25/ED25,2),0)</f>
        <v/>
      </c>
      <c r="EM25" s="5">
        <f>IFERROR(ROUND(EB25/EE25,2),0)</f>
        <v/>
      </c>
    </row>
    <row r="26">
      <c r="A26" s="2" t="inlineStr">
        <is>
          <t>2 Weekly Total</t>
        </is>
      </c>
      <c r="B26" s="5">
        <f>ROUND(0.0,2)</f>
        <v/>
      </c>
      <c r="C26" s="3">
        <f>ROUND(0.0,2)</f>
        <v/>
      </c>
      <c r="D26" s="3">
        <f>ROUND(0.0,2)</f>
        <v/>
      </c>
      <c r="E26" s="3">
        <f>ROUND(0.0,2)</f>
        <v/>
      </c>
      <c r="F26" s="3">
        <f>ROUND(0.0,2)</f>
        <v/>
      </c>
      <c r="G26" s="3">
        <f>ROUND(0.0,2)</f>
        <v/>
      </c>
      <c r="H26" s="3">
        <f>ROUND(0.0,2)</f>
        <v/>
      </c>
      <c r="I26" s="3">
        <f>ROUND(0.0,2)</f>
        <v/>
      </c>
      <c r="J26" s="4">
        <f>IFERROR((D26/C26),0)</f>
        <v/>
      </c>
      <c r="K26" s="4">
        <f>IFERROR(((0+B11+B12+B13+B14+B15+B16+B17+B19+B20+B21+B22+B23+B24+B25)/T2),0)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 Weekly Total</t>
        </is>
      </c>
      <c r="O26" s="5">
        <f>ROUND(0.0,2)</f>
        <v/>
      </c>
      <c r="P26" s="3">
        <f>ROUND(0.0,2)</f>
        <v/>
      </c>
      <c r="Q26" s="3">
        <f>ROUND(0.0,2)</f>
        <v/>
      </c>
      <c r="R26" s="3">
        <f>ROUND(0.0,2)</f>
        <v/>
      </c>
      <c r="S26" s="3">
        <f>ROUND(0.0,2)</f>
        <v/>
      </c>
      <c r="T26" s="3">
        <f>ROUND(0.0,2)</f>
        <v/>
      </c>
      <c r="U26" s="3">
        <f>ROUND(0.0,2)</f>
        <v/>
      </c>
      <c r="V26" s="3">
        <f>ROUND(0.0,2)</f>
        <v/>
      </c>
      <c r="W26" s="4">
        <f>IFERROR((Q26/P26),0)</f>
        <v/>
      </c>
      <c r="X26" s="4">
        <f>IFERROR(((0+O11+O12+O13+O14+O15+O16+O17+O19+O20+O21+O22+O23+O24+O25)/T2),0)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 Weekly Total</t>
        </is>
      </c>
      <c r="AB26" s="5">
        <f>ROUND(0.0,2)</f>
        <v/>
      </c>
      <c r="AC26" s="3">
        <f>ROUND(0.0,2)</f>
        <v/>
      </c>
      <c r="AD26" s="3">
        <f>ROUND(0.0,2)</f>
        <v/>
      </c>
      <c r="AE26" s="3">
        <f>ROUND(0.0,2)</f>
        <v/>
      </c>
      <c r="AF26" s="3">
        <f>ROUND(0.0,2)</f>
        <v/>
      </c>
      <c r="AG26" s="3">
        <f>ROUND(0.0,2)</f>
        <v/>
      </c>
      <c r="AH26" s="3">
        <f>ROUND(0.0,2)</f>
        <v/>
      </c>
      <c r="AI26" s="3">
        <f>ROUND(0.0,2)</f>
        <v/>
      </c>
      <c r="AJ26" s="4">
        <f>IFERROR((AD26/AC26),0)</f>
        <v/>
      </c>
      <c r="AK26" s="4">
        <f>IFERROR(((0+AB11+AB12+AB13+AB14+AB15+AB16+AB17+AB19+AB20+AB21+AB22+AB23+AB24+AB25)/T2),0)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 Weekly Total</t>
        </is>
      </c>
      <c r="AO26" s="5">
        <f>ROUND(0.0,2)</f>
        <v/>
      </c>
      <c r="AP26" s="3">
        <f>ROUND(0.0,2)</f>
        <v/>
      </c>
      <c r="AQ26" s="3">
        <f>ROUND(0.0,2)</f>
        <v/>
      </c>
      <c r="AR26" s="3">
        <f>ROUND(0.0,2)</f>
        <v/>
      </c>
      <c r="AS26" s="3">
        <f>ROUND(0.0,2)</f>
        <v/>
      </c>
      <c r="AT26" s="3">
        <f>ROUND(0.0,2)</f>
        <v/>
      </c>
      <c r="AU26" s="3">
        <f>ROUND(0.0,2)</f>
        <v/>
      </c>
      <c r="AV26" s="3">
        <f>ROUND(0.0,2)</f>
        <v/>
      </c>
      <c r="AW26" s="4">
        <f>IFERROR((AQ26/AP26),0)</f>
        <v/>
      </c>
      <c r="AX26" s="4">
        <f>IFERROR(((0+AO11+AO12+AO13+AO14+AO15+AO16+AO17+AO19+AO20+AO21+AO22+AO23+AO24+AO25)/T2),0)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 Weekly Total</t>
        </is>
      </c>
      <c r="BB26" s="5">
        <f>ROUND(0.0,2)</f>
        <v/>
      </c>
      <c r="BC26" s="3">
        <f>ROUND(0.0,2)</f>
        <v/>
      </c>
      <c r="BD26" s="3">
        <f>ROUND(0.0,2)</f>
        <v/>
      </c>
      <c r="BE26" s="3">
        <f>ROUND(0.0,2)</f>
        <v/>
      </c>
      <c r="BF26" s="3">
        <f>ROUND(0.0,2)</f>
        <v/>
      </c>
      <c r="BG26" s="3">
        <f>ROUND(0.0,2)</f>
        <v/>
      </c>
      <c r="BH26" s="3">
        <f>ROUND(0.0,2)</f>
        <v/>
      </c>
      <c r="BI26" s="3">
        <f>ROUND(0.0,2)</f>
        <v/>
      </c>
      <c r="BJ26" s="4">
        <f>IFERROR((BD26/BC26),0)</f>
        <v/>
      </c>
      <c r="BK26" s="4">
        <f>IFERROR(((0+BB11+BB12+BB13+BB14+BB15+BB16+BB17+BB19+BB20+BB21+BB22+BB23+BB24+BB25)/T2),0)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 Weekly Total</t>
        </is>
      </c>
      <c r="BO26" s="5">
        <f>ROUND(0.0,2)</f>
        <v/>
      </c>
      <c r="BP26" s="3">
        <f>ROUND(0.0,2)</f>
        <v/>
      </c>
      <c r="BQ26" s="3">
        <f>ROUND(0.0,2)</f>
        <v/>
      </c>
      <c r="BR26" s="3">
        <f>ROUND(0.0,2)</f>
        <v/>
      </c>
      <c r="BS26" s="3">
        <f>ROUND(0.0,2)</f>
        <v/>
      </c>
      <c r="BT26" s="3">
        <f>ROUND(0.0,2)</f>
        <v/>
      </c>
      <c r="BU26" s="3">
        <f>ROUND(0.0,2)</f>
        <v/>
      </c>
      <c r="BV26" s="3">
        <f>ROUND(0.0,2)</f>
        <v/>
      </c>
      <c r="BW26" s="4">
        <f>IFERROR((BQ26/BP26),0)</f>
        <v/>
      </c>
      <c r="BX26" s="4">
        <f>IFERROR(((0+BO11+BO12+BO13+BO14+BO15+BO16+BO17+BO19+BO20+BO21+BO22+BO23+BO24+BO25)/T2),0)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 Weekly Total</t>
        </is>
      </c>
      <c r="CB26" s="5">
        <f>ROUND(0.0,2)</f>
        <v/>
      </c>
      <c r="CC26" s="3">
        <f>ROUND(0.0,2)</f>
        <v/>
      </c>
      <c r="CD26" s="3">
        <f>ROUND(0.0,2)</f>
        <v/>
      </c>
      <c r="CE26" s="3">
        <f>ROUND(0.0,2)</f>
        <v/>
      </c>
      <c r="CF26" s="3">
        <f>ROUND(0.0,2)</f>
        <v/>
      </c>
      <c r="CG26" s="3">
        <f>ROUND(0.0,2)</f>
        <v/>
      </c>
      <c r="CH26" s="3">
        <f>ROUND(0.0,2)</f>
        <v/>
      </c>
      <c r="CI26" s="3">
        <f>ROUND(0.0,2)</f>
        <v/>
      </c>
      <c r="CJ26" s="4">
        <f>IFERROR((CD26/CC26),0)</f>
        <v/>
      </c>
      <c r="CK26" s="4">
        <f>IFERROR(((0+CB11+CB12+CB13+CB14+CB15+CB16+CB17+CB19+CB20+CB21+CB22+CB23+CB24+CB25)/T2),0)</f>
        <v/>
      </c>
      <c r="CL26" s="5">
        <f>IFERROR(ROUND(CB26/CD26,2),0)</f>
        <v/>
      </c>
      <c r="CM26" s="5">
        <f>IFERROR(ROUND(CB26/CE26,2),0)</f>
        <v/>
      </c>
      <c r="CN26" s="2" t="inlineStr">
        <is>
          <t>2 Weekly Total</t>
        </is>
      </c>
      <c r="CO26" s="5">
        <f>ROUND(0.0,2)</f>
        <v/>
      </c>
      <c r="CP26" s="3">
        <f>ROUND(0.0,2)</f>
        <v/>
      </c>
      <c r="CQ26" s="3">
        <f>ROUND(0.0,2)</f>
        <v/>
      </c>
      <c r="CR26" s="3">
        <f>ROUND(0.0,2)</f>
        <v/>
      </c>
      <c r="CS26" s="3">
        <f>ROUND(0.0,2)</f>
        <v/>
      </c>
      <c r="CT26" s="3">
        <f>ROUND(0.0,2)</f>
        <v/>
      </c>
      <c r="CU26" s="3">
        <f>ROUND(0.0,2)</f>
        <v/>
      </c>
      <c r="CV26" s="3">
        <f>ROUND(0.0,2)</f>
        <v/>
      </c>
      <c r="CW26" s="4">
        <f>IFERROR((CQ26/CP26),0)</f>
        <v/>
      </c>
      <c r="CX26" s="4">
        <f>IFERROR(((0+CO11+CO12+CO13+CO14+CO15+CO16+CO17+CO19+CO20+CO21+CO22+CO23+CO24+CO25)/T2),0)</f>
        <v/>
      </c>
      <c r="CY26" s="5">
        <f>IFERROR(ROUND(CO26/CQ26,2),0)</f>
        <v/>
      </c>
      <c r="CZ26" s="5">
        <f>IFERROR(ROUND(CO26/CR26,2),0)</f>
        <v/>
      </c>
      <c r="DA26" s="2" t="inlineStr">
        <is>
          <t>2 Weekly Total</t>
        </is>
      </c>
      <c r="DB26" s="5">
        <f>ROUND(0.0,2)</f>
        <v/>
      </c>
      <c r="DC26" s="3">
        <f>ROUND(0.0,2)</f>
        <v/>
      </c>
      <c r="DD26" s="3">
        <f>ROUND(0.0,2)</f>
        <v/>
      </c>
      <c r="DE26" s="3">
        <f>ROUND(0.0,2)</f>
        <v/>
      </c>
      <c r="DF26" s="3">
        <f>ROUND(0.0,2)</f>
        <v/>
      </c>
      <c r="DG26" s="3">
        <f>ROUND(0.0,2)</f>
        <v/>
      </c>
      <c r="DH26" s="3">
        <f>ROUND(0.0,2)</f>
        <v/>
      </c>
      <c r="DI26" s="3">
        <f>ROUND(0.0,2)</f>
        <v/>
      </c>
      <c r="DJ26" s="4">
        <f>IFERROR((DD26/DC26),0)</f>
        <v/>
      </c>
      <c r="DK26" s="4">
        <f>IFERROR(((0+DB11+DB12+DB13+DB14+DB15+DB16+DB17+DB19+DB20+DB21+DB22+DB23+DB24+DB25)/T2),0)</f>
        <v/>
      </c>
      <c r="DL26" s="5">
        <f>IFERROR(ROUND(DB26/DD26,2),0)</f>
        <v/>
      </c>
      <c r="DM26" s="5">
        <f>IFERROR(ROUND(DB26/DE26,2),0)</f>
        <v/>
      </c>
      <c r="DN26" s="2" t="inlineStr">
        <is>
          <t>2 Weekly Total</t>
        </is>
      </c>
      <c r="DO26" s="5">
        <f>ROUND(0.0,2)</f>
        <v/>
      </c>
      <c r="DP26" s="3">
        <f>ROUND(0.0,2)</f>
        <v/>
      </c>
      <c r="DQ26" s="3">
        <f>ROUND(0.0,2)</f>
        <v/>
      </c>
      <c r="DR26" s="3">
        <f>ROUND(0.0,2)</f>
        <v/>
      </c>
      <c r="DS26" s="3">
        <f>ROUND(0.0,2)</f>
        <v/>
      </c>
      <c r="DT26" s="3">
        <f>ROUND(0.0,2)</f>
        <v/>
      </c>
      <c r="DU26" s="3">
        <f>ROUND(0.0,2)</f>
        <v/>
      </c>
      <c r="DV26" s="3">
        <f>ROUND(0.0,2)</f>
        <v/>
      </c>
      <c r="DW26" s="4">
        <f>IFERROR((DQ26/DP26),0)</f>
        <v/>
      </c>
      <c r="DX26" s="4">
        <f>IFERROR(((0+DO11+DO12+DO13+DO14+DO15+DO16+DO17+DO19+DO20+DO21+DO22+DO23+DO24+DO25)/T2),0)</f>
        <v/>
      </c>
      <c r="DY26" s="5">
        <f>IFERROR(ROUND(DO26/DQ26,2),0)</f>
        <v/>
      </c>
      <c r="DZ26" s="5">
        <f>IFERROR(ROUND(DO26/DR26,2),0)</f>
        <v/>
      </c>
      <c r="EA26" s="2" t="inlineStr">
        <is>
          <t>2 Weekly Total</t>
        </is>
      </c>
      <c r="EB26" s="5">
        <f>ROUND(0.0,2)</f>
        <v/>
      </c>
      <c r="EC26" s="3">
        <f>ROUND(0.0,2)</f>
        <v/>
      </c>
      <c r="ED26" s="3">
        <f>ROUND(0.0,2)</f>
        <v/>
      </c>
      <c r="EE26" s="3">
        <f>ROUND(0.0,2)</f>
        <v/>
      </c>
      <c r="EF26" s="3">
        <f>ROUND(0.0,2)</f>
        <v/>
      </c>
      <c r="EG26" s="3">
        <f>ROUND(0.0,2)</f>
        <v/>
      </c>
      <c r="EH26" s="3">
        <f>ROUND(0.0,2)</f>
        <v/>
      </c>
      <c r="EI26" s="3">
        <f>ROUND(0.0,2)</f>
        <v/>
      </c>
      <c r="EJ26" s="4">
        <f>IFERROR((ED26/EC26),0)</f>
        <v/>
      </c>
      <c r="EK26" s="4">
        <f>IFERROR(((0+EB11+EB12+EB13+EB14+EB15+EB16+EB17+EB19+EB20+EB21+EB22+EB23+EB24+EB25)/T2),0)</f>
        <v/>
      </c>
      <c r="EL26" s="5">
        <f>IFERROR(ROUND(EB26/ED26,2),0)</f>
        <v/>
      </c>
      <c r="EM26" s="5">
        <f>IFERROR(ROUND(EB26/EE26,2),0)</f>
        <v/>
      </c>
    </row>
    <row r="27">
      <c r="A27" s="2" t="inlineStr">
        <is>
          <t>2023-10-04</t>
        </is>
      </c>
      <c r="B27" s="5">
        <f>ROUND(0.0,2)</f>
        <v/>
      </c>
      <c r="C27" s="3">
        <f>ROUND(0.0,2)</f>
        <v/>
      </c>
      <c r="D27" s="3">
        <f>ROUND(0.0,2)</f>
        <v/>
      </c>
      <c r="E27" s="3">
        <f>ROUND(0.0,2)</f>
        <v/>
      </c>
      <c r="F27" s="3">
        <f>ROUND(0.0,2)</f>
        <v/>
      </c>
      <c r="G27" s="3">
        <f>ROUND(0.0,2)</f>
        <v/>
      </c>
      <c r="H27" s="3">
        <f>ROUND(0.0,2)</f>
        <v/>
      </c>
      <c r="I27" s="3">
        <f>ROUND(0.0,2)</f>
        <v/>
      </c>
      <c r="J27" s="4">
        <f>IFERROR((D27/C27),0)</f>
        <v/>
      </c>
      <c r="K27" s="4">
        <f>IFERROR(((0+B11+B12+B13+B14+B15+B16+B17+B19+B20+B21+B22+B23+B24+B25+B27)/T2),0)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2023-10-04</t>
        </is>
      </c>
      <c r="O27" s="5">
        <f>ROUND(0.0,2)</f>
        <v/>
      </c>
      <c r="P27" s="3">
        <f>ROUND(0.0,2)</f>
        <v/>
      </c>
      <c r="Q27" s="3">
        <f>ROUND(0.0,2)</f>
        <v/>
      </c>
      <c r="R27" s="3">
        <f>ROUND(0.0,2)</f>
        <v/>
      </c>
      <c r="S27" s="3">
        <f>ROUND(0.0,2)</f>
        <v/>
      </c>
      <c r="T27" s="3">
        <f>ROUND(0.0,2)</f>
        <v/>
      </c>
      <c r="U27" s="3">
        <f>ROUND(0.0,2)</f>
        <v/>
      </c>
      <c r="V27" s="3">
        <f>ROUND(0.0,2)</f>
        <v/>
      </c>
      <c r="W27" s="4">
        <f>IFERROR((Q27/P27),0)</f>
        <v/>
      </c>
      <c r="X27" s="4">
        <f>IFERROR(((0+O11+O12+O13+O14+O15+O16+O17+O19+O20+O21+O22+O23+O24+O25+O27)/T2),0)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2023-10-04</t>
        </is>
      </c>
      <c r="AB27" s="5">
        <f>ROUND(0.0,2)</f>
        <v/>
      </c>
      <c r="AC27" s="3">
        <f>ROUND(0.0,2)</f>
        <v/>
      </c>
      <c r="AD27" s="3">
        <f>ROUND(0.0,2)</f>
        <v/>
      </c>
      <c r="AE27" s="3">
        <f>ROUND(0.0,2)</f>
        <v/>
      </c>
      <c r="AF27" s="3">
        <f>ROUND(0.0,2)</f>
        <v/>
      </c>
      <c r="AG27" s="3">
        <f>ROUND(0.0,2)</f>
        <v/>
      </c>
      <c r="AH27" s="3">
        <f>ROUND(0.0,2)</f>
        <v/>
      </c>
      <c r="AI27" s="3">
        <f>ROUND(0.0,2)</f>
        <v/>
      </c>
      <c r="AJ27" s="4">
        <f>IFERROR((AD27/AC27),0)</f>
        <v/>
      </c>
      <c r="AK27" s="4">
        <f>IFERROR(((0+AB11+AB12+AB13+AB14+AB15+AB16+AB17+AB19+AB20+AB21+AB22+AB23+AB24+AB25+AB27)/T2),0)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2023-10-04</t>
        </is>
      </c>
      <c r="AO27" s="5">
        <f>ROUND(0.0,2)</f>
        <v/>
      </c>
      <c r="AP27" s="3">
        <f>ROUND(0.0,2)</f>
        <v/>
      </c>
      <c r="AQ27" s="3">
        <f>ROUND(0.0,2)</f>
        <v/>
      </c>
      <c r="AR27" s="3">
        <f>ROUND(0.0,2)</f>
        <v/>
      </c>
      <c r="AS27" s="3">
        <f>ROUND(0.0,2)</f>
        <v/>
      </c>
      <c r="AT27" s="3">
        <f>ROUND(0.0,2)</f>
        <v/>
      </c>
      <c r="AU27" s="3">
        <f>ROUND(0.0,2)</f>
        <v/>
      </c>
      <c r="AV27" s="3">
        <f>ROUND(0.0,2)</f>
        <v/>
      </c>
      <c r="AW27" s="4">
        <f>IFERROR((AQ27/AP27),0)</f>
        <v/>
      </c>
      <c r="AX27" s="4">
        <f>IFERROR(((0+AO11+AO12+AO13+AO14+AO15+AO16+AO17+AO19+AO20+AO21+AO22+AO23+AO24+AO25+AO27)/T2),0)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2023-10-04</t>
        </is>
      </c>
      <c r="BB27" s="5">
        <f>ROUND(0.0,2)</f>
        <v/>
      </c>
      <c r="BC27" s="3">
        <f>ROUND(0.0,2)</f>
        <v/>
      </c>
      <c r="BD27" s="3">
        <f>ROUND(0.0,2)</f>
        <v/>
      </c>
      <c r="BE27" s="3">
        <f>ROUND(0.0,2)</f>
        <v/>
      </c>
      <c r="BF27" s="3">
        <f>ROUND(0.0,2)</f>
        <v/>
      </c>
      <c r="BG27" s="3">
        <f>ROUND(0.0,2)</f>
        <v/>
      </c>
      <c r="BH27" s="3">
        <f>ROUND(0.0,2)</f>
        <v/>
      </c>
      <c r="BI27" s="3">
        <f>ROUND(0.0,2)</f>
        <v/>
      </c>
      <c r="BJ27" s="4">
        <f>IFERROR((BD27/BC27),0)</f>
        <v/>
      </c>
      <c r="BK27" s="4">
        <f>IFERROR(((0+BB11+BB12+BB13+BB14+BB15+BB16+BB17+BB19+BB20+BB21+BB22+BB23+BB24+BB25+BB27)/T2),0)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2023-10-04</t>
        </is>
      </c>
      <c r="BO27" s="5">
        <f>ROUND(0.0,2)</f>
        <v/>
      </c>
      <c r="BP27" s="3">
        <f>ROUND(0.0,2)</f>
        <v/>
      </c>
      <c r="BQ27" s="3">
        <f>ROUND(0.0,2)</f>
        <v/>
      </c>
      <c r="BR27" s="3">
        <f>ROUND(0.0,2)</f>
        <v/>
      </c>
      <c r="BS27" s="3">
        <f>ROUND(0.0,2)</f>
        <v/>
      </c>
      <c r="BT27" s="3">
        <f>ROUND(0.0,2)</f>
        <v/>
      </c>
      <c r="BU27" s="3">
        <f>ROUND(0.0,2)</f>
        <v/>
      </c>
      <c r="BV27" s="3">
        <f>ROUND(0.0,2)</f>
        <v/>
      </c>
      <c r="BW27" s="4">
        <f>IFERROR((BQ27/BP27),0)</f>
        <v/>
      </c>
      <c r="BX27" s="4">
        <f>IFERROR(((0+BO11+BO12+BO13+BO14+BO15+BO16+BO17+BO19+BO20+BO21+BO22+BO23+BO24+BO25+BO27)/T2),0)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2023-10-04</t>
        </is>
      </c>
      <c r="CB27" s="5">
        <f>ROUND(0.0,2)</f>
        <v/>
      </c>
      <c r="CC27" s="3">
        <f>ROUND(0.0,2)</f>
        <v/>
      </c>
      <c r="CD27" s="3">
        <f>ROUND(0.0,2)</f>
        <v/>
      </c>
      <c r="CE27" s="3">
        <f>ROUND(0.0,2)</f>
        <v/>
      </c>
      <c r="CF27" s="3">
        <f>ROUND(0.0,2)</f>
        <v/>
      </c>
      <c r="CG27" s="3">
        <f>ROUND(0.0,2)</f>
        <v/>
      </c>
      <c r="CH27" s="3">
        <f>ROUND(0.0,2)</f>
        <v/>
      </c>
      <c r="CI27" s="3">
        <f>ROUND(0.0,2)</f>
        <v/>
      </c>
      <c r="CJ27" s="4">
        <f>IFERROR((CD27/CC27),0)</f>
        <v/>
      </c>
      <c r="CK27" s="4">
        <f>IFERROR(((0+CB11+CB12+CB13+CB14+CB15+CB16+CB17+CB19+CB20+CB21+CB22+CB23+CB24+CB25+CB27)/T2),0)</f>
        <v/>
      </c>
      <c r="CL27" s="5">
        <f>IFERROR(ROUND(CB27/CD27,2),0)</f>
        <v/>
      </c>
      <c r="CM27" s="5">
        <f>IFERROR(ROUND(CB27/CE27,2),0)</f>
        <v/>
      </c>
      <c r="CN27" s="2" t="inlineStr">
        <is>
          <t>2023-10-04</t>
        </is>
      </c>
      <c r="CO27" s="5">
        <f>ROUND(0.0,2)</f>
        <v/>
      </c>
      <c r="CP27" s="3">
        <f>ROUND(0.0,2)</f>
        <v/>
      </c>
      <c r="CQ27" s="3">
        <f>ROUND(0.0,2)</f>
        <v/>
      </c>
      <c r="CR27" s="3">
        <f>ROUND(0.0,2)</f>
        <v/>
      </c>
      <c r="CS27" s="3">
        <f>ROUND(0.0,2)</f>
        <v/>
      </c>
      <c r="CT27" s="3">
        <f>ROUND(0.0,2)</f>
        <v/>
      </c>
      <c r="CU27" s="3">
        <f>ROUND(0.0,2)</f>
        <v/>
      </c>
      <c r="CV27" s="3">
        <f>ROUND(0.0,2)</f>
        <v/>
      </c>
      <c r="CW27" s="4">
        <f>IFERROR((CQ27/CP27),0)</f>
        <v/>
      </c>
      <c r="CX27" s="4">
        <f>IFERROR(((0+CO11+CO12+CO13+CO14+CO15+CO16+CO17+CO19+CO20+CO21+CO22+CO23+CO24+CO25+CO27)/T2),0)</f>
        <v/>
      </c>
      <c r="CY27" s="5">
        <f>IFERROR(ROUND(CO27/CQ27,2),0)</f>
        <v/>
      </c>
      <c r="CZ27" s="5">
        <f>IFERROR(ROUND(CO27/CR27,2),0)</f>
        <v/>
      </c>
      <c r="DA27" s="2" t="inlineStr">
        <is>
          <t>2023-10-04</t>
        </is>
      </c>
      <c r="DB27" s="5">
        <f>ROUND(0.0,2)</f>
        <v/>
      </c>
      <c r="DC27" s="3">
        <f>ROUND(0.0,2)</f>
        <v/>
      </c>
      <c r="DD27" s="3">
        <f>ROUND(0.0,2)</f>
        <v/>
      </c>
      <c r="DE27" s="3">
        <f>ROUND(0.0,2)</f>
        <v/>
      </c>
      <c r="DF27" s="3">
        <f>ROUND(0.0,2)</f>
        <v/>
      </c>
      <c r="DG27" s="3">
        <f>ROUND(0.0,2)</f>
        <v/>
      </c>
      <c r="DH27" s="3">
        <f>ROUND(0.0,2)</f>
        <v/>
      </c>
      <c r="DI27" s="3">
        <f>ROUND(0.0,2)</f>
        <v/>
      </c>
      <c r="DJ27" s="4">
        <f>IFERROR((DD27/DC27),0)</f>
        <v/>
      </c>
      <c r="DK27" s="4">
        <f>IFERROR(((0+DB11+DB12+DB13+DB14+DB15+DB16+DB17+DB19+DB20+DB21+DB22+DB23+DB24+DB25+DB27)/T2),0)</f>
        <v/>
      </c>
      <c r="DL27" s="5">
        <f>IFERROR(ROUND(DB27/DD27,2),0)</f>
        <v/>
      </c>
      <c r="DM27" s="5">
        <f>IFERROR(ROUND(DB27/DE27,2),0)</f>
        <v/>
      </c>
      <c r="DN27" s="2" t="inlineStr">
        <is>
          <t>2023-10-04</t>
        </is>
      </c>
      <c r="DO27" s="5">
        <f>ROUND(0.0,2)</f>
        <v/>
      </c>
      <c r="DP27" s="3">
        <f>ROUND(0.0,2)</f>
        <v/>
      </c>
      <c r="DQ27" s="3">
        <f>ROUND(0.0,2)</f>
        <v/>
      </c>
      <c r="DR27" s="3">
        <f>ROUND(0.0,2)</f>
        <v/>
      </c>
      <c r="DS27" s="3">
        <f>ROUND(0.0,2)</f>
        <v/>
      </c>
      <c r="DT27" s="3">
        <f>ROUND(0.0,2)</f>
        <v/>
      </c>
      <c r="DU27" s="3">
        <f>ROUND(0.0,2)</f>
        <v/>
      </c>
      <c r="DV27" s="3">
        <f>ROUND(0.0,2)</f>
        <v/>
      </c>
      <c r="DW27" s="4">
        <f>IFERROR((DQ27/DP27),0)</f>
        <v/>
      </c>
      <c r="DX27" s="4">
        <f>IFERROR(((0+DO11+DO12+DO13+DO14+DO15+DO16+DO17+DO19+DO20+DO21+DO22+DO23+DO24+DO25+DO27)/T2),0)</f>
        <v/>
      </c>
      <c r="DY27" s="5">
        <f>IFERROR(ROUND(DO27/DQ27,2),0)</f>
        <v/>
      </c>
      <c r="DZ27" s="5">
        <f>IFERROR(ROUND(DO27/DR27,2),0)</f>
        <v/>
      </c>
      <c r="EA27" s="2" t="inlineStr">
        <is>
          <t>2023-10-04</t>
        </is>
      </c>
      <c r="EB27" s="5">
        <f>ROUND(0.0,2)</f>
        <v/>
      </c>
      <c r="EC27" s="3">
        <f>ROUND(0.0,2)</f>
        <v/>
      </c>
      <c r="ED27" s="3">
        <f>ROUND(0.0,2)</f>
        <v/>
      </c>
      <c r="EE27" s="3">
        <f>ROUND(0.0,2)</f>
        <v/>
      </c>
      <c r="EF27" s="3">
        <f>ROUND(0.0,2)</f>
        <v/>
      </c>
      <c r="EG27" s="3">
        <f>ROUND(0.0,2)</f>
        <v/>
      </c>
      <c r="EH27" s="3">
        <f>ROUND(0.0,2)</f>
        <v/>
      </c>
      <c r="EI27" s="3">
        <f>ROUND(0.0,2)</f>
        <v/>
      </c>
      <c r="EJ27" s="4">
        <f>IFERROR((ED27/EC27),0)</f>
        <v/>
      </c>
      <c r="EK27" s="4">
        <f>IFERROR(((0+EB11+EB12+EB13+EB14+EB15+EB16+EB17+EB19+EB20+EB21+EB22+EB23+EB24+EB25+EB27)/T2),0)</f>
        <v/>
      </c>
      <c r="EL27" s="5">
        <f>IFERROR(ROUND(EB27/ED27,2),0)</f>
        <v/>
      </c>
      <c r="EM27" s="5">
        <f>IFERROR(ROUND(EB27/EE27,2),0)</f>
        <v/>
      </c>
    </row>
    <row r="28">
      <c r="A28" s="2" t="inlineStr">
        <is>
          <t>2023-10-05</t>
        </is>
      </c>
      <c r="B28" s="5">
        <f>ROUND(0.0,2)</f>
        <v/>
      </c>
      <c r="C28" s="3">
        <f>ROUND(0.0,2)</f>
        <v/>
      </c>
      <c r="D28" s="3">
        <f>ROUND(0.0,2)</f>
        <v/>
      </c>
      <c r="E28" s="3">
        <f>ROUND(0.0,2)</f>
        <v/>
      </c>
      <c r="F28" s="3">
        <f>ROUND(0.0,2)</f>
        <v/>
      </c>
      <c r="G28" s="3">
        <f>ROUND(0.0,2)</f>
        <v/>
      </c>
      <c r="H28" s="3">
        <f>ROUND(0.0,2)</f>
        <v/>
      </c>
      <c r="I28" s="3">
        <f>ROUND(0.0,2)</f>
        <v/>
      </c>
      <c r="J28" s="4">
        <f>IFERROR((D28/C28),0)</f>
        <v/>
      </c>
      <c r="K28" s="4">
        <f>IFERROR(((0+B11+B12+B13+B14+B15+B16+B17+B19+B20+B21+B22+B23+B24+B25+B27+B28)/T2),0)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2023-10-05</t>
        </is>
      </c>
      <c r="O28" s="5">
        <f>ROUND(0.0,2)</f>
        <v/>
      </c>
      <c r="P28" s="3">
        <f>ROUND(0.0,2)</f>
        <v/>
      </c>
      <c r="Q28" s="3">
        <f>ROUND(0.0,2)</f>
        <v/>
      </c>
      <c r="R28" s="3">
        <f>ROUND(0.0,2)</f>
        <v/>
      </c>
      <c r="S28" s="3">
        <f>ROUND(0.0,2)</f>
        <v/>
      </c>
      <c r="T28" s="3">
        <f>ROUND(0.0,2)</f>
        <v/>
      </c>
      <c r="U28" s="3">
        <f>ROUND(0.0,2)</f>
        <v/>
      </c>
      <c r="V28" s="3">
        <f>ROUND(0.0,2)</f>
        <v/>
      </c>
      <c r="W28" s="4">
        <f>IFERROR((Q28/P28),0)</f>
        <v/>
      </c>
      <c r="X28" s="4">
        <f>IFERROR(((0+O11+O12+O13+O14+O15+O16+O17+O19+O20+O21+O22+O23+O24+O25+O27+O28)/T2),0)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2023-10-05</t>
        </is>
      </c>
      <c r="AB28" s="5">
        <f>ROUND(0.0,2)</f>
        <v/>
      </c>
      <c r="AC28" s="3">
        <f>ROUND(0.0,2)</f>
        <v/>
      </c>
      <c r="AD28" s="3">
        <f>ROUND(0.0,2)</f>
        <v/>
      </c>
      <c r="AE28" s="3">
        <f>ROUND(0.0,2)</f>
        <v/>
      </c>
      <c r="AF28" s="3">
        <f>ROUND(0.0,2)</f>
        <v/>
      </c>
      <c r="AG28" s="3">
        <f>ROUND(0.0,2)</f>
        <v/>
      </c>
      <c r="AH28" s="3">
        <f>ROUND(0.0,2)</f>
        <v/>
      </c>
      <c r="AI28" s="3">
        <f>ROUND(0.0,2)</f>
        <v/>
      </c>
      <c r="AJ28" s="4">
        <f>IFERROR((AD28/AC28),0)</f>
        <v/>
      </c>
      <c r="AK28" s="4">
        <f>IFERROR(((0+AB11+AB12+AB13+AB14+AB15+AB16+AB17+AB19+AB20+AB21+AB22+AB23+AB24+AB25+AB27+AB28)/T2),0)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2023-10-05</t>
        </is>
      </c>
      <c r="AO28" s="5">
        <f>ROUND(0.0,2)</f>
        <v/>
      </c>
      <c r="AP28" s="3">
        <f>ROUND(0.0,2)</f>
        <v/>
      </c>
      <c r="AQ28" s="3">
        <f>ROUND(0.0,2)</f>
        <v/>
      </c>
      <c r="AR28" s="3">
        <f>ROUND(0.0,2)</f>
        <v/>
      </c>
      <c r="AS28" s="3">
        <f>ROUND(0.0,2)</f>
        <v/>
      </c>
      <c r="AT28" s="3">
        <f>ROUND(0.0,2)</f>
        <v/>
      </c>
      <c r="AU28" s="3">
        <f>ROUND(0.0,2)</f>
        <v/>
      </c>
      <c r="AV28" s="3">
        <f>ROUND(0.0,2)</f>
        <v/>
      </c>
      <c r="AW28" s="4">
        <f>IFERROR((AQ28/AP28),0)</f>
        <v/>
      </c>
      <c r="AX28" s="4">
        <f>IFERROR(((0+AO11+AO12+AO13+AO14+AO15+AO16+AO17+AO19+AO20+AO21+AO22+AO23+AO24+AO25+AO27+AO28)/T2),0)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2023-10-05</t>
        </is>
      </c>
      <c r="BB28" s="5">
        <f>ROUND(0.0,2)</f>
        <v/>
      </c>
      <c r="BC28" s="3">
        <f>ROUND(0.0,2)</f>
        <v/>
      </c>
      <c r="BD28" s="3">
        <f>ROUND(0.0,2)</f>
        <v/>
      </c>
      <c r="BE28" s="3">
        <f>ROUND(0.0,2)</f>
        <v/>
      </c>
      <c r="BF28" s="3">
        <f>ROUND(0.0,2)</f>
        <v/>
      </c>
      <c r="BG28" s="3">
        <f>ROUND(0.0,2)</f>
        <v/>
      </c>
      <c r="BH28" s="3">
        <f>ROUND(0.0,2)</f>
        <v/>
      </c>
      <c r="BI28" s="3">
        <f>ROUND(0.0,2)</f>
        <v/>
      </c>
      <c r="BJ28" s="4">
        <f>IFERROR((BD28/BC28),0)</f>
        <v/>
      </c>
      <c r="BK28" s="4">
        <f>IFERROR(((0+BB11+BB12+BB13+BB14+BB15+BB16+BB17+BB19+BB20+BB21+BB22+BB23+BB24+BB25+BB27+BB28)/T2),0)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2023-10-05</t>
        </is>
      </c>
      <c r="BO28" s="5">
        <f>ROUND(0.0,2)</f>
        <v/>
      </c>
      <c r="BP28" s="3">
        <f>ROUND(0.0,2)</f>
        <v/>
      </c>
      <c r="BQ28" s="3">
        <f>ROUND(0.0,2)</f>
        <v/>
      </c>
      <c r="BR28" s="3">
        <f>ROUND(0.0,2)</f>
        <v/>
      </c>
      <c r="BS28" s="3">
        <f>ROUND(0.0,2)</f>
        <v/>
      </c>
      <c r="BT28" s="3">
        <f>ROUND(0.0,2)</f>
        <v/>
      </c>
      <c r="BU28" s="3">
        <f>ROUND(0.0,2)</f>
        <v/>
      </c>
      <c r="BV28" s="3">
        <f>ROUND(0.0,2)</f>
        <v/>
      </c>
      <c r="BW28" s="4">
        <f>IFERROR((BQ28/BP28),0)</f>
        <v/>
      </c>
      <c r="BX28" s="4">
        <f>IFERROR(((0+BO11+BO12+BO13+BO14+BO15+BO16+BO17+BO19+BO20+BO21+BO22+BO23+BO24+BO25+BO27+BO28)/T2),0)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2023-10-05</t>
        </is>
      </c>
      <c r="CB28" s="5">
        <f>ROUND(0.0,2)</f>
        <v/>
      </c>
      <c r="CC28" s="3">
        <f>ROUND(0.0,2)</f>
        <v/>
      </c>
      <c r="CD28" s="3">
        <f>ROUND(0.0,2)</f>
        <v/>
      </c>
      <c r="CE28" s="3">
        <f>ROUND(0.0,2)</f>
        <v/>
      </c>
      <c r="CF28" s="3">
        <f>ROUND(0.0,2)</f>
        <v/>
      </c>
      <c r="CG28" s="3">
        <f>ROUND(0.0,2)</f>
        <v/>
      </c>
      <c r="CH28" s="3">
        <f>ROUND(0.0,2)</f>
        <v/>
      </c>
      <c r="CI28" s="3">
        <f>ROUND(0.0,2)</f>
        <v/>
      </c>
      <c r="CJ28" s="4">
        <f>IFERROR((CD28/CC28),0)</f>
        <v/>
      </c>
      <c r="CK28" s="4">
        <f>IFERROR(((0+CB11+CB12+CB13+CB14+CB15+CB16+CB17+CB19+CB20+CB21+CB22+CB23+CB24+CB25+CB27+CB28)/T2),0)</f>
        <v/>
      </c>
      <c r="CL28" s="5">
        <f>IFERROR(ROUND(CB28/CD28,2),0)</f>
        <v/>
      </c>
      <c r="CM28" s="5">
        <f>IFERROR(ROUND(CB28/CE28,2),0)</f>
        <v/>
      </c>
      <c r="CN28" s="2" t="inlineStr">
        <is>
          <t>2023-10-05</t>
        </is>
      </c>
      <c r="CO28" s="5">
        <f>ROUND(0.0,2)</f>
        <v/>
      </c>
      <c r="CP28" s="3">
        <f>ROUND(0.0,2)</f>
        <v/>
      </c>
      <c r="CQ28" s="3">
        <f>ROUND(0.0,2)</f>
        <v/>
      </c>
      <c r="CR28" s="3">
        <f>ROUND(0.0,2)</f>
        <v/>
      </c>
      <c r="CS28" s="3">
        <f>ROUND(0.0,2)</f>
        <v/>
      </c>
      <c r="CT28" s="3">
        <f>ROUND(0.0,2)</f>
        <v/>
      </c>
      <c r="CU28" s="3">
        <f>ROUND(0.0,2)</f>
        <v/>
      </c>
      <c r="CV28" s="3">
        <f>ROUND(0.0,2)</f>
        <v/>
      </c>
      <c r="CW28" s="4">
        <f>IFERROR((CQ28/CP28),0)</f>
        <v/>
      </c>
      <c r="CX28" s="4">
        <f>IFERROR(((0+CO11+CO12+CO13+CO14+CO15+CO16+CO17+CO19+CO20+CO21+CO22+CO23+CO24+CO25+CO27+CO28)/T2),0)</f>
        <v/>
      </c>
      <c r="CY28" s="5">
        <f>IFERROR(ROUND(CO28/CQ28,2),0)</f>
        <v/>
      </c>
      <c r="CZ28" s="5">
        <f>IFERROR(ROUND(CO28/CR28,2),0)</f>
        <v/>
      </c>
      <c r="DA28" s="2" t="inlineStr">
        <is>
          <t>2023-10-05</t>
        </is>
      </c>
      <c r="DB28" s="5">
        <f>ROUND(0.0,2)</f>
        <v/>
      </c>
      <c r="DC28" s="3">
        <f>ROUND(0.0,2)</f>
        <v/>
      </c>
      <c r="DD28" s="3">
        <f>ROUND(0.0,2)</f>
        <v/>
      </c>
      <c r="DE28" s="3">
        <f>ROUND(0.0,2)</f>
        <v/>
      </c>
      <c r="DF28" s="3">
        <f>ROUND(0.0,2)</f>
        <v/>
      </c>
      <c r="DG28" s="3">
        <f>ROUND(0.0,2)</f>
        <v/>
      </c>
      <c r="DH28" s="3">
        <f>ROUND(0.0,2)</f>
        <v/>
      </c>
      <c r="DI28" s="3">
        <f>ROUND(0.0,2)</f>
        <v/>
      </c>
      <c r="DJ28" s="4">
        <f>IFERROR((DD28/DC28),0)</f>
        <v/>
      </c>
      <c r="DK28" s="4">
        <f>IFERROR(((0+DB11+DB12+DB13+DB14+DB15+DB16+DB17+DB19+DB20+DB21+DB22+DB23+DB24+DB25+DB27+DB28)/T2),0)</f>
        <v/>
      </c>
      <c r="DL28" s="5">
        <f>IFERROR(ROUND(DB28/DD28,2),0)</f>
        <v/>
      </c>
      <c r="DM28" s="5">
        <f>IFERROR(ROUND(DB28/DE28,2),0)</f>
        <v/>
      </c>
      <c r="DN28" s="2" t="inlineStr">
        <is>
          <t>2023-10-05</t>
        </is>
      </c>
      <c r="DO28" s="5">
        <f>ROUND(0.0,2)</f>
        <v/>
      </c>
      <c r="DP28" s="3">
        <f>ROUND(0.0,2)</f>
        <v/>
      </c>
      <c r="DQ28" s="3">
        <f>ROUND(0.0,2)</f>
        <v/>
      </c>
      <c r="DR28" s="3">
        <f>ROUND(0.0,2)</f>
        <v/>
      </c>
      <c r="DS28" s="3">
        <f>ROUND(0.0,2)</f>
        <v/>
      </c>
      <c r="DT28" s="3">
        <f>ROUND(0.0,2)</f>
        <v/>
      </c>
      <c r="DU28" s="3">
        <f>ROUND(0.0,2)</f>
        <v/>
      </c>
      <c r="DV28" s="3">
        <f>ROUND(0.0,2)</f>
        <v/>
      </c>
      <c r="DW28" s="4">
        <f>IFERROR((DQ28/DP28),0)</f>
        <v/>
      </c>
      <c r="DX28" s="4">
        <f>IFERROR(((0+DO11+DO12+DO13+DO14+DO15+DO16+DO17+DO19+DO20+DO21+DO22+DO23+DO24+DO25+DO27+DO28)/T2),0)</f>
        <v/>
      </c>
      <c r="DY28" s="5">
        <f>IFERROR(ROUND(DO28/DQ28,2),0)</f>
        <v/>
      </c>
      <c r="DZ28" s="5">
        <f>IFERROR(ROUND(DO28/DR28,2),0)</f>
        <v/>
      </c>
      <c r="EA28" s="2" t="inlineStr">
        <is>
          <t>2023-10-05</t>
        </is>
      </c>
      <c r="EB28" s="5">
        <f>ROUND(0.0,2)</f>
        <v/>
      </c>
      <c r="EC28" s="3">
        <f>ROUND(0.0,2)</f>
        <v/>
      </c>
      <c r="ED28" s="3">
        <f>ROUND(0.0,2)</f>
        <v/>
      </c>
      <c r="EE28" s="3">
        <f>ROUND(0.0,2)</f>
        <v/>
      </c>
      <c r="EF28" s="3">
        <f>ROUND(0.0,2)</f>
        <v/>
      </c>
      <c r="EG28" s="3">
        <f>ROUND(0.0,2)</f>
        <v/>
      </c>
      <c r="EH28" s="3">
        <f>ROUND(0.0,2)</f>
        <v/>
      </c>
      <c r="EI28" s="3">
        <f>ROUND(0.0,2)</f>
        <v/>
      </c>
      <c r="EJ28" s="4">
        <f>IFERROR((ED28/EC28),0)</f>
        <v/>
      </c>
      <c r="EK28" s="4">
        <f>IFERROR(((0+EB11+EB12+EB13+EB14+EB15+EB16+EB17+EB19+EB20+EB21+EB22+EB23+EB24+EB25+EB27+EB28)/T2),0)</f>
        <v/>
      </c>
      <c r="EL28" s="5">
        <f>IFERROR(ROUND(EB28/ED28,2),0)</f>
        <v/>
      </c>
      <c r="EM28" s="5">
        <f>IFERROR(ROUND(EB28/EE28,2),0)</f>
        <v/>
      </c>
    </row>
    <row r="29">
      <c r="A29" s="2" t="inlineStr">
        <is>
          <t>2023-10-06</t>
        </is>
      </c>
      <c r="B29" s="5">
        <f>ROUND(0.0,2)</f>
        <v/>
      </c>
      <c r="C29" s="3">
        <f>ROUND(0.0,2)</f>
        <v/>
      </c>
      <c r="D29" s="3">
        <f>ROUND(0.0,2)</f>
        <v/>
      </c>
      <c r="E29" s="3">
        <f>ROUND(0.0,2)</f>
        <v/>
      </c>
      <c r="F29" s="3">
        <f>ROUND(0.0,2)</f>
        <v/>
      </c>
      <c r="G29" s="3">
        <f>ROUND(0.0,2)</f>
        <v/>
      </c>
      <c r="H29" s="3">
        <f>ROUND(0.0,2)</f>
        <v/>
      </c>
      <c r="I29" s="3">
        <f>ROUND(0.0,2)</f>
        <v/>
      </c>
      <c r="J29" s="4">
        <f>IFERROR((D29/C29),0)</f>
        <v/>
      </c>
      <c r="K29" s="4">
        <f>IFERROR(((0+B11+B12+B13+B14+B15+B16+B17+B19+B20+B21+B22+B23+B24+B25+B27+B28+B29)/T2),0)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2023-10-06</t>
        </is>
      </c>
      <c r="O29" s="5">
        <f>ROUND(0.0,2)</f>
        <v/>
      </c>
      <c r="P29" s="3">
        <f>ROUND(0.0,2)</f>
        <v/>
      </c>
      <c r="Q29" s="3">
        <f>ROUND(0.0,2)</f>
        <v/>
      </c>
      <c r="R29" s="3">
        <f>ROUND(0.0,2)</f>
        <v/>
      </c>
      <c r="S29" s="3">
        <f>ROUND(0.0,2)</f>
        <v/>
      </c>
      <c r="T29" s="3">
        <f>ROUND(0.0,2)</f>
        <v/>
      </c>
      <c r="U29" s="3">
        <f>ROUND(0.0,2)</f>
        <v/>
      </c>
      <c r="V29" s="3">
        <f>ROUND(0.0,2)</f>
        <v/>
      </c>
      <c r="W29" s="4">
        <f>IFERROR((Q29/P29),0)</f>
        <v/>
      </c>
      <c r="X29" s="4">
        <f>IFERROR(((0+O11+O12+O13+O14+O15+O16+O17+O19+O20+O21+O22+O23+O24+O25+O27+O28+O29)/T2),0)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2023-10-06</t>
        </is>
      </c>
      <c r="AB29" s="5">
        <f>ROUND(0.0,2)</f>
        <v/>
      </c>
      <c r="AC29" s="3">
        <f>ROUND(0.0,2)</f>
        <v/>
      </c>
      <c r="AD29" s="3">
        <f>ROUND(0.0,2)</f>
        <v/>
      </c>
      <c r="AE29" s="3">
        <f>ROUND(0.0,2)</f>
        <v/>
      </c>
      <c r="AF29" s="3">
        <f>ROUND(0.0,2)</f>
        <v/>
      </c>
      <c r="AG29" s="3">
        <f>ROUND(0.0,2)</f>
        <v/>
      </c>
      <c r="AH29" s="3">
        <f>ROUND(0.0,2)</f>
        <v/>
      </c>
      <c r="AI29" s="3">
        <f>ROUND(0.0,2)</f>
        <v/>
      </c>
      <c r="AJ29" s="4">
        <f>IFERROR((AD29/AC29),0)</f>
        <v/>
      </c>
      <c r="AK29" s="4">
        <f>IFERROR(((0+AB11+AB12+AB13+AB14+AB15+AB16+AB17+AB19+AB20+AB21+AB22+AB23+AB24+AB25+AB27+AB28+AB29)/T2),0)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2023-10-06</t>
        </is>
      </c>
      <c r="AO29" s="5">
        <f>ROUND(0.0,2)</f>
        <v/>
      </c>
      <c r="AP29" s="3">
        <f>ROUND(0.0,2)</f>
        <v/>
      </c>
      <c r="AQ29" s="3">
        <f>ROUND(0.0,2)</f>
        <v/>
      </c>
      <c r="AR29" s="3">
        <f>ROUND(0.0,2)</f>
        <v/>
      </c>
      <c r="AS29" s="3">
        <f>ROUND(0.0,2)</f>
        <v/>
      </c>
      <c r="AT29" s="3">
        <f>ROUND(0.0,2)</f>
        <v/>
      </c>
      <c r="AU29" s="3">
        <f>ROUND(0.0,2)</f>
        <v/>
      </c>
      <c r="AV29" s="3">
        <f>ROUND(0.0,2)</f>
        <v/>
      </c>
      <c r="AW29" s="4">
        <f>IFERROR((AQ29/AP29),0)</f>
        <v/>
      </c>
      <c r="AX29" s="4">
        <f>IFERROR(((0+AO11+AO12+AO13+AO14+AO15+AO16+AO17+AO19+AO20+AO21+AO22+AO23+AO24+AO25+AO27+AO28+AO29)/T2),0)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2023-10-06</t>
        </is>
      </c>
      <c r="BB29" s="5">
        <f>ROUND(0.0,2)</f>
        <v/>
      </c>
      <c r="BC29" s="3">
        <f>ROUND(0.0,2)</f>
        <v/>
      </c>
      <c r="BD29" s="3">
        <f>ROUND(0.0,2)</f>
        <v/>
      </c>
      <c r="BE29" s="3">
        <f>ROUND(0.0,2)</f>
        <v/>
      </c>
      <c r="BF29" s="3">
        <f>ROUND(0.0,2)</f>
        <v/>
      </c>
      <c r="BG29" s="3">
        <f>ROUND(0.0,2)</f>
        <v/>
      </c>
      <c r="BH29" s="3">
        <f>ROUND(0.0,2)</f>
        <v/>
      </c>
      <c r="BI29" s="3">
        <f>ROUND(0.0,2)</f>
        <v/>
      </c>
      <c r="BJ29" s="4">
        <f>IFERROR((BD29/BC29),0)</f>
        <v/>
      </c>
      <c r="BK29" s="4">
        <f>IFERROR(((0+BB11+BB12+BB13+BB14+BB15+BB16+BB17+BB19+BB20+BB21+BB22+BB23+BB24+BB25+BB27+BB28+BB29)/T2),0)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2023-10-06</t>
        </is>
      </c>
      <c r="BO29" s="5">
        <f>ROUND(0.0,2)</f>
        <v/>
      </c>
      <c r="BP29" s="3">
        <f>ROUND(0.0,2)</f>
        <v/>
      </c>
      <c r="BQ29" s="3">
        <f>ROUND(0.0,2)</f>
        <v/>
      </c>
      <c r="BR29" s="3">
        <f>ROUND(0.0,2)</f>
        <v/>
      </c>
      <c r="BS29" s="3">
        <f>ROUND(0.0,2)</f>
        <v/>
      </c>
      <c r="BT29" s="3">
        <f>ROUND(0.0,2)</f>
        <v/>
      </c>
      <c r="BU29" s="3">
        <f>ROUND(0.0,2)</f>
        <v/>
      </c>
      <c r="BV29" s="3">
        <f>ROUND(0.0,2)</f>
        <v/>
      </c>
      <c r="BW29" s="4">
        <f>IFERROR((BQ29/BP29),0)</f>
        <v/>
      </c>
      <c r="BX29" s="4">
        <f>IFERROR(((0+BO11+BO12+BO13+BO14+BO15+BO16+BO17+BO19+BO20+BO21+BO22+BO23+BO24+BO25+BO27+BO28+BO29)/T2),0)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2023-10-06</t>
        </is>
      </c>
      <c r="CB29" s="5">
        <f>ROUND(0.0,2)</f>
        <v/>
      </c>
      <c r="CC29" s="3">
        <f>ROUND(0.0,2)</f>
        <v/>
      </c>
      <c r="CD29" s="3">
        <f>ROUND(0.0,2)</f>
        <v/>
      </c>
      <c r="CE29" s="3">
        <f>ROUND(0.0,2)</f>
        <v/>
      </c>
      <c r="CF29" s="3">
        <f>ROUND(0.0,2)</f>
        <v/>
      </c>
      <c r="CG29" s="3">
        <f>ROUND(0.0,2)</f>
        <v/>
      </c>
      <c r="CH29" s="3">
        <f>ROUND(0.0,2)</f>
        <v/>
      </c>
      <c r="CI29" s="3">
        <f>ROUND(0.0,2)</f>
        <v/>
      </c>
      <c r="CJ29" s="4">
        <f>IFERROR((CD29/CC29),0)</f>
        <v/>
      </c>
      <c r="CK29" s="4">
        <f>IFERROR(((0+CB11+CB12+CB13+CB14+CB15+CB16+CB17+CB19+CB20+CB21+CB22+CB23+CB24+CB25+CB27+CB28+CB29)/T2),0)</f>
        <v/>
      </c>
      <c r="CL29" s="5">
        <f>IFERROR(ROUND(CB29/CD29,2),0)</f>
        <v/>
      </c>
      <c r="CM29" s="5">
        <f>IFERROR(ROUND(CB29/CE29,2),0)</f>
        <v/>
      </c>
      <c r="CN29" s="2" t="inlineStr">
        <is>
          <t>2023-10-06</t>
        </is>
      </c>
      <c r="CO29" s="5">
        <f>ROUND(0.0,2)</f>
        <v/>
      </c>
      <c r="CP29" s="3">
        <f>ROUND(0.0,2)</f>
        <v/>
      </c>
      <c r="CQ29" s="3">
        <f>ROUND(0.0,2)</f>
        <v/>
      </c>
      <c r="CR29" s="3">
        <f>ROUND(0.0,2)</f>
        <v/>
      </c>
      <c r="CS29" s="3">
        <f>ROUND(0.0,2)</f>
        <v/>
      </c>
      <c r="CT29" s="3">
        <f>ROUND(0.0,2)</f>
        <v/>
      </c>
      <c r="CU29" s="3">
        <f>ROUND(0.0,2)</f>
        <v/>
      </c>
      <c r="CV29" s="3">
        <f>ROUND(0.0,2)</f>
        <v/>
      </c>
      <c r="CW29" s="4">
        <f>IFERROR((CQ29/CP29),0)</f>
        <v/>
      </c>
      <c r="CX29" s="4">
        <f>IFERROR(((0+CO11+CO12+CO13+CO14+CO15+CO16+CO17+CO19+CO20+CO21+CO22+CO23+CO24+CO25+CO27+CO28+CO29)/T2),0)</f>
        <v/>
      </c>
      <c r="CY29" s="5">
        <f>IFERROR(ROUND(CO29/CQ29,2),0)</f>
        <v/>
      </c>
      <c r="CZ29" s="5">
        <f>IFERROR(ROUND(CO29/CR29,2),0)</f>
        <v/>
      </c>
      <c r="DA29" s="2" t="inlineStr">
        <is>
          <t>2023-10-06</t>
        </is>
      </c>
      <c r="DB29" s="5">
        <f>ROUND(0.0,2)</f>
        <v/>
      </c>
      <c r="DC29" s="3">
        <f>ROUND(0.0,2)</f>
        <v/>
      </c>
      <c r="DD29" s="3">
        <f>ROUND(0.0,2)</f>
        <v/>
      </c>
      <c r="DE29" s="3">
        <f>ROUND(0.0,2)</f>
        <v/>
      </c>
      <c r="DF29" s="3">
        <f>ROUND(0.0,2)</f>
        <v/>
      </c>
      <c r="DG29" s="3">
        <f>ROUND(0.0,2)</f>
        <v/>
      </c>
      <c r="DH29" s="3">
        <f>ROUND(0.0,2)</f>
        <v/>
      </c>
      <c r="DI29" s="3">
        <f>ROUND(0.0,2)</f>
        <v/>
      </c>
      <c r="DJ29" s="4">
        <f>IFERROR((DD29/DC29),0)</f>
        <v/>
      </c>
      <c r="DK29" s="4">
        <f>IFERROR(((0+DB11+DB12+DB13+DB14+DB15+DB16+DB17+DB19+DB20+DB21+DB22+DB23+DB24+DB25+DB27+DB28+DB29)/T2),0)</f>
        <v/>
      </c>
      <c r="DL29" s="5">
        <f>IFERROR(ROUND(DB29/DD29,2),0)</f>
        <v/>
      </c>
      <c r="DM29" s="5">
        <f>IFERROR(ROUND(DB29/DE29,2),0)</f>
        <v/>
      </c>
      <c r="DN29" s="2" t="inlineStr">
        <is>
          <t>2023-10-06</t>
        </is>
      </c>
      <c r="DO29" s="5">
        <f>ROUND(0.0,2)</f>
        <v/>
      </c>
      <c r="DP29" s="3">
        <f>ROUND(0.0,2)</f>
        <v/>
      </c>
      <c r="DQ29" s="3">
        <f>ROUND(0.0,2)</f>
        <v/>
      </c>
      <c r="DR29" s="3">
        <f>ROUND(0.0,2)</f>
        <v/>
      </c>
      <c r="DS29" s="3">
        <f>ROUND(0.0,2)</f>
        <v/>
      </c>
      <c r="DT29" s="3">
        <f>ROUND(0.0,2)</f>
        <v/>
      </c>
      <c r="DU29" s="3">
        <f>ROUND(0.0,2)</f>
        <v/>
      </c>
      <c r="DV29" s="3">
        <f>ROUND(0.0,2)</f>
        <v/>
      </c>
      <c r="DW29" s="4">
        <f>IFERROR((DQ29/DP29),0)</f>
        <v/>
      </c>
      <c r="DX29" s="4">
        <f>IFERROR(((0+DO11+DO12+DO13+DO14+DO15+DO16+DO17+DO19+DO20+DO21+DO22+DO23+DO24+DO25+DO27+DO28+DO29)/T2),0)</f>
        <v/>
      </c>
      <c r="DY29" s="5">
        <f>IFERROR(ROUND(DO29/DQ29,2),0)</f>
        <v/>
      </c>
      <c r="DZ29" s="5">
        <f>IFERROR(ROUND(DO29/DR29,2),0)</f>
        <v/>
      </c>
      <c r="EA29" s="2" t="inlineStr">
        <is>
          <t>2023-10-06</t>
        </is>
      </c>
      <c r="EB29" s="5">
        <f>ROUND(0.0,2)</f>
        <v/>
      </c>
      <c r="EC29" s="3">
        <f>ROUND(0.0,2)</f>
        <v/>
      </c>
      <c r="ED29" s="3">
        <f>ROUND(0.0,2)</f>
        <v/>
      </c>
      <c r="EE29" s="3">
        <f>ROUND(0.0,2)</f>
        <v/>
      </c>
      <c r="EF29" s="3">
        <f>ROUND(0.0,2)</f>
        <v/>
      </c>
      <c r="EG29" s="3">
        <f>ROUND(0.0,2)</f>
        <v/>
      </c>
      <c r="EH29" s="3">
        <f>ROUND(0.0,2)</f>
        <v/>
      </c>
      <c r="EI29" s="3">
        <f>ROUND(0.0,2)</f>
        <v/>
      </c>
      <c r="EJ29" s="4">
        <f>IFERROR((ED29/EC29),0)</f>
        <v/>
      </c>
      <c r="EK29" s="4">
        <f>IFERROR(((0+EB11+EB12+EB13+EB14+EB15+EB16+EB17+EB19+EB20+EB21+EB22+EB23+EB24+EB25+EB27+EB28+EB29)/T2),0)</f>
        <v/>
      </c>
      <c r="EL29" s="5">
        <f>IFERROR(ROUND(EB29/ED29,2),0)</f>
        <v/>
      </c>
      <c r="EM29" s="5">
        <f>IFERROR(ROUND(EB29/EE29,2),0)</f>
        <v/>
      </c>
    </row>
    <row r="30">
      <c r="A30" s="2" t="inlineStr">
        <is>
          <t>2023-10-07</t>
        </is>
      </c>
      <c r="B30" s="5">
        <f>ROUND(0.0,2)</f>
        <v/>
      </c>
      <c r="C30" s="3">
        <f>ROUND(0.0,2)</f>
        <v/>
      </c>
      <c r="D30" s="3">
        <f>ROUND(0.0,2)</f>
        <v/>
      </c>
      <c r="E30" s="3">
        <f>ROUND(0.0,2)</f>
        <v/>
      </c>
      <c r="F30" s="3">
        <f>ROUND(0.0,2)</f>
        <v/>
      </c>
      <c r="G30" s="3">
        <f>ROUND(0.0,2)</f>
        <v/>
      </c>
      <c r="H30" s="3">
        <f>ROUND(0.0,2)</f>
        <v/>
      </c>
      <c r="I30" s="3">
        <f>ROUND(0.0,2)</f>
        <v/>
      </c>
      <c r="J30" s="4">
        <f>IFERROR((D30/C30),0)</f>
        <v/>
      </c>
      <c r="K30" s="4">
        <f>IFERROR(((0+B11+B12+B13+B14+B15+B16+B17+B19+B20+B21+B22+B23+B24+B25+B27+B28+B29+B30)/T2),0)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2023-10-07</t>
        </is>
      </c>
      <c r="O30" s="5">
        <f>ROUND(0.0,2)</f>
        <v/>
      </c>
      <c r="P30" s="3">
        <f>ROUND(0.0,2)</f>
        <v/>
      </c>
      <c r="Q30" s="3">
        <f>ROUND(0.0,2)</f>
        <v/>
      </c>
      <c r="R30" s="3">
        <f>ROUND(0.0,2)</f>
        <v/>
      </c>
      <c r="S30" s="3">
        <f>ROUND(0.0,2)</f>
        <v/>
      </c>
      <c r="T30" s="3">
        <f>ROUND(0.0,2)</f>
        <v/>
      </c>
      <c r="U30" s="3">
        <f>ROUND(0.0,2)</f>
        <v/>
      </c>
      <c r="V30" s="3">
        <f>ROUND(0.0,2)</f>
        <v/>
      </c>
      <c r="W30" s="4">
        <f>IFERROR((Q30/P30),0)</f>
        <v/>
      </c>
      <c r="X30" s="4">
        <f>IFERROR(((0+O11+O12+O13+O14+O15+O16+O17+O19+O20+O21+O22+O23+O24+O25+O27+O28+O29+O30)/T2),0)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2023-10-07</t>
        </is>
      </c>
      <c r="AB30" s="5">
        <f>ROUND(0.0,2)</f>
        <v/>
      </c>
      <c r="AC30" s="3">
        <f>ROUND(0.0,2)</f>
        <v/>
      </c>
      <c r="AD30" s="3">
        <f>ROUND(0.0,2)</f>
        <v/>
      </c>
      <c r="AE30" s="3">
        <f>ROUND(0.0,2)</f>
        <v/>
      </c>
      <c r="AF30" s="3">
        <f>ROUND(0.0,2)</f>
        <v/>
      </c>
      <c r="AG30" s="3">
        <f>ROUND(0.0,2)</f>
        <v/>
      </c>
      <c r="AH30" s="3">
        <f>ROUND(0.0,2)</f>
        <v/>
      </c>
      <c r="AI30" s="3">
        <f>ROUND(0.0,2)</f>
        <v/>
      </c>
      <c r="AJ30" s="4">
        <f>IFERROR((AD30/AC30),0)</f>
        <v/>
      </c>
      <c r="AK30" s="4">
        <f>IFERROR(((0+AB11+AB12+AB13+AB14+AB15+AB16+AB17+AB19+AB20+AB21+AB22+AB23+AB24+AB25+AB27+AB28+AB29+AB30)/T2),0)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2023-10-07</t>
        </is>
      </c>
      <c r="AO30" s="5">
        <f>ROUND(0.0,2)</f>
        <v/>
      </c>
      <c r="AP30" s="3">
        <f>ROUND(0.0,2)</f>
        <v/>
      </c>
      <c r="AQ30" s="3">
        <f>ROUND(0.0,2)</f>
        <v/>
      </c>
      <c r="AR30" s="3">
        <f>ROUND(0.0,2)</f>
        <v/>
      </c>
      <c r="AS30" s="3">
        <f>ROUND(0.0,2)</f>
        <v/>
      </c>
      <c r="AT30" s="3">
        <f>ROUND(0.0,2)</f>
        <v/>
      </c>
      <c r="AU30" s="3">
        <f>ROUND(0.0,2)</f>
        <v/>
      </c>
      <c r="AV30" s="3">
        <f>ROUND(0.0,2)</f>
        <v/>
      </c>
      <c r="AW30" s="4">
        <f>IFERROR((AQ30/AP30),0)</f>
        <v/>
      </c>
      <c r="AX30" s="4">
        <f>IFERROR(((0+AO11+AO12+AO13+AO14+AO15+AO16+AO17+AO19+AO20+AO21+AO22+AO23+AO24+AO25+AO27+AO28+AO29+AO30)/T2),0)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2023-10-07</t>
        </is>
      </c>
      <c r="BB30" s="5">
        <f>ROUND(0.0,2)</f>
        <v/>
      </c>
      <c r="BC30" s="3">
        <f>ROUND(0.0,2)</f>
        <v/>
      </c>
      <c r="BD30" s="3">
        <f>ROUND(0.0,2)</f>
        <v/>
      </c>
      <c r="BE30" s="3">
        <f>ROUND(0.0,2)</f>
        <v/>
      </c>
      <c r="BF30" s="3">
        <f>ROUND(0.0,2)</f>
        <v/>
      </c>
      <c r="BG30" s="3">
        <f>ROUND(0.0,2)</f>
        <v/>
      </c>
      <c r="BH30" s="3">
        <f>ROUND(0.0,2)</f>
        <v/>
      </c>
      <c r="BI30" s="3">
        <f>ROUND(0.0,2)</f>
        <v/>
      </c>
      <c r="BJ30" s="4">
        <f>IFERROR((BD30/BC30),0)</f>
        <v/>
      </c>
      <c r="BK30" s="4">
        <f>IFERROR(((0+BB11+BB12+BB13+BB14+BB15+BB16+BB17+BB19+BB20+BB21+BB22+BB23+BB24+BB25+BB27+BB28+BB29+BB30)/T2),0)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2023-10-07</t>
        </is>
      </c>
      <c r="BO30" s="5">
        <f>ROUND(0.0,2)</f>
        <v/>
      </c>
      <c r="BP30" s="3">
        <f>ROUND(0.0,2)</f>
        <v/>
      </c>
      <c r="BQ30" s="3">
        <f>ROUND(0.0,2)</f>
        <v/>
      </c>
      <c r="BR30" s="3">
        <f>ROUND(0.0,2)</f>
        <v/>
      </c>
      <c r="BS30" s="3">
        <f>ROUND(0.0,2)</f>
        <v/>
      </c>
      <c r="BT30" s="3">
        <f>ROUND(0.0,2)</f>
        <v/>
      </c>
      <c r="BU30" s="3">
        <f>ROUND(0.0,2)</f>
        <v/>
      </c>
      <c r="BV30" s="3">
        <f>ROUND(0.0,2)</f>
        <v/>
      </c>
      <c r="BW30" s="4">
        <f>IFERROR((BQ30/BP30),0)</f>
        <v/>
      </c>
      <c r="BX30" s="4">
        <f>IFERROR(((0+BO11+BO12+BO13+BO14+BO15+BO16+BO17+BO19+BO20+BO21+BO22+BO23+BO24+BO25+BO27+BO28+BO29+BO30)/T2),0)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2023-10-07</t>
        </is>
      </c>
      <c r="CB30" s="5">
        <f>ROUND(0.0,2)</f>
        <v/>
      </c>
      <c r="CC30" s="3">
        <f>ROUND(0.0,2)</f>
        <v/>
      </c>
      <c r="CD30" s="3">
        <f>ROUND(0.0,2)</f>
        <v/>
      </c>
      <c r="CE30" s="3">
        <f>ROUND(0.0,2)</f>
        <v/>
      </c>
      <c r="CF30" s="3">
        <f>ROUND(0.0,2)</f>
        <v/>
      </c>
      <c r="CG30" s="3">
        <f>ROUND(0.0,2)</f>
        <v/>
      </c>
      <c r="CH30" s="3">
        <f>ROUND(0.0,2)</f>
        <v/>
      </c>
      <c r="CI30" s="3">
        <f>ROUND(0.0,2)</f>
        <v/>
      </c>
      <c r="CJ30" s="4">
        <f>IFERROR((CD30/CC30),0)</f>
        <v/>
      </c>
      <c r="CK30" s="4">
        <f>IFERROR(((0+CB11+CB12+CB13+CB14+CB15+CB16+CB17+CB19+CB20+CB21+CB22+CB23+CB24+CB25+CB27+CB28+CB29+CB30)/T2),0)</f>
        <v/>
      </c>
      <c r="CL30" s="5">
        <f>IFERROR(ROUND(CB30/CD30,2),0)</f>
        <v/>
      </c>
      <c r="CM30" s="5">
        <f>IFERROR(ROUND(CB30/CE30,2),0)</f>
        <v/>
      </c>
      <c r="CN30" s="2" t="inlineStr">
        <is>
          <t>2023-10-07</t>
        </is>
      </c>
      <c r="CO30" s="5">
        <f>ROUND(0.0,2)</f>
        <v/>
      </c>
      <c r="CP30" s="3">
        <f>ROUND(0.0,2)</f>
        <v/>
      </c>
      <c r="CQ30" s="3">
        <f>ROUND(0.0,2)</f>
        <v/>
      </c>
      <c r="CR30" s="3">
        <f>ROUND(0.0,2)</f>
        <v/>
      </c>
      <c r="CS30" s="3">
        <f>ROUND(0.0,2)</f>
        <v/>
      </c>
      <c r="CT30" s="3">
        <f>ROUND(0.0,2)</f>
        <v/>
      </c>
      <c r="CU30" s="3">
        <f>ROUND(0.0,2)</f>
        <v/>
      </c>
      <c r="CV30" s="3">
        <f>ROUND(0.0,2)</f>
        <v/>
      </c>
      <c r="CW30" s="4">
        <f>IFERROR((CQ30/CP30),0)</f>
        <v/>
      </c>
      <c r="CX30" s="4">
        <f>IFERROR(((0+CO11+CO12+CO13+CO14+CO15+CO16+CO17+CO19+CO20+CO21+CO22+CO23+CO24+CO25+CO27+CO28+CO29+CO30)/T2),0)</f>
        <v/>
      </c>
      <c r="CY30" s="5">
        <f>IFERROR(ROUND(CO30/CQ30,2),0)</f>
        <v/>
      </c>
      <c r="CZ30" s="5">
        <f>IFERROR(ROUND(CO30/CR30,2),0)</f>
        <v/>
      </c>
      <c r="DA30" s="2" t="inlineStr">
        <is>
          <t>2023-10-07</t>
        </is>
      </c>
      <c r="DB30" s="5">
        <f>ROUND(0.0,2)</f>
        <v/>
      </c>
      <c r="DC30" s="3">
        <f>ROUND(0.0,2)</f>
        <v/>
      </c>
      <c r="DD30" s="3">
        <f>ROUND(0.0,2)</f>
        <v/>
      </c>
      <c r="DE30" s="3">
        <f>ROUND(0.0,2)</f>
        <v/>
      </c>
      <c r="DF30" s="3">
        <f>ROUND(0.0,2)</f>
        <v/>
      </c>
      <c r="DG30" s="3">
        <f>ROUND(0.0,2)</f>
        <v/>
      </c>
      <c r="DH30" s="3">
        <f>ROUND(0.0,2)</f>
        <v/>
      </c>
      <c r="DI30" s="3">
        <f>ROUND(0.0,2)</f>
        <v/>
      </c>
      <c r="DJ30" s="4">
        <f>IFERROR((DD30/DC30),0)</f>
        <v/>
      </c>
      <c r="DK30" s="4">
        <f>IFERROR(((0+DB11+DB12+DB13+DB14+DB15+DB16+DB17+DB19+DB20+DB21+DB22+DB23+DB24+DB25+DB27+DB28+DB29+DB30)/T2),0)</f>
        <v/>
      </c>
      <c r="DL30" s="5">
        <f>IFERROR(ROUND(DB30/DD30,2),0)</f>
        <v/>
      </c>
      <c r="DM30" s="5">
        <f>IFERROR(ROUND(DB30/DE30,2),0)</f>
        <v/>
      </c>
      <c r="DN30" s="2" t="inlineStr">
        <is>
          <t>2023-10-07</t>
        </is>
      </c>
      <c r="DO30" s="5">
        <f>ROUND(0.0,2)</f>
        <v/>
      </c>
      <c r="DP30" s="3">
        <f>ROUND(0.0,2)</f>
        <v/>
      </c>
      <c r="DQ30" s="3">
        <f>ROUND(0.0,2)</f>
        <v/>
      </c>
      <c r="DR30" s="3">
        <f>ROUND(0.0,2)</f>
        <v/>
      </c>
      <c r="DS30" s="3">
        <f>ROUND(0.0,2)</f>
        <v/>
      </c>
      <c r="DT30" s="3">
        <f>ROUND(0.0,2)</f>
        <v/>
      </c>
      <c r="DU30" s="3">
        <f>ROUND(0.0,2)</f>
        <v/>
      </c>
      <c r="DV30" s="3">
        <f>ROUND(0.0,2)</f>
        <v/>
      </c>
      <c r="DW30" s="4">
        <f>IFERROR((DQ30/DP30),0)</f>
        <v/>
      </c>
      <c r="DX30" s="4">
        <f>IFERROR(((0+DO11+DO12+DO13+DO14+DO15+DO16+DO17+DO19+DO20+DO21+DO22+DO23+DO24+DO25+DO27+DO28+DO29+DO30)/T2),0)</f>
        <v/>
      </c>
      <c r="DY30" s="5">
        <f>IFERROR(ROUND(DO30/DQ30,2),0)</f>
        <v/>
      </c>
      <c r="DZ30" s="5">
        <f>IFERROR(ROUND(DO30/DR30,2),0)</f>
        <v/>
      </c>
      <c r="EA30" s="2" t="inlineStr">
        <is>
          <t>2023-10-07</t>
        </is>
      </c>
      <c r="EB30" s="5">
        <f>ROUND(0.0,2)</f>
        <v/>
      </c>
      <c r="EC30" s="3">
        <f>ROUND(0.0,2)</f>
        <v/>
      </c>
      <c r="ED30" s="3">
        <f>ROUND(0.0,2)</f>
        <v/>
      </c>
      <c r="EE30" s="3">
        <f>ROUND(0.0,2)</f>
        <v/>
      </c>
      <c r="EF30" s="3">
        <f>ROUND(0.0,2)</f>
        <v/>
      </c>
      <c r="EG30" s="3">
        <f>ROUND(0.0,2)</f>
        <v/>
      </c>
      <c r="EH30" s="3">
        <f>ROUND(0.0,2)</f>
        <v/>
      </c>
      <c r="EI30" s="3">
        <f>ROUND(0.0,2)</f>
        <v/>
      </c>
      <c r="EJ30" s="4">
        <f>IFERROR((ED30/EC30),0)</f>
        <v/>
      </c>
      <c r="EK30" s="4">
        <f>IFERROR(((0+EB11+EB12+EB13+EB14+EB15+EB16+EB17+EB19+EB20+EB21+EB22+EB23+EB24+EB25+EB27+EB28+EB29+EB30)/T2),0)</f>
        <v/>
      </c>
      <c r="EL30" s="5">
        <f>IFERROR(ROUND(EB30/ED30,2),0)</f>
        <v/>
      </c>
      <c r="EM30" s="5">
        <f>IFERROR(ROUND(EB30/EE30,2),0)</f>
        <v/>
      </c>
    </row>
    <row r="31">
      <c r="A31" s="2" t="inlineStr">
        <is>
          <t>2023-10-08</t>
        </is>
      </c>
      <c r="B31" s="5">
        <f>ROUND(0.0,2)</f>
        <v/>
      </c>
      <c r="C31" s="3">
        <f>ROUND(0.0,2)</f>
        <v/>
      </c>
      <c r="D31" s="3">
        <f>ROUND(0.0,2)</f>
        <v/>
      </c>
      <c r="E31" s="3">
        <f>ROUND(0.0,2)</f>
        <v/>
      </c>
      <c r="F31" s="3">
        <f>ROUND(0.0,2)</f>
        <v/>
      </c>
      <c r="G31" s="3">
        <f>ROUND(0.0,2)</f>
        <v/>
      </c>
      <c r="H31" s="3">
        <f>ROUND(0.0,2)</f>
        <v/>
      </c>
      <c r="I31" s="3">
        <f>ROUND(0.0,2)</f>
        <v/>
      </c>
      <c r="J31" s="4">
        <f>IFERROR((D31/C31),0)</f>
        <v/>
      </c>
      <c r="K31" s="4">
        <f>IFERROR(((0+B11+B12+B13+B14+B15+B16+B17+B19+B20+B21+B22+B23+B24+B25+B27+B28+B29+B30+B31)/T2),0)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2023-10-08</t>
        </is>
      </c>
      <c r="O31" s="5">
        <f>ROUND(0.0,2)</f>
        <v/>
      </c>
      <c r="P31" s="3">
        <f>ROUND(0.0,2)</f>
        <v/>
      </c>
      <c r="Q31" s="3">
        <f>ROUND(0.0,2)</f>
        <v/>
      </c>
      <c r="R31" s="3">
        <f>ROUND(0.0,2)</f>
        <v/>
      </c>
      <c r="S31" s="3">
        <f>ROUND(0.0,2)</f>
        <v/>
      </c>
      <c r="T31" s="3">
        <f>ROUND(0.0,2)</f>
        <v/>
      </c>
      <c r="U31" s="3">
        <f>ROUND(0.0,2)</f>
        <v/>
      </c>
      <c r="V31" s="3">
        <f>ROUND(0.0,2)</f>
        <v/>
      </c>
      <c r="W31" s="4">
        <f>IFERROR((Q31/P31),0)</f>
        <v/>
      </c>
      <c r="X31" s="4">
        <f>IFERROR(((0+O11+O12+O13+O14+O15+O16+O17+O19+O20+O21+O22+O23+O24+O25+O27+O28+O29+O30+O31)/T2),0)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2023-10-08</t>
        </is>
      </c>
      <c r="AB31" s="5">
        <f>ROUND(0.0,2)</f>
        <v/>
      </c>
      <c r="AC31" s="3">
        <f>ROUND(0.0,2)</f>
        <v/>
      </c>
      <c r="AD31" s="3">
        <f>ROUND(0.0,2)</f>
        <v/>
      </c>
      <c r="AE31" s="3">
        <f>ROUND(0.0,2)</f>
        <v/>
      </c>
      <c r="AF31" s="3">
        <f>ROUND(0.0,2)</f>
        <v/>
      </c>
      <c r="AG31" s="3">
        <f>ROUND(0.0,2)</f>
        <v/>
      </c>
      <c r="AH31" s="3">
        <f>ROUND(0.0,2)</f>
        <v/>
      </c>
      <c r="AI31" s="3">
        <f>ROUND(0.0,2)</f>
        <v/>
      </c>
      <c r="AJ31" s="4">
        <f>IFERROR((AD31/AC31),0)</f>
        <v/>
      </c>
      <c r="AK31" s="4">
        <f>IFERROR(((0+AB11+AB12+AB13+AB14+AB15+AB16+AB17+AB19+AB20+AB21+AB22+AB23+AB24+AB25+AB27+AB28+AB29+AB30+AB31)/T2),0)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2023-10-08</t>
        </is>
      </c>
      <c r="AO31" s="5">
        <f>ROUND(0.0,2)</f>
        <v/>
      </c>
      <c r="AP31" s="3">
        <f>ROUND(0.0,2)</f>
        <v/>
      </c>
      <c r="AQ31" s="3">
        <f>ROUND(0.0,2)</f>
        <v/>
      </c>
      <c r="AR31" s="3">
        <f>ROUND(0.0,2)</f>
        <v/>
      </c>
      <c r="AS31" s="3">
        <f>ROUND(0.0,2)</f>
        <v/>
      </c>
      <c r="AT31" s="3">
        <f>ROUND(0.0,2)</f>
        <v/>
      </c>
      <c r="AU31" s="3">
        <f>ROUND(0.0,2)</f>
        <v/>
      </c>
      <c r="AV31" s="3">
        <f>ROUND(0.0,2)</f>
        <v/>
      </c>
      <c r="AW31" s="4">
        <f>IFERROR((AQ31/AP31),0)</f>
        <v/>
      </c>
      <c r="AX31" s="4">
        <f>IFERROR(((0+AO11+AO12+AO13+AO14+AO15+AO16+AO17+AO19+AO20+AO21+AO22+AO23+AO24+AO25+AO27+AO28+AO29+AO30+AO31)/T2),0)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2023-10-08</t>
        </is>
      </c>
      <c r="BB31" s="5">
        <f>ROUND(0.0,2)</f>
        <v/>
      </c>
      <c r="BC31" s="3">
        <f>ROUND(0.0,2)</f>
        <v/>
      </c>
      <c r="BD31" s="3">
        <f>ROUND(0.0,2)</f>
        <v/>
      </c>
      <c r="BE31" s="3">
        <f>ROUND(0.0,2)</f>
        <v/>
      </c>
      <c r="BF31" s="3">
        <f>ROUND(0.0,2)</f>
        <v/>
      </c>
      <c r="BG31" s="3">
        <f>ROUND(0.0,2)</f>
        <v/>
      </c>
      <c r="BH31" s="3">
        <f>ROUND(0.0,2)</f>
        <v/>
      </c>
      <c r="BI31" s="3">
        <f>ROUND(0.0,2)</f>
        <v/>
      </c>
      <c r="BJ31" s="4">
        <f>IFERROR((BD31/BC31),0)</f>
        <v/>
      </c>
      <c r="BK31" s="4">
        <f>IFERROR(((0+BB11+BB12+BB13+BB14+BB15+BB16+BB17+BB19+BB20+BB21+BB22+BB23+BB24+BB25+BB27+BB28+BB29+BB30+BB31)/T2),0)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2023-10-08</t>
        </is>
      </c>
      <c r="BO31" s="5">
        <f>ROUND(0.0,2)</f>
        <v/>
      </c>
      <c r="BP31" s="3">
        <f>ROUND(0.0,2)</f>
        <v/>
      </c>
      <c r="BQ31" s="3">
        <f>ROUND(0.0,2)</f>
        <v/>
      </c>
      <c r="BR31" s="3">
        <f>ROUND(0.0,2)</f>
        <v/>
      </c>
      <c r="BS31" s="3">
        <f>ROUND(0.0,2)</f>
        <v/>
      </c>
      <c r="BT31" s="3">
        <f>ROUND(0.0,2)</f>
        <v/>
      </c>
      <c r="BU31" s="3">
        <f>ROUND(0.0,2)</f>
        <v/>
      </c>
      <c r="BV31" s="3">
        <f>ROUND(0.0,2)</f>
        <v/>
      </c>
      <c r="BW31" s="4">
        <f>IFERROR((BQ31/BP31),0)</f>
        <v/>
      </c>
      <c r="BX31" s="4">
        <f>IFERROR(((0+BO11+BO12+BO13+BO14+BO15+BO16+BO17+BO19+BO20+BO21+BO22+BO23+BO24+BO25+BO27+BO28+BO29+BO30+BO31)/T2),0)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2023-10-08</t>
        </is>
      </c>
      <c r="CB31" s="5">
        <f>ROUND(0.0,2)</f>
        <v/>
      </c>
      <c r="CC31" s="3">
        <f>ROUND(0.0,2)</f>
        <v/>
      </c>
      <c r="CD31" s="3">
        <f>ROUND(0.0,2)</f>
        <v/>
      </c>
      <c r="CE31" s="3">
        <f>ROUND(0.0,2)</f>
        <v/>
      </c>
      <c r="CF31" s="3">
        <f>ROUND(0.0,2)</f>
        <v/>
      </c>
      <c r="CG31" s="3">
        <f>ROUND(0.0,2)</f>
        <v/>
      </c>
      <c r="CH31" s="3">
        <f>ROUND(0.0,2)</f>
        <v/>
      </c>
      <c r="CI31" s="3">
        <f>ROUND(0.0,2)</f>
        <v/>
      </c>
      <c r="CJ31" s="4">
        <f>IFERROR((CD31/CC31),0)</f>
        <v/>
      </c>
      <c r="CK31" s="4">
        <f>IFERROR(((0+CB11+CB12+CB13+CB14+CB15+CB16+CB17+CB19+CB20+CB21+CB22+CB23+CB24+CB25+CB27+CB28+CB29+CB30+CB31)/T2),0)</f>
        <v/>
      </c>
      <c r="CL31" s="5">
        <f>IFERROR(ROUND(CB31/CD31,2),0)</f>
        <v/>
      </c>
      <c r="CM31" s="5">
        <f>IFERROR(ROUND(CB31/CE31,2),0)</f>
        <v/>
      </c>
      <c r="CN31" s="2" t="inlineStr">
        <is>
          <t>2023-10-08</t>
        </is>
      </c>
      <c r="CO31" s="5">
        <f>ROUND(0.0,2)</f>
        <v/>
      </c>
      <c r="CP31" s="3">
        <f>ROUND(0.0,2)</f>
        <v/>
      </c>
      <c r="CQ31" s="3">
        <f>ROUND(0.0,2)</f>
        <v/>
      </c>
      <c r="CR31" s="3">
        <f>ROUND(0.0,2)</f>
        <v/>
      </c>
      <c r="CS31" s="3">
        <f>ROUND(0.0,2)</f>
        <v/>
      </c>
      <c r="CT31" s="3">
        <f>ROUND(0.0,2)</f>
        <v/>
      </c>
      <c r="CU31" s="3">
        <f>ROUND(0.0,2)</f>
        <v/>
      </c>
      <c r="CV31" s="3">
        <f>ROUND(0.0,2)</f>
        <v/>
      </c>
      <c r="CW31" s="4">
        <f>IFERROR((CQ31/CP31),0)</f>
        <v/>
      </c>
      <c r="CX31" s="4">
        <f>IFERROR(((0+CO11+CO12+CO13+CO14+CO15+CO16+CO17+CO19+CO20+CO21+CO22+CO23+CO24+CO25+CO27+CO28+CO29+CO30+CO31)/T2),0)</f>
        <v/>
      </c>
      <c r="CY31" s="5">
        <f>IFERROR(ROUND(CO31/CQ31,2),0)</f>
        <v/>
      </c>
      <c r="CZ31" s="5">
        <f>IFERROR(ROUND(CO31/CR31,2),0)</f>
        <v/>
      </c>
      <c r="DA31" s="2" t="inlineStr">
        <is>
          <t>2023-10-08</t>
        </is>
      </c>
      <c r="DB31" s="5">
        <f>ROUND(0.0,2)</f>
        <v/>
      </c>
      <c r="DC31" s="3">
        <f>ROUND(0.0,2)</f>
        <v/>
      </c>
      <c r="DD31" s="3">
        <f>ROUND(0.0,2)</f>
        <v/>
      </c>
      <c r="DE31" s="3">
        <f>ROUND(0.0,2)</f>
        <v/>
      </c>
      <c r="DF31" s="3">
        <f>ROUND(0.0,2)</f>
        <v/>
      </c>
      <c r="DG31" s="3">
        <f>ROUND(0.0,2)</f>
        <v/>
      </c>
      <c r="DH31" s="3">
        <f>ROUND(0.0,2)</f>
        <v/>
      </c>
      <c r="DI31" s="3">
        <f>ROUND(0.0,2)</f>
        <v/>
      </c>
      <c r="DJ31" s="4">
        <f>IFERROR((DD31/DC31),0)</f>
        <v/>
      </c>
      <c r="DK31" s="4">
        <f>IFERROR(((0+DB11+DB12+DB13+DB14+DB15+DB16+DB17+DB19+DB20+DB21+DB22+DB23+DB24+DB25+DB27+DB28+DB29+DB30+DB31)/T2),0)</f>
        <v/>
      </c>
      <c r="DL31" s="5">
        <f>IFERROR(ROUND(DB31/DD31,2),0)</f>
        <v/>
      </c>
      <c r="DM31" s="5">
        <f>IFERROR(ROUND(DB31/DE31,2),0)</f>
        <v/>
      </c>
      <c r="DN31" s="2" t="inlineStr">
        <is>
          <t>2023-10-08</t>
        </is>
      </c>
      <c r="DO31" s="5">
        <f>ROUND(0.0,2)</f>
        <v/>
      </c>
      <c r="DP31" s="3">
        <f>ROUND(0.0,2)</f>
        <v/>
      </c>
      <c r="DQ31" s="3">
        <f>ROUND(0.0,2)</f>
        <v/>
      </c>
      <c r="DR31" s="3">
        <f>ROUND(0.0,2)</f>
        <v/>
      </c>
      <c r="DS31" s="3">
        <f>ROUND(0.0,2)</f>
        <v/>
      </c>
      <c r="DT31" s="3">
        <f>ROUND(0.0,2)</f>
        <v/>
      </c>
      <c r="DU31" s="3">
        <f>ROUND(0.0,2)</f>
        <v/>
      </c>
      <c r="DV31" s="3">
        <f>ROUND(0.0,2)</f>
        <v/>
      </c>
      <c r="DW31" s="4">
        <f>IFERROR((DQ31/DP31),0)</f>
        <v/>
      </c>
      <c r="DX31" s="4">
        <f>IFERROR(((0+DO11+DO12+DO13+DO14+DO15+DO16+DO17+DO19+DO20+DO21+DO22+DO23+DO24+DO25+DO27+DO28+DO29+DO30+DO31)/T2),0)</f>
        <v/>
      </c>
      <c r="DY31" s="5">
        <f>IFERROR(ROUND(DO31/DQ31,2),0)</f>
        <v/>
      </c>
      <c r="DZ31" s="5">
        <f>IFERROR(ROUND(DO31/DR31,2),0)</f>
        <v/>
      </c>
      <c r="EA31" s="2" t="inlineStr">
        <is>
          <t>2023-10-08</t>
        </is>
      </c>
      <c r="EB31" s="5">
        <f>ROUND(0.0,2)</f>
        <v/>
      </c>
      <c r="EC31" s="3">
        <f>ROUND(0.0,2)</f>
        <v/>
      </c>
      <c r="ED31" s="3">
        <f>ROUND(0.0,2)</f>
        <v/>
      </c>
      <c r="EE31" s="3">
        <f>ROUND(0.0,2)</f>
        <v/>
      </c>
      <c r="EF31" s="3">
        <f>ROUND(0.0,2)</f>
        <v/>
      </c>
      <c r="EG31" s="3">
        <f>ROUND(0.0,2)</f>
        <v/>
      </c>
      <c r="EH31" s="3">
        <f>ROUND(0.0,2)</f>
        <v/>
      </c>
      <c r="EI31" s="3">
        <f>ROUND(0.0,2)</f>
        <v/>
      </c>
      <c r="EJ31" s="4">
        <f>IFERROR((ED31/EC31),0)</f>
        <v/>
      </c>
      <c r="EK31" s="4">
        <f>IFERROR(((0+EB11+EB12+EB13+EB14+EB15+EB16+EB17+EB19+EB20+EB21+EB22+EB23+EB24+EB25+EB27+EB28+EB29+EB30+EB31)/T2),0)</f>
        <v/>
      </c>
      <c r="EL31" s="5">
        <f>IFERROR(ROUND(EB31/ED31,2),0)</f>
        <v/>
      </c>
      <c r="EM31" s="5">
        <f>IFERROR(ROUND(EB31/EE31,2),0)</f>
        <v/>
      </c>
    </row>
    <row r="32">
      <c r="A32" s="2" t="inlineStr">
        <is>
          <t>2023-10-09</t>
        </is>
      </c>
      <c r="B32" s="5">
        <f>ROUND(0.0,2)</f>
        <v/>
      </c>
      <c r="C32" s="3">
        <f>ROUND(0.0,2)</f>
        <v/>
      </c>
      <c r="D32" s="3">
        <f>ROUND(0.0,2)</f>
        <v/>
      </c>
      <c r="E32" s="3">
        <f>ROUND(0.0,2)</f>
        <v/>
      </c>
      <c r="F32" s="3">
        <f>ROUND(0.0,2)</f>
        <v/>
      </c>
      <c r="G32" s="3">
        <f>ROUND(0.0,2)</f>
        <v/>
      </c>
      <c r="H32" s="3">
        <f>ROUND(0.0,2)</f>
        <v/>
      </c>
      <c r="I32" s="3">
        <f>ROUND(0.0,2)</f>
        <v/>
      </c>
      <c r="J32" s="4">
        <f>IFERROR((D32/C32),0)</f>
        <v/>
      </c>
      <c r="K32" s="4">
        <f>IFERROR(((0+B11+B12+B13+B14+B15+B16+B17+B19+B20+B21+B22+B23+B24+B25+B27+B28+B29+B30+B31+B32)/T2),0)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2023-10-09</t>
        </is>
      </c>
      <c r="O32" s="5">
        <f>ROUND(0.0,2)</f>
        <v/>
      </c>
      <c r="P32" s="3">
        <f>ROUND(0.0,2)</f>
        <v/>
      </c>
      <c r="Q32" s="3">
        <f>ROUND(0.0,2)</f>
        <v/>
      </c>
      <c r="R32" s="3">
        <f>ROUND(0.0,2)</f>
        <v/>
      </c>
      <c r="S32" s="3">
        <f>ROUND(0.0,2)</f>
        <v/>
      </c>
      <c r="T32" s="3">
        <f>ROUND(0.0,2)</f>
        <v/>
      </c>
      <c r="U32" s="3">
        <f>ROUND(0.0,2)</f>
        <v/>
      </c>
      <c r="V32" s="3">
        <f>ROUND(0.0,2)</f>
        <v/>
      </c>
      <c r="W32" s="4">
        <f>IFERROR((Q32/P32),0)</f>
        <v/>
      </c>
      <c r="X32" s="4">
        <f>IFERROR(((0+O11+O12+O13+O14+O15+O16+O17+O19+O20+O21+O22+O23+O24+O25+O27+O28+O29+O30+O31+O32)/T2),0)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2023-10-09</t>
        </is>
      </c>
      <c r="AB32" s="5">
        <f>ROUND(0.0,2)</f>
        <v/>
      </c>
      <c r="AC32" s="3">
        <f>ROUND(0.0,2)</f>
        <v/>
      </c>
      <c r="AD32" s="3">
        <f>ROUND(0.0,2)</f>
        <v/>
      </c>
      <c r="AE32" s="3">
        <f>ROUND(0.0,2)</f>
        <v/>
      </c>
      <c r="AF32" s="3">
        <f>ROUND(0.0,2)</f>
        <v/>
      </c>
      <c r="AG32" s="3">
        <f>ROUND(0.0,2)</f>
        <v/>
      </c>
      <c r="AH32" s="3">
        <f>ROUND(0.0,2)</f>
        <v/>
      </c>
      <c r="AI32" s="3">
        <f>ROUND(0.0,2)</f>
        <v/>
      </c>
      <c r="AJ32" s="4">
        <f>IFERROR((AD32/AC32),0)</f>
        <v/>
      </c>
      <c r="AK32" s="4">
        <f>IFERROR(((0+AB11+AB12+AB13+AB14+AB15+AB16+AB17+AB19+AB20+AB21+AB22+AB23+AB24+AB25+AB27+AB28+AB29+AB30+AB31+AB32)/T2),0)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2023-10-09</t>
        </is>
      </c>
      <c r="AO32" s="5">
        <f>ROUND(0.0,2)</f>
        <v/>
      </c>
      <c r="AP32" s="3">
        <f>ROUND(0.0,2)</f>
        <v/>
      </c>
      <c r="AQ32" s="3">
        <f>ROUND(0.0,2)</f>
        <v/>
      </c>
      <c r="AR32" s="3">
        <f>ROUND(0.0,2)</f>
        <v/>
      </c>
      <c r="AS32" s="3">
        <f>ROUND(0.0,2)</f>
        <v/>
      </c>
      <c r="AT32" s="3">
        <f>ROUND(0.0,2)</f>
        <v/>
      </c>
      <c r="AU32" s="3">
        <f>ROUND(0.0,2)</f>
        <v/>
      </c>
      <c r="AV32" s="3">
        <f>ROUND(0.0,2)</f>
        <v/>
      </c>
      <c r="AW32" s="4">
        <f>IFERROR((AQ32/AP32),0)</f>
        <v/>
      </c>
      <c r="AX32" s="4">
        <f>IFERROR(((0+AO11+AO12+AO13+AO14+AO15+AO16+AO17+AO19+AO20+AO21+AO22+AO23+AO24+AO25+AO27+AO28+AO29+AO30+AO31+AO32)/T2),0)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2023-10-09</t>
        </is>
      </c>
      <c r="BB32" s="5">
        <f>ROUND(0.0,2)</f>
        <v/>
      </c>
      <c r="BC32" s="3">
        <f>ROUND(0.0,2)</f>
        <v/>
      </c>
      <c r="BD32" s="3">
        <f>ROUND(0.0,2)</f>
        <v/>
      </c>
      <c r="BE32" s="3">
        <f>ROUND(0.0,2)</f>
        <v/>
      </c>
      <c r="BF32" s="3">
        <f>ROUND(0.0,2)</f>
        <v/>
      </c>
      <c r="BG32" s="3">
        <f>ROUND(0.0,2)</f>
        <v/>
      </c>
      <c r="BH32" s="3">
        <f>ROUND(0.0,2)</f>
        <v/>
      </c>
      <c r="BI32" s="3">
        <f>ROUND(0.0,2)</f>
        <v/>
      </c>
      <c r="BJ32" s="4">
        <f>IFERROR((BD32/BC32),0)</f>
        <v/>
      </c>
      <c r="BK32" s="4">
        <f>IFERROR(((0+BB11+BB12+BB13+BB14+BB15+BB16+BB17+BB19+BB20+BB21+BB22+BB23+BB24+BB25+BB27+BB28+BB29+BB30+BB31+BB32)/T2),0)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2023-10-09</t>
        </is>
      </c>
      <c r="BO32" s="5">
        <f>ROUND(0.0,2)</f>
        <v/>
      </c>
      <c r="BP32" s="3">
        <f>ROUND(0.0,2)</f>
        <v/>
      </c>
      <c r="BQ32" s="3">
        <f>ROUND(0.0,2)</f>
        <v/>
      </c>
      <c r="BR32" s="3">
        <f>ROUND(0.0,2)</f>
        <v/>
      </c>
      <c r="BS32" s="3">
        <f>ROUND(0.0,2)</f>
        <v/>
      </c>
      <c r="BT32" s="3">
        <f>ROUND(0.0,2)</f>
        <v/>
      </c>
      <c r="BU32" s="3">
        <f>ROUND(0.0,2)</f>
        <v/>
      </c>
      <c r="BV32" s="3">
        <f>ROUND(0.0,2)</f>
        <v/>
      </c>
      <c r="BW32" s="4">
        <f>IFERROR((BQ32/BP32),0)</f>
        <v/>
      </c>
      <c r="BX32" s="4">
        <f>IFERROR(((0+BO11+BO12+BO13+BO14+BO15+BO16+BO17+BO19+BO20+BO21+BO22+BO23+BO24+BO25+BO27+BO28+BO29+BO30+BO31+BO32)/T2),0)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2023-10-09</t>
        </is>
      </c>
      <c r="CB32" s="5">
        <f>ROUND(0.0,2)</f>
        <v/>
      </c>
      <c r="CC32" s="3">
        <f>ROUND(0.0,2)</f>
        <v/>
      </c>
      <c r="CD32" s="3">
        <f>ROUND(0.0,2)</f>
        <v/>
      </c>
      <c r="CE32" s="3">
        <f>ROUND(0.0,2)</f>
        <v/>
      </c>
      <c r="CF32" s="3">
        <f>ROUND(0.0,2)</f>
        <v/>
      </c>
      <c r="CG32" s="3">
        <f>ROUND(0.0,2)</f>
        <v/>
      </c>
      <c r="CH32" s="3">
        <f>ROUND(0.0,2)</f>
        <v/>
      </c>
      <c r="CI32" s="3">
        <f>ROUND(0.0,2)</f>
        <v/>
      </c>
      <c r="CJ32" s="4">
        <f>IFERROR((CD32/CC32),0)</f>
        <v/>
      </c>
      <c r="CK32" s="4">
        <f>IFERROR(((0+CB11+CB12+CB13+CB14+CB15+CB16+CB17+CB19+CB20+CB21+CB22+CB23+CB24+CB25+CB27+CB28+CB29+CB30+CB31+CB32)/T2),0)</f>
        <v/>
      </c>
      <c r="CL32" s="5">
        <f>IFERROR(ROUND(CB32/CD32,2),0)</f>
        <v/>
      </c>
      <c r="CM32" s="5">
        <f>IFERROR(ROUND(CB32/CE32,2),0)</f>
        <v/>
      </c>
      <c r="CN32" s="2" t="inlineStr">
        <is>
          <t>2023-10-09</t>
        </is>
      </c>
      <c r="CO32" s="5">
        <f>ROUND(0.0,2)</f>
        <v/>
      </c>
      <c r="CP32" s="3">
        <f>ROUND(0.0,2)</f>
        <v/>
      </c>
      <c r="CQ32" s="3">
        <f>ROUND(0.0,2)</f>
        <v/>
      </c>
      <c r="CR32" s="3">
        <f>ROUND(0.0,2)</f>
        <v/>
      </c>
      <c r="CS32" s="3">
        <f>ROUND(0.0,2)</f>
        <v/>
      </c>
      <c r="CT32" s="3">
        <f>ROUND(0.0,2)</f>
        <v/>
      </c>
      <c r="CU32" s="3">
        <f>ROUND(0.0,2)</f>
        <v/>
      </c>
      <c r="CV32" s="3">
        <f>ROUND(0.0,2)</f>
        <v/>
      </c>
      <c r="CW32" s="4">
        <f>IFERROR((CQ32/CP32),0)</f>
        <v/>
      </c>
      <c r="CX32" s="4">
        <f>IFERROR(((0+CO11+CO12+CO13+CO14+CO15+CO16+CO17+CO19+CO20+CO21+CO22+CO23+CO24+CO25+CO27+CO28+CO29+CO30+CO31+CO32)/T2),0)</f>
        <v/>
      </c>
      <c r="CY32" s="5">
        <f>IFERROR(ROUND(CO32/CQ32,2),0)</f>
        <v/>
      </c>
      <c r="CZ32" s="5">
        <f>IFERROR(ROUND(CO32/CR32,2),0)</f>
        <v/>
      </c>
      <c r="DA32" s="2" t="inlineStr">
        <is>
          <t>2023-10-09</t>
        </is>
      </c>
      <c r="DB32" s="5">
        <f>ROUND(0.0,2)</f>
        <v/>
      </c>
      <c r="DC32" s="3">
        <f>ROUND(0.0,2)</f>
        <v/>
      </c>
      <c r="DD32" s="3">
        <f>ROUND(0.0,2)</f>
        <v/>
      </c>
      <c r="DE32" s="3">
        <f>ROUND(0.0,2)</f>
        <v/>
      </c>
      <c r="DF32" s="3">
        <f>ROUND(0.0,2)</f>
        <v/>
      </c>
      <c r="DG32" s="3">
        <f>ROUND(0.0,2)</f>
        <v/>
      </c>
      <c r="DH32" s="3">
        <f>ROUND(0.0,2)</f>
        <v/>
      </c>
      <c r="DI32" s="3">
        <f>ROUND(0.0,2)</f>
        <v/>
      </c>
      <c r="DJ32" s="4">
        <f>IFERROR((DD32/DC32),0)</f>
        <v/>
      </c>
      <c r="DK32" s="4">
        <f>IFERROR(((0+DB11+DB12+DB13+DB14+DB15+DB16+DB17+DB19+DB20+DB21+DB22+DB23+DB24+DB25+DB27+DB28+DB29+DB30+DB31+DB32)/T2),0)</f>
        <v/>
      </c>
      <c r="DL32" s="5">
        <f>IFERROR(ROUND(DB32/DD32,2),0)</f>
        <v/>
      </c>
      <c r="DM32" s="5">
        <f>IFERROR(ROUND(DB32/DE32,2),0)</f>
        <v/>
      </c>
      <c r="DN32" s="2" t="inlineStr">
        <is>
          <t>2023-10-09</t>
        </is>
      </c>
      <c r="DO32" s="5">
        <f>ROUND(0.0,2)</f>
        <v/>
      </c>
      <c r="DP32" s="3">
        <f>ROUND(0.0,2)</f>
        <v/>
      </c>
      <c r="DQ32" s="3">
        <f>ROUND(0.0,2)</f>
        <v/>
      </c>
      <c r="DR32" s="3">
        <f>ROUND(0.0,2)</f>
        <v/>
      </c>
      <c r="DS32" s="3">
        <f>ROUND(0.0,2)</f>
        <v/>
      </c>
      <c r="DT32" s="3">
        <f>ROUND(0.0,2)</f>
        <v/>
      </c>
      <c r="DU32" s="3">
        <f>ROUND(0.0,2)</f>
        <v/>
      </c>
      <c r="DV32" s="3">
        <f>ROUND(0.0,2)</f>
        <v/>
      </c>
      <c r="DW32" s="4">
        <f>IFERROR((DQ32/DP32),0)</f>
        <v/>
      </c>
      <c r="DX32" s="4">
        <f>IFERROR(((0+DO11+DO12+DO13+DO14+DO15+DO16+DO17+DO19+DO20+DO21+DO22+DO23+DO24+DO25+DO27+DO28+DO29+DO30+DO31+DO32)/T2),0)</f>
        <v/>
      </c>
      <c r="DY32" s="5">
        <f>IFERROR(ROUND(DO32/DQ32,2),0)</f>
        <v/>
      </c>
      <c r="DZ32" s="5">
        <f>IFERROR(ROUND(DO32/DR32,2),0)</f>
        <v/>
      </c>
      <c r="EA32" s="2" t="inlineStr">
        <is>
          <t>2023-10-09</t>
        </is>
      </c>
      <c r="EB32" s="5">
        <f>ROUND(0.0,2)</f>
        <v/>
      </c>
      <c r="EC32" s="3">
        <f>ROUND(0.0,2)</f>
        <v/>
      </c>
      <c r="ED32" s="3">
        <f>ROUND(0.0,2)</f>
        <v/>
      </c>
      <c r="EE32" s="3">
        <f>ROUND(0.0,2)</f>
        <v/>
      </c>
      <c r="EF32" s="3">
        <f>ROUND(0.0,2)</f>
        <v/>
      </c>
      <c r="EG32" s="3">
        <f>ROUND(0.0,2)</f>
        <v/>
      </c>
      <c r="EH32" s="3">
        <f>ROUND(0.0,2)</f>
        <v/>
      </c>
      <c r="EI32" s="3">
        <f>ROUND(0.0,2)</f>
        <v/>
      </c>
      <c r="EJ32" s="4">
        <f>IFERROR((ED32/EC32),0)</f>
        <v/>
      </c>
      <c r="EK32" s="4">
        <f>IFERROR(((0+EB11+EB12+EB13+EB14+EB15+EB16+EB17+EB19+EB20+EB21+EB22+EB23+EB24+EB25+EB27+EB28+EB29+EB30+EB31+EB32)/T2),0)</f>
        <v/>
      </c>
      <c r="EL32" s="5">
        <f>IFERROR(ROUND(EB32/ED32,2),0)</f>
        <v/>
      </c>
      <c r="EM32" s="5">
        <f>IFERROR(ROUND(EB32/EE32,2),0)</f>
        <v/>
      </c>
    </row>
    <row r="33">
      <c r="A33" s="2" t="inlineStr">
        <is>
          <t>2023-10-10</t>
        </is>
      </c>
      <c r="B33" s="5">
        <f>ROUND(0.0,2)</f>
        <v/>
      </c>
      <c r="C33" s="3">
        <f>ROUND(0.0,2)</f>
        <v/>
      </c>
      <c r="D33" s="3">
        <f>ROUND(0.0,2)</f>
        <v/>
      </c>
      <c r="E33" s="3">
        <f>ROUND(0.0,2)</f>
        <v/>
      </c>
      <c r="F33" s="3">
        <f>ROUND(0.0,2)</f>
        <v/>
      </c>
      <c r="G33" s="3">
        <f>ROUND(0.0,2)</f>
        <v/>
      </c>
      <c r="H33" s="3">
        <f>ROUND(0.0,2)</f>
        <v/>
      </c>
      <c r="I33" s="3">
        <f>ROUND(0.0,2)</f>
        <v/>
      </c>
      <c r="J33" s="4">
        <f>IFERROR((D33/C33),0)</f>
        <v/>
      </c>
      <c r="K33" s="4">
        <f>IFERROR(((0+B11+B12+B13+B14+B15+B16+B17+B19+B20+B21+B22+B23+B24+B25+B27+B28+B29+B30+B31+B32+B33)/T2),0)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2023-10-10</t>
        </is>
      </c>
      <c r="O33" s="5">
        <f>ROUND(0.0,2)</f>
        <v/>
      </c>
      <c r="P33" s="3">
        <f>ROUND(0.0,2)</f>
        <v/>
      </c>
      <c r="Q33" s="3">
        <f>ROUND(0.0,2)</f>
        <v/>
      </c>
      <c r="R33" s="3">
        <f>ROUND(0.0,2)</f>
        <v/>
      </c>
      <c r="S33" s="3">
        <f>ROUND(0.0,2)</f>
        <v/>
      </c>
      <c r="T33" s="3">
        <f>ROUND(0.0,2)</f>
        <v/>
      </c>
      <c r="U33" s="3">
        <f>ROUND(0.0,2)</f>
        <v/>
      </c>
      <c r="V33" s="3">
        <f>ROUND(0.0,2)</f>
        <v/>
      </c>
      <c r="W33" s="4">
        <f>IFERROR((Q33/P33),0)</f>
        <v/>
      </c>
      <c r="X33" s="4">
        <f>IFERROR(((0+O11+O12+O13+O14+O15+O16+O17+O19+O20+O21+O22+O23+O24+O25+O27+O28+O29+O30+O31+O32+O33)/T2),0)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2023-10-10</t>
        </is>
      </c>
      <c r="AB33" s="5">
        <f>ROUND(0.0,2)</f>
        <v/>
      </c>
      <c r="AC33" s="3">
        <f>ROUND(0.0,2)</f>
        <v/>
      </c>
      <c r="AD33" s="3">
        <f>ROUND(0.0,2)</f>
        <v/>
      </c>
      <c r="AE33" s="3">
        <f>ROUND(0.0,2)</f>
        <v/>
      </c>
      <c r="AF33" s="3">
        <f>ROUND(0.0,2)</f>
        <v/>
      </c>
      <c r="AG33" s="3">
        <f>ROUND(0.0,2)</f>
        <v/>
      </c>
      <c r="AH33" s="3">
        <f>ROUND(0.0,2)</f>
        <v/>
      </c>
      <c r="AI33" s="3">
        <f>ROUND(0.0,2)</f>
        <v/>
      </c>
      <c r="AJ33" s="4">
        <f>IFERROR((AD33/AC33),0)</f>
        <v/>
      </c>
      <c r="AK33" s="4">
        <f>IFERROR(((0+AB11+AB12+AB13+AB14+AB15+AB16+AB17+AB19+AB20+AB21+AB22+AB23+AB24+AB25+AB27+AB28+AB29+AB30+AB31+AB32+AB33)/T2),0)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2023-10-10</t>
        </is>
      </c>
      <c r="AO33" s="5">
        <f>ROUND(0.0,2)</f>
        <v/>
      </c>
      <c r="AP33" s="3">
        <f>ROUND(0.0,2)</f>
        <v/>
      </c>
      <c r="AQ33" s="3">
        <f>ROUND(0.0,2)</f>
        <v/>
      </c>
      <c r="AR33" s="3">
        <f>ROUND(0.0,2)</f>
        <v/>
      </c>
      <c r="AS33" s="3">
        <f>ROUND(0.0,2)</f>
        <v/>
      </c>
      <c r="AT33" s="3">
        <f>ROUND(0.0,2)</f>
        <v/>
      </c>
      <c r="AU33" s="3">
        <f>ROUND(0.0,2)</f>
        <v/>
      </c>
      <c r="AV33" s="3">
        <f>ROUND(0.0,2)</f>
        <v/>
      </c>
      <c r="AW33" s="4">
        <f>IFERROR((AQ33/AP33),0)</f>
        <v/>
      </c>
      <c r="AX33" s="4">
        <f>IFERROR(((0+AO11+AO12+AO13+AO14+AO15+AO16+AO17+AO19+AO20+AO21+AO22+AO23+AO24+AO25+AO27+AO28+AO29+AO30+AO31+AO32+AO33)/T2),0)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2023-10-10</t>
        </is>
      </c>
      <c r="BB33" s="5">
        <f>ROUND(0.0,2)</f>
        <v/>
      </c>
      <c r="BC33" s="3">
        <f>ROUND(0.0,2)</f>
        <v/>
      </c>
      <c r="BD33" s="3">
        <f>ROUND(0.0,2)</f>
        <v/>
      </c>
      <c r="BE33" s="3">
        <f>ROUND(0.0,2)</f>
        <v/>
      </c>
      <c r="BF33" s="3">
        <f>ROUND(0.0,2)</f>
        <v/>
      </c>
      <c r="BG33" s="3">
        <f>ROUND(0.0,2)</f>
        <v/>
      </c>
      <c r="BH33" s="3">
        <f>ROUND(0.0,2)</f>
        <v/>
      </c>
      <c r="BI33" s="3">
        <f>ROUND(0.0,2)</f>
        <v/>
      </c>
      <c r="BJ33" s="4">
        <f>IFERROR((BD33/BC33),0)</f>
        <v/>
      </c>
      <c r="BK33" s="4">
        <f>IFERROR(((0+BB11+BB12+BB13+BB14+BB15+BB16+BB17+BB19+BB20+BB21+BB22+BB23+BB24+BB25+BB27+BB28+BB29+BB30+BB31+BB32+BB33)/T2),0)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2023-10-10</t>
        </is>
      </c>
      <c r="BO33" s="5">
        <f>ROUND(0.0,2)</f>
        <v/>
      </c>
      <c r="BP33" s="3">
        <f>ROUND(0.0,2)</f>
        <v/>
      </c>
      <c r="BQ33" s="3">
        <f>ROUND(0.0,2)</f>
        <v/>
      </c>
      <c r="BR33" s="3">
        <f>ROUND(0.0,2)</f>
        <v/>
      </c>
      <c r="BS33" s="3">
        <f>ROUND(0.0,2)</f>
        <v/>
      </c>
      <c r="BT33" s="3">
        <f>ROUND(0.0,2)</f>
        <v/>
      </c>
      <c r="BU33" s="3">
        <f>ROUND(0.0,2)</f>
        <v/>
      </c>
      <c r="BV33" s="3">
        <f>ROUND(0.0,2)</f>
        <v/>
      </c>
      <c r="BW33" s="4">
        <f>IFERROR((BQ33/BP33),0)</f>
        <v/>
      </c>
      <c r="BX33" s="4">
        <f>IFERROR(((0+BO11+BO12+BO13+BO14+BO15+BO16+BO17+BO19+BO20+BO21+BO22+BO23+BO24+BO25+BO27+BO28+BO29+BO30+BO31+BO32+BO33)/T2),0)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2023-10-10</t>
        </is>
      </c>
      <c r="CB33" s="5">
        <f>ROUND(0.0,2)</f>
        <v/>
      </c>
      <c r="CC33" s="3">
        <f>ROUND(0.0,2)</f>
        <v/>
      </c>
      <c r="CD33" s="3">
        <f>ROUND(0.0,2)</f>
        <v/>
      </c>
      <c r="CE33" s="3">
        <f>ROUND(0.0,2)</f>
        <v/>
      </c>
      <c r="CF33" s="3">
        <f>ROUND(0.0,2)</f>
        <v/>
      </c>
      <c r="CG33" s="3">
        <f>ROUND(0.0,2)</f>
        <v/>
      </c>
      <c r="CH33" s="3">
        <f>ROUND(0.0,2)</f>
        <v/>
      </c>
      <c r="CI33" s="3">
        <f>ROUND(0.0,2)</f>
        <v/>
      </c>
      <c r="CJ33" s="4">
        <f>IFERROR((CD33/CC33),0)</f>
        <v/>
      </c>
      <c r="CK33" s="4">
        <f>IFERROR(((0+CB11+CB12+CB13+CB14+CB15+CB16+CB17+CB19+CB20+CB21+CB22+CB23+CB24+CB25+CB27+CB28+CB29+CB30+CB31+CB32+CB33)/T2),0)</f>
        <v/>
      </c>
      <c r="CL33" s="5">
        <f>IFERROR(ROUND(CB33/CD33,2),0)</f>
        <v/>
      </c>
      <c r="CM33" s="5">
        <f>IFERROR(ROUND(CB33/CE33,2),0)</f>
        <v/>
      </c>
      <c r="CN33" s="2" t="inlineStr">
        <is>
          <t>2023-10-10</t>
        </is>
      </c>
      <c r="CO33" s="5">
        <f>ROUND(0.0,2)</f>
        <v/>
      </c>
      <c r="CP33" s="3">
        <f>ROUND(0.0,2)</f>
        <v/>
      </c>
      <c r="CQ33" s="3">
        <f>ROUND(0.0,2)</f>
        <v/>
      </c>
      <c r="CR33" s="3">
        <f>ROUND(0.0,2)</f>
        <v/>
      </c>
      <c r="CS33" s="3">
        <f>ROUND(0.0,2)</f>
        <v/>
      </c>
      <c r="CT33" s="3">
        <f>ROUND(0.0,2)</f>
        <v/>
      </c>
      <c r="CU33" s="3">
        <f>ROUND(0.0,2)</f>
        <v/>
      </c>
      <c r="CV33" s="3">
        <f>ROUND(0.0,2)</f>
        <v/>
      </c>
      <c r="CW33" s="4">
        <f>IFERROR((CQ33/CP33),0)</f>
        <v/>
      </c>
      <c r="CX33" s="4">
        <f>IFERROR(((0+CO11+CO12+CO13+CO14+CO15+CO16+CO17+CO19+CO20+CO21+CO22+CO23+CO24+CO25+CO27+CO28+CO29+CO30+CO31+CO32+CO33)/T2),0)</f>
        <v/>
      </c>
      <c r="CY33" s="5">
        <f>IFERROR(ROUND(CO33/CQ33,2),0)</f>
        <v/>
      </c>
      <c r="CZ33" s="5">
        <f>IFERROR(ROUND(CO33/CR33,2),0)</f>
        <v/>
      </c>
      <c r="DA33" s="2" t="inlineStr">
        <is>
          <t>2023-10-10</t>
        </is>
      </c>
      <c r="DB33" s="5">
        <f>ROUND(0.0,2)</f>
        <v/>
      </c>
      <c r="DC33" s="3">
        <f>ROUND(0.0,2)</f>
        <v/>
      </c>
      <c r="DD33" s="3">
        <f>ROUND(0.0,2)</f>
        <v/>
      </c>
      <c r="DE33" s="3">
        <f>ROUND(0.0,2)</f>
        <v/>
      </c>
      <c r="DF33" s="3">
        <f>ROUND(0.0,2)</f>
        <v/>
      </c>
      <c r="DG33" s="3">
        <f>ROUND(0.0,2)</f>
        <v/>
      </c>
      <c r="DH33" s="3">
        <f>ROUND(0.0,2)</f>
        <v/>
      </c>
      <c r="DI33" s="3">
        <f>ROUND(0.0,2)</f>
        <v/>
      </c>
      <c r="DJ33" s="4">
        <f>IFERROR((DD33/DC33),0)</f>
        <v/>
      </c>
      <c r="DK33" s="4">
        <f>IFERROR(((0+DB11+DB12+DB13+DB14+DB15+DB16+DB17+DB19+DB20+DB21+DB22+DB23+DB24+DB25+DB27+DB28+DB29+DB30+DB31+DB32+DB33)/T2),0)</f>
        <v/>
      </c>
      <c r="DL33" s="5">
        <f>IFERROR(ROUND(DB33/DD33,2),0)</f>
        <v/>
      </c>
      <c r="DM33" s="5">
        <f>IFERROR(ROUND(DB33/DE33,2),0)</f>
        <v/>
      </c>
      <c r="DN33" s="2" t="inlineStr">
        <is>
          <t>2023-10-10</t>
        </is>
      </c>
      <c r="DO33" s="5">
        <f>ROUND(0.0,2)</f>
        <v/>
      </c>
      <c r="DP33" s="3">
        <f>ROUND(0.0,2)</f>
        <v/>
      </c>
      <c r="DQ33" s="3">
        <f>ROUND(0.0,2)</f>
        <v/>
      </c>
      <c r="DR33" s="3">
        <f>ROUND(0.0,2)</f>
        <v/>
      </c>
      <c r="DS33" s="3">
        <f>ROUND(0.0,2)</f>
        <v/>
      </c>
      <c r="DT33" s="3">
        <f>ROUND(0.0,2)</f>
        <v/>
      </c>
      <c r="DU33" s="3">
        <f>ROUND(0.0,2)</f>
        <v/>
      </c>
      <c r="DV33" s="3">
        <f>ROUND(0.0,2)</f>
        <v/>
      </c>
      <c r="DW33" s="4">
        <f>IFERROR((DQ33/DP33),0)</f>
        <v/>
      </c>
      <c r="DX33" s="4">
        <f>IFERROR(((0+DO11+DO12+DO13+DO14+DO15+DO16+DO17+DO19+DO20+DO21+DO22+DO23+DO24+DO25+DO27+DO28+DO29+DO30+DO31+DO32+DO33)/T2),0)</f>
        <v/>
      </c>
      <c r="DY33" s="5">
        <f>IFERROR(ROUND(DO33/DQ33,2),0)</f>
        <v/>
      </c>
      <c r="DZ33" s="5">
        <f>IFERROR(ROUND(DO33/DR33,2),0)</f>
        <v/>
      </c>
      <c r="EA33" s="2" t="inlineStr">
        <is>
          <t>2023-10-10</t>
        </is>
      </c>
      <c r="EB33" s="5">
        <f>ROUND(0.0,2)</f>
        <v/>
      </c>
      <c r="EC33" s="3">
        <f>ROUND(0.0,2)</f>
        <v/>
      </c>
      <c r="ED33" s="3">
        <f>ROUND(0.0,2)</f>
        <v/>
      </c>
      <c r="EE33" s="3">
        <f>ROUND(0.0,2)</f>
        <v/>
      </c>
      <c r="EF33" s="3">
        <f>ROUND(0.0,2)</f>
        <v/>
      </c>
      <c r="EG33" s="3">
        <f>ROUND(0.0,2)</f>
        <v/>
      </c>
      <c r="EH33" s="3">
        <f>ROUND(0.0,2)</f>
        <v/>
      </c>
      <c r="EI33" s="3">
        <f>ROUND(0.0,2)</f>
        <v/>
      </c>
      <c r="EJ33" s="4">
        <f>IFERROR((ED33/EC33),0)</f>
        <v/>
      </c>
      <c r="EK33" s="4">
        <f>IFERROR(((0+EB11+EB12+EB13+EB14+EB15+EB16+EB17+EB19+EB20+EB21+EB22+EB23+EB24+EB25+EB27+EB28+EB29+EB30+EB31+EB32+EB33)/T2),0)</f>
        <v/>
      </c>
      <c r="EL33" s="5">
        <f>IFERROR(ROUND(EB33/ED33,2),0)</f>
        <v/>
      </c>
      <c r="EM33" s="5">
        <f>IFERROR(ROUND(EB33/EE33,2),0)</f>
        <v/>
      </c>
    </row>
    <row r="34">
      <c r="A34" s="2" t="inlineStr">
        <is>
          <t>3 Weekly Total</t>
        </is>
      </c>
      <c r="B34" s="5">
        <f>ROUND(0.0,2)</f>
        <v/>
      </c>
      <c r="C34" s="3">
        <f>ROUND(0.0,2)</f>
        <v/>
      </c>
      <c r="D34" s="3">
        <f>ROUND(0.0,2)</f>
        <v/>
      </c>
      <c r="E34" s="3">
        <f>ROUND(0.0,2)</f>
        <v/>
      </c>
      <c r="F34" s="3">
        <f>ROUND(0.0,2)</f>
        <v/>
      </c>
      <c r="G34" s="3">
        <f>ROUND(0.0,2)</f>
        <v/>
      </c>
      <c r="H34" s="3">
        <f>ROUND(0.0,2)</f>
        <v/>
      </c>
      <c r="I34" s="3">
        <f>ROUND(0.0,2)</f>
        <v/>
      </c>
      <c r="J34" s="4">
        <f>IFERROR((D34/C34),0)</f>
        <v/>
      </c>
      <c r="K34" s="4">
        <f>IFERROR(((0+B11+B12+B13+B14+B15+B16+B17+B19+B20+B21+B22+B23+B24+B25+B27+B28+B29+B30+B31+B32+B33)/T2),0)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3 Weekly Total</t>
        </is>
      </c>
      <c r="O34" s="5">
        <f>ROUND(0.0,2)</f>
        <v/>
      </c>
      <c r="P34" s="3">
        <f>ROUND(0.0,2)</f>
        <v/>
      </c>
      <c r="Q34" s="3">
        <f>ROUND(0.0,2)</f>
        <v/>
      </c>
      <c r="R34" s="3">
        <f>ROUND(0.0,2)</f>
        <v/>
      </c>
      <c r="S34" s="3">
        <f>ROUND(0.0,2)</f>
        <v/>
      </c>
      <c r="T34" s="3">
        <f>ROUND(0.0,2)</f>
        <v/>
      </c>
      <c r="U34" s="3">
        <f>ROUND(0.0,2)</f>
        <v/>
      </c>
      <c r="V34" s="3">
        <f>ROUND(0.0,2)</f>
        <v/>
      </c>
      <c r="W34" s="4">
        <f>IFERROR((Q34/P34),0)</f>
        <v/>
      </c>
      <c r="X34" s="4">
        <f>IFERROR(((0+O11+O12+O13+O14+O15+O16+O17+O19+O20+O21+O22+O23+O24+O25+O27+O28+O29+O30+O31+O32+O33)/T2),0)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3 Weekly Total</t>
        </is>
      </c>
      <c r="AB34" s="5">
        <f>ROUND(0.0,2)</f>
        <v/>
      </c>
      <c r="AC34" s="3">
        <f>ROUND(0.0,2)</f>
        <v/>
      </c>
      <c r="AD34" s="3">
        <f>ROUND(0.0,2)</f>
        <v/>
      </c>
      <c r="AE34" s="3">
        <f>ROUND(0.0,2)</f>
        <v/>
      </c>
      <c r="AF34" s="3">
        <f>ROUND(0.0,2)</f>
        <v/>
      </c>
      <c r="AG34" s="3">
        <f>ROUND(0.0,2)</f>
        <v/>
      </c>
      <c r="AH34" s="3">
        <f>ROUND(0.0,2)</f>
        <v/>
      </c>
      <c r="AI34" s="3">
        <f>ROUND(0.0,2)</f>
        <v/>
      </c>
      <c r="AJ34" s="4">
        <f>IFERROR((AD34/AC34),0)</f>
        <v/>
      </c>
      <c r="AK34" s="4">
        <f>IFERROR(((0+AB11+AB12+AB13+AB14+AB15+AB16+AB17+AB19+AB20+AB21+AB22+AB23+AB24+AB25+AB27+AB28+AB29+AB30+AB31+AB32+AB33)/T2),0)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3 Weekly Total</t>
        </is>
      </c>
      <c r="AO34" s="5">
        <f>ROUND(0.0,2)</f>
        <v/>
      </c>
      <c r="AP34" s="3">
        <f>ROUND(0.0,2)</f>
        <v/>
      </c>
      <c r="AQ34" s="3">
        <f>ROUND(0.0,2)</f>
        <v/>
      </c>
      <c r="AR34" s="3">
        <f>ROUND(0.0,2)</f>
        <v/>
      </c>
      <c r="AS34" s="3">
        <f>ROUND(0.0,2)</f>
        <v/>
      </c>
      <c r="AT34" s="3">
        <f>ROUND(0.0,2)</f>
        <v/>
      </c>
      <c r="AU34" s="3">
        <f>ROUND(0.0,2)</f>
        <v/>
      </c>
      <c r="AV34" s="3">
        <f>ROUND(0.0,2)</f>
        <v/>
      </c>
      <c r="AW34" s="4">
        <f>IFERROR((AQ34/AP34),0)</f>
        <v/>
      </c>
      <c r="AX34" s="4">
        <f>IFERROR(((0+AO11+AO12+AO13+AO14+AO15+AO16+AO17+AO19+AO20+AO21+AO22+AO23+AO24+AO25+AO27+AO28+AO29+AO30+AO31+AO32+AO33)/T2),0)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3 Weekly Total</t>
        </is>
      </c>
      <c r="BB34" s="5">
        <f>ROUND(0.0,2)</f>
        <v/>
      </c>
      <c r="BC34" s="3">
        <f>ROUND(0.0,2)</f>
        <v/>
      </c>
      <c r="BD34" s="3">
        <f>ROUND(0.0,2)</f>
        <v/>
      </c>
      <c r="BE34" s="3">
        <f>ROUND(0.0,2)</f>
        <v/>
      </c>
      <c r="BF34" s="3">
        <f>ROUND(0.0,2)</f>
        <v/>
      </c>
      <c r="BG34" s="3">
        <f>ROUND(0.0,2)</f>
        <v/>
      </c>
      <c r="BH34" s="3">
        <f>ROUND(0.0,2)</f>
        <v/>
      </c>
      <c r="BI34" s="3">
        <f>ROUND(0.0,2)</f>
        <v/>
      </c>
      <c r="BJ34" s="4">
        <f>IFERROR((BD34/BC34),0)</f>
        <v/>
      </c>
      <c r="BK34" s="4">
        <f>IFERROR(((0+BB11+BB12+BB13+BB14+BB15+BB16+BB17+BB19+BB20+BB21+BB22+BB23+BB24+BB25+BB27+BB28+BB29+BB30+BB31+BB32+BB33)/T2),0)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3 Weekly Total</t>
        </is>
      </c>
      <c r="BO34" s="5">
        <f>ROUND(0.0,2)</f>
        <v/>
      </c>
      <c r="BP34" s="3">
        <f>ROUND(0.0,2)</f>
        <v/>
      </c>
      <c r="BQ34" s="3">
        <f>ROUND(0.0,2)</f>
        <v/>
      </c>
      <c r="BR34" s="3">
        <f>ROUND(0.0,2)</f>
        <v/>
      </c>
      <c r="BS34" s="3">
        <f>ROUND(0.0,2)</f>
        <v/>
      </c>
      <c r="BT34" s="3">
        <f>ROUND(0.0,2)</f>
        <v/>
      </c>
      <c r="BU34" s="3">
        <f>ROUND(0.0,2)</f>
        <v/>
      </c>
      <c r="BV34" s="3">
        <f>ROUND(0.0,2)</f>
        <v/>
      </c>
      <c r="BW34" s="4">
        <f>IFERROR((BQ34/BP34),0)</f>
        <v/>
      </c>
      <c r="BX34" s="4">
        <f>IFERROR(((0+BO11+BO12+BO13+BO14+BO15+BO16+BO17+BO19+BO20+BO21+BO22+BO23+BO24+BO25+BO27+BO28+BO29+BO30+BO31+BO32+BO33)/T2),0)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3 Weekly Total</t>
        </is>
      </c>
      <c r="CB34" s="5">
        <f>ROUND(0.0,2)</f>
        <v/>
      </c>
      <c r="CC34" s="3">
        <f>ROUND(0.0,2)</f>
        <v/>
      </c>
      <c r="CD34" s="3">
        <f>ROUND(0.0,2)</f>
        <v/>
      </c>
      <c r="CE34" s="3">
        <f>ROUND(0.0,2)</f>
        <v/>
      </c>
      <c r="CF34" s="3">
        <f>ROUND(0.0,2)</f>
        <v/>
      </c>
      <c r="CG34" s="3">
        <f>ROUND(0.0,2)</f>
        <v/>
      </c>
      <c r="CH34" s="3">
        <f>ROUND(0.0,2)</f>
        <v/>
      </c>
      <c r="CI34" s="3">
        <f>ROUND(0.0,2)</f>
        <v/>
      </c>
      <c r="CJ34" s="4">
        <f>IFERROR((CD34/CC34),0)</f>
        <v/>
      </c>
      <c r="CK34" s="4">
        <f>IFERROR(((0+CB11+CB12+CB13+CB14+CB15+CB16+CB17+CB19+CB20+CB21+CB22+CB23+CB24+CB25+CB27+CB28+CB29+CB30+CB31+CB32+CB33)/T2),0)</f>
        <v/>
      </c>
      <c r="CL34" s="5">
        <f>IFERROR(ROUND(CB34/CD34,2),0)</f>
        <v/>
      </c>
      <c r="CM34" s="5">
        <f>IFERROR(ROUND(CB34/CE34,2),0)</f>
        <v/>
      </c>
      <c r="CN34" s="2" t="inlineStr">
        <is>
          <t>3 Weekly Total</t>
        </is>
      </c>
      <c r="CO34" s="5">
        <f>ROUND(0.0,2)</f>
        <v/>
      </c>
      <c r="CP34" s="3">
        <f>ROUND(0.0,2)</f>
        <v/>
      </c>
      <c r="CQ34" s="3">
        <f>ROUND(0.0,2)</f>
        <v/>
      </c>
      <c r="CR34" s="3">
        <f>ROUND(0.0,2)</f>
        <v/>
      </c>
      <c r="CS34" s="3">
        <f>ROUND(0.0,2)</f>
        <v/>
      </c>
      <c r="CT34" s="3">
        <f>ROUND(0.0,2)</f>
        <v/>
      </c>
      <c r="CU34" s="3">
        <f>ROUND(0.0,2)</f>
        <v/>
      </c>
      <c r="CV34" s="3">
        <f>ROUND(0.0,2)</f>
        <v/>
      </c>
      <c r="CW34" s="4">
        <f>IFERROR((CQ34/CP34),0)</f>
        <v/>
      </c>
      <c r="CX34" s="4">
        <f>IFERROR(((0+CO11+CO12+CO13+CO14+CO15+CO16+CO17+CO19+CO20+CO21+CO22+CO23+CO24+CO25+CO27+CO28+CO29+CO30+CO31+CO32+CO33)/T2),0)</f>
        <v/>
      </c>
      <c r="CY34" s="5">
        <f>IFERROR(ROUND(CO34/CQ34,2),0)</f>
        <v/>
      </c>
      <c r="CZ34" s="5">
        <f>IFERROR(ROUND(CO34/CR34,2),0)</f>
        <v/>
      </c>
      <c r="DA34" s="2" t="inlineStr">
        <is>
          <t>3 Weekly Total</t>
        </is>
      </c>
      <c r="DB34" s="5">
        <f>ROUND(0.0,2)</f>
        <v/>
      </c>
      <c r="DC34" s="3">
        <f>ROUND(0.0,2)</f>
        <v/>
      </c>
      <c r="DD34" s="3">
        <f>ROUND(0.0,2)</f>
        <v/>
      </c>
      <c r="DE34" s="3">
        <f>ROUND(0.0,2)</f>
        <v/>
      </c>
      <c r="DF34" s="3">
        <f>ROUND(0.0,2)</f>
        <v/>
      </c>
      <c r="DG34" s="3">
        <f>ROUND(0.0,2)</f>
        <v/>
      </c>
      <c r="DH34" s="3">
        <f>ROUND(0.0,2)</f>
        <v/>
      </c>
      <c r="DI34" s="3">
        <f>ROUND(0.0,2)</f>
        <v/>
      </c>
      <c r="DJ34" s="4">
        <f>IFERROR((DD34/DC34),0)</f>
        <v/>
      </c>
      <c r="DK34" s="4">
        <f>IFERROR(((0+DB11+DB12+DB13+DB14+DB15+DB16+DB17+DB19+DB20+DB21+DB22+DB23+DB24+DB25+DB27+DB28+DB29+DB30+DB31+DB32+DB33)/T2),0)</f>
        <v/>
      </c>
      <c r="DL34" s="5">
        <f>IFERROR(ROUND(DB34/DD34,2),0)</f>
        <v/>
      </c>
      <c r="DM34" s="5">
        <f>IFERROR(ROUND(DB34/DE34,2),0)</f>
        <v/>
      </c>
      <c r="DN34" s="2" t="inlineStr">
        <is>
          <t>3 Weekly Total</t>
        </is>
      </c>
      <c r="DO34" s="5">
        <f>ROUND(0.0,2)</f>
        <v/>
      </c>
      <c r="DP34" s="3">
        <f>ROUND(0.0,2)</f>
        <v/>
      </c>
      <c r="DQ34" s="3">
        <f>ROUND(0.0,2)</f>
        <v/>
      </c>
      <c r="DR34" s="3">
        <f>ROUND(0.0,2)</f>
        <v/>
      </c>
      <c r="DS34" s="3">
        <f>ROUND(0.0,2)</f>
        <v/>
      </c>
      <c r="DT34" s="3">
        <f>ROUND(0.0,2)</f>
        <v/>
      </c>
      <c r="DU34" s="3">
        <f>ROUND(0.0,2)</f>
        <v/>
      </c>
      <c r="DV34" s="3">
        <f>ROUND(0.0,2)</f>
        <v/>
      </c>
      <c r="DW34" s="4">
        <f>IFERROR((DQ34/DP34),0)</f>
        <v/>
      </c>
      <c r="DX34" s="4">
        <f>IFERROR(((0+DO11+DO12+DO13+DO14+DO15+DO16+DO17+DO19+DO20+DO21+DO22+DO23+DO24+DO25+DO27+DO28+DO29+DO30+DO31+DO32+DO33)/T2),0)</f>
        <v/>
      </c>
      <c r="DY34" s="5">
        <f>IFERROR(ROUND(DO34/DQ34,2),0)</f>
        <v/>
      </c>
      <c r="DZ34" s="5">
        <f>IFERROR(ROUND(DO34/DR34,2),0)</f>
        <v/>
      </c>
      <c r="EA34" s="2" t="inlineStr">
        <is>
          <t>3 Weekly Total</t>
        </is>
      </c>
      <c r="EB34" s="5">
        <f>ROUND(0.0,2)</f>
        <v/>
      </c>
      <c r="EC34" s="3">
        <f>ROUND(0.0,2)</f>
        <v/>
      </c>
      <c r="ED34" s="3">
        <f>ROUND(0.0,2)</f>
        <v/>
      </c>
      <c r="EE34" s="3">
        <f>ROUND(0.0,2)</f>
        <v/>
      </c>
      <c r="EF34" s="3">
        <f>ROUND(0.0,2)</f>
        <v/>
      </c>
      <c r="EG34" s="3">
        <f>ROUND(0.0,2)</f>
        <v/>
      </c>
      <c r="EH34" s="3">
        <f>ROUND(0.0,2)</f>
        <v/>
      </c>
      <c r="EI34" s="3">
        <f>ROUND(0.0,2)</f>
        <v/>
      </c>
      <c r="EJ34" s="4">
        <f>IFERROR((ED34/EC34),0)</f>
        <v/>
      </c>
      <c r="EK34" s="4">
        <f>IFERROR(((0+EB11+EB12+EB13+EB14+EB15+EB16+EB17+EB19+EB20+EB21+EB22+EB23+EB24+EB25+EB27+EB28+EB29+EB30+EB31+EB32+EB33)/T2),0)</f>
        <v/>
      </c>
      <c r="EL34" s="5">
        <f>IFERROR(ROUND(EB34/ED34,2),0)</f>
        <v/>
      </c>
      <c r="EM34" s="5">
        <f>IFERROR(ROUND(EB34/EE34,2),0)</f>
        <v/>
      </c>
    </row>
    <row r="35">
      <c r="A35" s="2" t="inlineStr">
        <is>
          <t>2023-10-11</t>
        </is>
      </c>
      <c r="B35" s="5">
        <f>ROUND(0.0,2)</f>
        <v/>
      </c>
      <c r="C35" s="3">
        <f>ROUND(0.0,2)</f>
        <v/>
      </c>
      <c r="D35" s="3">
        <f>ROUND(0.0,2)</f>
        <v/>
      </c>
      <c r="E35" s="3">
        <f>ROUND(0.0,2)</f>
        <v/>
      </c>
      <c r="F35" s="3">
        <f>ROUND(0.0,2)</f>
        <v/>
      </c>
      <c r="G35" s="3">
        <f>ROUND(0.0,2)</f>
        <v/>
      </c>
      <c r="H35" s="3">
        <f>ROUND(0.0,2)</f>
        <v/>
      </c>
      <c r="I35" s="3">
        <f>ROUND(0.0,2)</f>
        <v/>
      </c>
      <c r="J35" s="4">
        <f>IFERROR((D35/C35),0)</f>
        <v/>
      </c>
      <c r="K35" s="4">
        <f>IFERROR(((0+B11+B12+B13+B14+B15+B16+B17+B19+B20+B21+B22+B23+B24+B25+B27+B28+B29+B30+B31+B32+B33+B35)/T2),0)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2023-10-11</t>
        </is>
      </c>
      <c r="O35" s="5">
        <f>ROUND(0.0,2)</f>
        <v/>
      </c>
      <c r="P35" s="3">
        <f>ROUND(0.0,2)</f>
        <v/>
      </c>
      <c r="Q35" s="3">
        <f>ROUND(0.0,2)</f>
        <v/>
      </c>
      <c r="R35" s="3">
        <f>ROUND(0.0,2)</f>
        <v/>
      </c>
      <c r="S35" s="3">
        <f>ROUND(0.0,2)</f>
        <v/>
      </c>
      <c r="T35" s="3">
        <f>ROUND(0.0,2)</f>
        <v/>
      </c>
      <c r="U35" s="3">
        <f>ROUND(0.0,2)</f>
        <v/>
      </c>
      <c r="V35" s="3">
        <f>ROUND(0.0,2)</f>
        <v/>
      </c>
      <c r="W35" s="4">
        <f>IFERROR((Q35/P35),0)</f>
        <v/>
      </c>
      <c r="X35" s="4">
        <f>IFERROR(((0+O11+O12+O13+O14+O15+O16+O17+O19+O20+O21+O22+O23+O24+O25+O27+O28+O29+O30+O31+O32+O33+O35)/T2),0)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2023-10-11</t>
        </is>
      </c>
      <c r="AB35" s="5">
        <f>ROUND(0.0,2)</f>
        <v/>
      </c>
      <c r="AC35" s="3">
        <f>ROUND(0.0,2)</f>
        <v/>
      </c>
      <c r="AD35" s="3">
        <f>ROUND(0.0,2)</f>
        <v/>
      </c>
      <c r="AE35" s="3">
        <f>ROUND(0.0,2)</f>
        <v/>
      </c>
      <c r="AF35" s="3">
        <f>ROUND(0.0,2)</f>
        <v/>
      </c>
      <c r="AG35" s="3">
        <f>ROUND(0.0,2)</f>
        <v/>
      </c>
      <c r="AH35" s="3">
        <f>ROUND(0.0,2)</f>
        <v/>
      </c>
      <c r="AI35" s="3">
        <f>ROUND(0.0,2)</f>
        <v/>
      </c>
      <c r="AJ35" s="4">
        <f>IFERROR((AD35/AC35),0)</f>
        <v/>
      </c>
      <c r="AK35" s="4">
        <f>IFERROR(((0+AB11+AB12+AB13+AB14+AB15+AB16+AB17+AB19+AB20+AB21+AB22+AB23+AB24+AB25+AB27+AB28+AB29+AB30+AB31+AB32+AB33+AB35)/T2),0)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2023-10-11</t>
        </is>
      </c>
      <c r="AO35" s="5">
        <f>ROUND(0.0,2)</f>
        <v/>
      </c>
      <c r="AP35" s="3">
        <f>ROUND(0.0,2)</f>
        <v/>
      </c>
      <c r="AQ35" s="3">
        <f>ROUND(0.0,2)</f>
        <v/>
      </c>
      <c r="AR35" s="3">
        <f>ROUND(0.0,2)</f>
        <v/>
      </c>
      <c r="AS35" s="3">
        <f>ROUND(0.0,2)</f>
        <v/>
      </c>
      <c r="AT35" s="3">
        <f>ROUND(0.0,2)</f>
        <v/>
      </c>
      <c r="AU35" s="3">
        <f>ROUND(0.0,2)</f>
        <v/>
      </c>
      <c r="AV35" s="3">
        <f>ROUND(0.0,2)</f>
        <v/>
      </c>
      <c r="AW35" s="4">
        <f>IFERROR((AQ35/AP35),0)</f>
        <v/>
      </c>
      <c r="AX35" s="4">
        <f>IFERROR(((0+AO11+AO12+AO13+AO14+AO15+AO16+AO17+AO19+AO20+AO21+AO22+AO23+AO24+AO25+AO27+AO28+AO29+AO30+AO31+AO32+AO33+AO35)/T2),0)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2023-10-11</t>
        </is>
      </c>
      <c r="BB35" s="5">
        <f>ROUND(0.0,2)</f>
        <v/>
      </c>
      <c r="BC35" s="3">
        <f>ROUND(0.0,2)</f>
        <v/>
      </c>
      <c r="BD35" s="3">
        <f>ROUND(0.0,2)</f>
        <v/>
      </c>
      <c r="BE35" s="3">
        <f>ROUND(0.0,2)</f>
        <v/>
      </c>
      <c r="BF35" s="3">
        <f>ROUND(0.0,2)</f>
        <v/>
      </c>
      <c r="BG35" s="3">
        <f>ROUND(0.0,2)</f>
        <v/>
      </c>
      <c r="BH35" s="3">
        <f>ROUND(0.0,2)</f>
        <v/>
      </c>
      <c r="BI35" s="3">
        <f>ROUND(0.0,2)</f>
        <v/>
      </c>
      <c r="BJ35" s="4">
        <f>IFERROR((BD35/BC35),0)</f>
        <v/>
      </c>
      <c r="BK35" s="4">
        <f>IFERROR(((0+BB11+BB12+BB13+BB14+BB15+BB16+BB17+BB19+BB20+BB21+BB22+BB23+BB24+BB25+BB27+BB28+BB29+BB30+BB31+BB32+BB33+BB35)/T2),0)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2023-10-11</t>
        </is>
      </c>
      <c r="BO35" s="5">
        <f>ROUND(0.0,2)</f>
        <v/>
      </c>
      <c r="BP35" s="3">
        <f>ROUND(0.0,2)</f>
        <v/>
      </c>
      <c r="BQ35" s="3">
        <f>ROUND(0.0,2)</f>
        <v/>
      </c>
      <c r="BR35" s="3">
        <f>ROUND(0.0,2)</f>
        <v/>
      </c>
      <c r="BS35" s="3">
        <f>ROUND(0.0,2)</f>
        <v/>
      </c>
      <c r="BT35" s="3">
        <f>ROUND(0.0,2)</f>
        <v/>
      </c>
      <c r="BU35" s="3">
        <f>ROUND(0.0,2)</f>
        <v/>
      </c>
      <c r="BV35" s="3">
        <f>ROUND(0.0,2)</f>
        <v/>
      </c>
      <c r="BW35" s="4">
        <f>IFERROR((BQ35/BP35),0)</f>
        <v/>
      </c>
      <c r="BX35" s="4">
        <f>IFERROR(((0+BO11+BO12+BO13+BO14+BO15+BO16+BO17+BO19+BO20+BO21+BO22+BO23+BO24+BO25+BO27+BO28+BO29+BO30+BO31+BO32+BO33+BO35)/T2),0)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2023-10-11</t>
        </is>
      </c>
      <c r="CB35" s="5">
        <f>ROUND(0.0,2)</f>
        <v/>
      </c>
      <c r="CC35" s="3">
        <f>ROUND(0.0,2)</f>
        <v/>
      </c>
      <c r="CD35" s="3">
        <f>ROUND(0.0,2)</f>
        <v/>
      </c>
      <c r="CE35" s="3">
        <f>ROUND(0.0,2)</f>
        <v/>
      </c>
      <c r="CF35" s="3">
        <f>ROUND(0.0,2)</f>
        <v/>
      </c>
      <c r="CG35" s="3">
        <f>ROUND(0.0,2)</f>
        <v/>
      </c>
      <c r="CH35" s="3">
        <f>ROUND(0.0,2)</f>
        <v/>
      </c>
      <c r="CI35" s="3">
        <f>ROUND(0.0,2)</f>
        <v/>
      </c>
      <c r="CJ35" s="4">
        <f>IFERROR((CD35/CC35),0)</f>
        <v/>
      </c>
      <c r="CK35" s="4">
        <f>IFERROR(((0+CB11+CB12+CB13+CB14+CB15+CB16+CB17+CB19+CB20+CB21+CB22+CB23+CB24+CB25+CB27+CB28+CB29+CB30+CB31+CB32+CB33+CB35)/T2),0)</f>
        <v/>
      </c>
      <c r="CL35" s="5">
        <f>IFERROR(ROUND(CB35/CD35,2),0)</f>
        <v/>
      </c>
      <c r="CM35" s="5">
        <f>IFERROR(ROUND(CB35/CE35,2),0)</f>
        <v/>
      </c>
      <c r="CN35" s="2" t="inlineStr">
        <is>
          <t>2023-10-11</t>
        </is>
      </c>
      <c r="CO35" s="5">
        <f>ROUND(0.0,2)</f>
        <v/>
      </c>
      <c r="CP35" s="3">
        <f>ROUND(0.0,2)</f>
        <v/>
      </c>
      <c r="CQ35" s="3">
        <f>ROUND(0.0,2)</f>
        <v/>
      </c>
      <c r="CR35" s="3">
        <f>ROUND(0.0,2)</f>
        <v/>
      </c>
      <c r="CS35" s="3">
        <f>ROUND(0.0,2)</f>
        <v/>
      </c>
      <c r="CT35" s="3">
        <f>ROUND(0.0,2)</f>
        <v/>
      </c>
      <c r="CU35" s="3">
        <f>ROUND(0.0,2)</f>
        <v/>
      </c>
      <c r="CV35" s="3">
        <f>ROUND(0.0,2)</f>
        <v/>
      </c>
      <c r="CW35" s="4">
        <f>IFERROR((CQ35/CP35),0)</f>
        <v/>
      </c>
      <c r="CX35" s="4">
        <f>IFERROR(((0+CO11+CO12+CO13+CO14+CO15+CO16+CO17+CO19+CO20+CO21+CO22+CO23+CO24+CO25+CO27+CO28+CO29+CO30+CO31+CO32+CO33+CO35)/T2),0)</f>
        <v/>
      </c>
      <c r="CY35" s="5">
        <f>IFERROR(ROUND(CO35/CQ35,2),0)</f>
        <v/>
      </c>
      <c r="CZ35" s="5">
        <f>IFERROR(ROUND(CO35/CR35,2),0)</f>
        <v/>
      </c>
      <c r="DA35" s="2" t="inlineStr">
        <is>
          <t>2023-10-11</t>
        </is>
      </c>
      <c r="DB35" s="5">
        <f>ROUND(0.0,2)</f>
        <v/>
      </c>
      <c r="DC35" s="3">
        <f>ROUND(0.0,2)</f>
        <v/>
      </c>
      <c r="DD35" s="3">
        <f>ROUND(0.0,2)</f>
        <v/>
      </c>
      <c r="DE35" s="3">
        <f>ROUND(0.0,2)</f>
        <v/>
      </c>
      <c r="DF35" s="3">
        <f>ROUND(0.0,2)</f>
        <v/>
      </c>
      <c r="DG35" s="3">
        <f>ROUND(0.0,2)</f>
        <v/>
      </c>
      <c r="DH35" s="3">
        <f>ROUND(0.0,2)</f>
        <v/>
      </c>
      <c r="DI35" s="3">
        <f>ROUND(0.0,2)</f>
        <v/>
      </c>
      <c r="DJ35" s="4">
        <f>IFERROR((DD35/DC35),0)</f>
        <v/>
      </c>
      <c r="DK35" s="4">
        <f>IFERROR(((0+DB11+DB12+DB13+DB14+DB15+DB16+DB17+DB19+DB20+DB21+DB22+DB23+DB24+DB25+DB27+DB28+DB29+DB30+DB31+DB32+DB33+DB35)/T2),0)</f>
        <v/>
      </c>
      <c r="DL35" s="5">
        <f>IFERROR(ROUND(DB35/DD35,2),0)</f>
        <v/>
      </c>
      <c r="DM35" s="5">
        <f>IFERROR(ROUND(DB35/DE35,2),0)</f>
        <v/>
      </c>
      <c r="DN35" s="2" t="inlineStr">
        <is>
          <t>2023-10-11</t>
        </is>
      </c>
      <c r="DO35" s="5">
        <f>ROUND(0.0,2)</f>
        <v/>
      </c>
      <c r="DP35" s="3">
        <f>ROUND(0.0,2)</f>
        <v/>
      </c>
      <c r="DQ35" s="3">
        <f>ROUND(0.0,2)</f>
        <v/>
      </c>
      <c r="DR35" s="3">
        <f>ROUND(0.0,2)</f>
        <v/>
      </c>
      <c r="DS35" s="3">
        <f>ROUND(0.0,2)</f>
        <v/>
      </c>
      <c r="DT35" s="3">
        <f>ROUND(0.0,2)</f>
        <v/>
      </c>
      <c r="DU35" s="3">
        <f>ROUND(0.0,2)</f>
        <v/>
      </c>
      <c r="DV35" s="3">
        <f>ROUND(0.0,2)</f>
        <v/>
      </c>
      <c r="DW35" s="4">
        <f>IFERROR((DQ35/DP35),0)</f>
        <v/>
      </c>
      <c r="DX35" s="4">
        <f>IFERROR(((0+DO11+DO12+DO13+DO14+DO15+DO16+DO17+DO19+DO20+DO21+DO22+DO23+DO24+DO25+DO27+DO28+DO29+DO30+DO31+DO32+DO33+DO35)/T2),0)</f>
        <v/>
      </c>
      <c r="DY35" s="5">
        <f>IFERROR(ROUND(DO35/DQ35,2),0)</f>
        <v/>
      </c>
      <c r="DZ35" s="5">
        <f>IFERROR(ROUND(DO35/DR35,2),0)</f>
        <v/>
      </c>
      <c r="EA35" s="2" t="inlineStr">
        <is>
          <t>2023-10-11</t>
        </is>
      </c>
      <c r="EB35" s="5">
        <f>ROUND(0.0,2)</f>
        <v/>
      </c>
      <c r="EC35" s="3">
        <f>ROUND(0.0,2)</f>
        <v/>
      </c>
      <c r="ED35" s="3">
        <f>ROUND(0.0,2)</f>
        <v/>
      </c>
      <c r="EE35" s="3">
        <f>ROUND(0.0,2)</f>
        <v/>
      </c>
      <c r="EF35" s="3">
        <f>ROUND(0.0,2)</f>
        <v/>
      </c>
      <c r="EG35" s="3">
        <f>ROUND(0.0,2)</f>
        <v/>
      </c>
      <c r="EH35" s="3">
        <f>ROUND(0.0,2)</f>
        <v/>
      </c>
      <c r="EI35" s="3">
        <f>ROUND(0.0,2)</f>
        <v/>
      </c>
      <c r="EJ35" s="4">
        <f>IFERROR((ED35/EC35),0)</f>
        <v/>
      </c>
      <c r="EK35" s="4">
        <f>IFERROR(((0+EB11+EB12+EB13+EB14+EB15+EB16+EB17+EB19+EB20+EB21+EB22+EB23+EB24+EB25+EB27+EB28+EB29+EB30+EB31+EB32+EB33+EB35)/T2),0)</f>
        <v/>
      </c>
      <c r="EL35" s="5">
        <f>IFERROR(ROUND(EB35/ED35,2),0)</f>
        <v/>
      </c>
      <c r="EM35" s="5">
        <f>IFERROR(ROUND(EB35/EE35,2),0)</f>
        <v/>
      </c>
    </row>
    <row r="36">
      <c r="A36" s="2" t="inlineStr">
        <is>
          <t>2023-10-12</t>
        </is>
      </c>
      <c r="B36" s="5">
        <f>ROUND(0.0,2)</f>
        <v/>
      </c>
      <c r="C36" s="3">
        <f>ROUND(0.0,2)</f>
        <v/>
      </c>
      <c r="D36" s="3">
        <f>ROUND(0.0,2)</f>
        <v/>
      </c>
      <c r="E36" s="3">
        <f>ROUND(0.0,2)</f>
        <v/>
      </c>
      <c r="F36" s="3">
        <f>ROUND(0.0,2)</f>
        <v/>
      </c>
      <c r="G36" s="3">
        <f>ROUND(0.0,2)</f>
        <v/>
      </c>
      <c r="H36" s="3">
        <f>ROUND(0.0,2)</f>
        <v/>
      </c>
      <c r="I36" s="3">
        <f>ROUND(0.0,2)</f>
        <v/>
      </c>
      <c r="J36" s="4">
        <f>IFERROR((D36/C36),0)</f>
        <v/>
      </c>
      <c r="K36" s="4">
        <f>IFERROR(((0+B11+B12+B13+B14+B15+B16+B17+B19+B20+B21+B22+B23+B24+B25+B27+B28+B29+B30+B31+B32+B33+B35+B36)/T2),0)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2023-10-12</t>
        </is>
      </c>
      <c r="O36" s="5">
        <f>ROUND(0.0,2)</f>
        <v/>
      </c>
      <c r="P36" s="3">
        <f>ROUND(0.0,2)</f>
        <v/>
      </c>
      <c r="Q36" s="3">
        <f>ROUND(0.0,2)</f>
        <v/>
      </c>
      <c r="R36" s="3">
        <f>ROUND(0.0,2)</f>
        <v/>
      </c>
      <c r="S36" s="3">
        <f>ROUND(0.0,2)</f>
        <v/>
      </c>
      <c r="T36" s="3">
        <f>ROUND(0.0,2)</f>
        <v/>
      </c>
      <c r="U36" s="3">
        <f>ROUND(0.0,2)</f>
        <v/>
      </c>
      <c r="V36" s="3">
        <f>ROUND(0.0,2)</f>
        <v/>
      </c>
      <c r="W36" s="4">
        <f>IFERROR((Q36/P36),0)</f>
        <v/>
      </c>
      <c r="X36" s="4">
        <f>IFERROR(((0+O11+O12+O13+O14+O15+O16+O17+O19+O20+O21+O22+O23+O24+O25+O27+O28+O29+O30+O31+O32+O33+O35+O36)/T2),0)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2023-10-12</t>
        </is>
      </c>
      <c r="AB36" s="5">
        <f>ROUND(0.0,2)</f>
        <v/>
      </c>
      <c r="AC36" s="3">
        <f>ROUND(0.0,2)</f>
        <v/>
      </c>
      <c r="AD36" s="3">
        <f>ROUND(0.0,2)</f>
        <v/>
      </c>
      <c r="AE36" s="3">
        <f>ROUND(0.0,2)</f>
        <v/>
      </c>
      <c r="AF36" s="3">
        <f>ROUND(0.0,2)</f>
        <v/>
      </c>
      <c r="AG36" s="3">
        <f>ROUND(0.0,2)</f>
        <v/>
      </c>
      <c r="AH36" s="3">
        <f>ROUND(0.0,2)</f>
        <v/>
      </c>
      <c r="AI36" s="3">
        <f>ROUND(0.0,2)</f>
        <v/>
      </c>
      <c r="AJ36" s="4">
        <f>IFERROR((AD36/AC36),0)</f>
        <v/>
      </c>
      <c r="AK36" s="4">
        <f>IFERROR(((0+AB11+AB12+AB13+AB14+AB15+AB16+AB17+AB19+AB20+AB21+AB22+AB23+AB24+AB25+AB27+AB28+AB29+AB30+AB31+AB32+AB33+AB35+AB36)/T2),0)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2023-10-12</t>
        </is>
      </c>
      <c r="AO36" s="5">
        <f>ROUND(0.0,2)</f>
        <v/>
      </c>
      <c r="AP36" s="3">
        <f>ROUND(0.0,2)</f>
        <v/>
      </c>
      <c r="AQ36" s="3">
        <f>ROUND(0.0,2)</f>
        <v/>
      </c>
      <c r="AR36" s="3">
        <f>ROUND(0.0,2)</f>
        <v/>
      </c>
      <c r="AS36" s="3">
        <f>ROUND(0.0,2)</f>
        <v/>
      </c>
      <c r="AT36" s="3">
        <f>ROUND(0.0,2)</f>
        <v/>
      </c>
      <c r="AU36" s="3">
        <f>ROUND(0.0,2)</f>
        <v/>
      </c>
      <c r="AV36" s="3">
        <f>ROUND(0.0,2)</f>
        <v/>
      </c>
      <c r="AW36" s="4">
        <f>IFERROR((AQ36/AP36),0)</f>
        <v/>
      </c>
      <c r="AX36" s="4">
        <f>IFERROR(((0+AO11+AO12+AO13+AO14+AO15+AO16+AO17+AO19+AO20+AO21+AO22+AO23+AO24+AO25+AO27+AO28+AO29+AO30+AO31+AO32+AO33+AO35+AO36)/T2),0)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2023-10-12</t>
        </is>
      </c>
      <c r="BB36" s="5">
        <f>ROUND(0.0,2)</f>
        <v/>
      </c>
      <c r="BC36" s="3">
        <f>ROUND(0.0,2)</f>
        <v/>
      </c>
      <c r="BD36" s="3">
        <f>ROUND(0.0,2)</f>
        <v/>
      </c>
      <c r="BE36" s="3">
        <f>ROUND(0.0,2)</f>
        <v/>
      </c>
      <c r="BF36" s="3">
        <f>ROUND(0.0,2)</f>
        <v/>
      </c>
      <c r="BG36" s="3">
        <f>ROUND(0.0,2)</f>
        <v/>
      </c>
      <c r="BH36" s="3">
        <f>ROUND(0.0,2)</f>
        <v/>
      </c>
      <c r="BI36" s="3">
        <f>ROUND(0.0,2)</f>
        <v/>
      </c>
      <c r="BJ36" s="4">
        <f>IFERROR((BD36/BC36),0)</f>
        <v/>
      </c>
      <c r="BK36" s="4">
        <f>IFERROR(((0+BB11+BB12+BB13+BB14+BB15+BB16+BB17+BB19+BB20+BB21+BB22+BB23+BB24+BB25+BB27+BB28+BB29+BB30+BB31+BB32+BB33+BB35+BB36)/T2),0)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2023-10-12</t>
        </is>
      </c>
      <c r="BO36" s="5">
        <f>ROUND(0.0,2)</f>
        <v/>
      </c>
      <c r="BP36" s="3">
        <f>ROUND(0.0,2)</f>
        <v/>
      </c>
      <c r="BQ36" s="3">
        <f>ROUND(0.0,2)</f>
        <v/>
      </c>
      <c r="BR36" s="3">
        <f>ROUND(0.0,2)</f>
        <v/>
      </c>
      <c r="BS36" s="3">
        <f>ROUND(0.0,2)</f>
        <v/>
      </c>
      <c r="BT36" s="3">
        <f>ROUND(0.0,2)</f>
        <v/>
      </c>
      <c r="BU36" s="3">
        <f>ROUND(0.0,2)</f>
        <v/>
      </c>
      <c r="BV36" s="3">
        <f>ROUND(0.0,2)</f>
        <v/>
      </c>
      <c r="BW36" s="4">
        <f>IFERROR((BQ36/BP36),0)</f>
        <v/>
      </c>
      <c r="BX36" s="4">
        <f>IFERROR(((0+BO11+BO12+BO13+BO14+BO15+BO16+BO17+BO19+BO20+BO21+BO22+BO23+BO24+BO25+BO27+BO28+BO29+BO30+BO31+BO32+BO33+BO35+BO36)/T2),0)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2023-10-12</t>
        </is>
      </c>
      <c r="CB36" s="5">
        <f>ROUND(0.0,2)</f>
        <v/>
      </c>
      <c r="CC36" s="3">
        <f>ROUND(0.0,2)</f>
        <v/>
      </c>
      <c r="CD36" s="3">
        <f>ROUND(0.0,2)</f>
        <v/>
      </c>
      <c r="CE36" s="3">
        <f>ROUND(0.0,2)</f>
        <v/>
      </c>
      <c r="CF36" s="3">
        <f>ROUND(0.0,2)</f>
        <v/>
      </c>
      <c r="CG36" s="3">
        <f>ROUND(0.0,2)</f>
        <v/>
      </c>
      <c r="CH36" s="3">
        <f>ROUND(0.0,2)</f>
        <v/>
      </c>
      <c r="CI36" s="3">
        <f>ROUND(0.0,2)</f>
        <v/>
      </c>
      <c r="CJ36" s="4">
        <f>IFERROR((CD36/CC36),0)</f>
        <v/>
      </c>
      <c r="CK36" s="4">
        <f>IFERROR(((0+CB11+CB12+CB13+CB14+CB15+CB16+CB17+CB19+CB20+CB21+CB22+CB23+CB24+CB25+CB27+CB28+CB29+CB30+CB31+CB32+CB33+CB35+CB36)/T2),0)</f>
        <v/>
      </c>
      <c r="CL36" s="5">
        <f>IFERROR(ROUND(CB36/CD36,2),0)</f>
        <v/>
      </c>
      <c r="CM36" s="5">
        <f>IFERROR(ROUND(CB36/CE36,2),0)</f>
        <v/>
      </c>
      <c r="CN36" s="2" t="inlineStr">
        <is>
          <t>2023-10-12</t>
        </is>
      </c>
      <c r="CO36" s="5">
        <f>ROUND(0.0,2)</f>
        <v/>
      </c>
      <c r="CP36" s="3">
        <f>ROUND(0.0,2)</f>
        <v/>
      </c>
      <c r="CQ36" s="3">
        <f>ROUND(0.0,2)</f>
        <v/>
      </c>
      <c r="CR36" s="3">
        <f>ROUND(0.0,2)</f>
        <v/>
      </c>
      <c r="CS36" s="3">
        <f>ROUND(0.0,2)</f>
        <v/>
      </c>
      <c r="CT36" s="3">
        <f>ROUND(0.0,2)</f>
        <v/>
      </c>
      <c r="CU36" s="3">
        <f>ROUND(0.0,2)</f>
        <v/>
      </c>
      <c r="CV36" s="3">
        <f>ROUND(0.0,2)</f>
        <v/>
      </c>
      <c r="CW36" s="4">
        <f>IFERROR((CQ36/CP36),0)</f>
        <v/>
      </c>
      <c r="CX36" s="4">
        <f>IFERROR(((0+CO11+CO12+CO13+CO14+CO15+CO16+CO17+CO19+CO20+CO21+CO22+CO23+CO24+CO25+CO27+CO28+CO29+CO30+CO31+CO32+CO33+CO35+CO36)/T2),0)</f>
        <v/>
      </c>
      <c r="CY36" s="5">
        <f>IFERROR(ROUND(CO36/CQ36,2),0)</f>
        <v/>
      </c>
      <c r="CZ36" s="5">
        <f>IFERROR(ROUND(CO36/CR36,2),0)</f>
        <v/>
      </c>
      <c r="DA36" s="2" t="inlineStr">
        <is>
          <t>2023-10-12</t>
        </is>
      </c>
      <c r="DB36" s="5">
        <f>ROUND(0.0,2)</f>
        <v/>
      </c>
      <c r="DC36" s="3">
        <f>ROUND(0.0,2)</f>
        <v/>
      </c>
      <c r="DD36" s="3">
        <f>ROUND(0.0,2)</f>
        <v/>
      </c>
      <c r="DE36" s="3">
        <f>ROUND(0.0,2)</f>
        <v/>
      </c>
      <c r="DF36" s="3">
        <f>ROUND(0.0,2)</f>
        <v/>
      </c>
      <c r="DG36" s="3">
        <f>ROUND(0.0,2)</f>
        <v/>
      </c>
      <c r="DH36" s="3">
        <f>ROUND(0.0,2)</f>
        <v/>
      </c>
      <c r="DI36" s="3">
        <f>ROUND(0.0,2)</f>
        <v/>
      </c>
      <c r="DJ36" s="4">
        <f>IFERROR((DD36/DC36),0)</f>
        <v/>
      </c>
      <c r="DK36" s="4">
        <f>IFERROR(((0+DB11+DB12+DB13+DB14+DB15+DB16+DB17+DB19+DB20+DB21+DB22+DB23+DB24+DB25+DB27+DB28+DB29+DB30+DB31+DB32+DB33+DB35+DB36)/T2),0)</f>
        <v/>
      </c>
      <c r="DL36" s="5">
        <f>IFERROR(ROUND(DB36/DD36,2),0)</f>
        <v/>
      </c>
      <c r="DM36" s="5">
        <f>IFERROR(ROUND(DB36/DE36,2),0)</f>
        <v/>
      </c>
      <c r="DN36" s="2" t="inlineStr">
        <is>
          <t>2023-10-12</t>
        </is>
      </c>
      <c r="DO36" s="5">
        <f>ROUND(0.0,2)</f>
        <v/>
      </c>
      <c r="DP36" s="3">
        <f>ROUND(0.0,2)</f>
        <v/>
      </c>
      <c r="DQ36" s="3">
        <f>ROUND(0.0,2)</f>
        <v/>
      </c>
      <c r="DR36" s="3">
        <f>ROUND(0.0,2)</f>
        <v/>
      </c>
      <c r="DS36" s="3">
        <f>ROUND(0.0,2)</f>
        <v/>
      </c>
      <c r="DT36" s="3">
        <f>ROUND(0.0,2)</f>
        <v/>
      </c>
      <c r="DU36" s="3">
        <f>ROUND(0.0,2)</f>
        <v/>
      </c>
      <c r="DV36" s="3">
        <f>ROUND(0.0,2)</f>
        <v/>
      </c>
      <c r="DW36" s="4">
        <f>IFERROR((DQ36/DP36),0)</f>
        <v/>
      </c>
      <c r="DX36" s="4">
        <f>IFERROR(((0+DO11+DO12+DO13+DO14+DO15+DO16+DO17+DO19+DO20+DO21+DO22+DO23+DO24+DO25+DO27+DO28+DO29+DO30+DO31+DO32+DO33+DO35+DO36)/T2),0)</f>
        <v/>
      </c>
      <c r="DY36" s="5">
        <f>IFERROR(ROUND(DO36/DQ36,2),0)</f>
        <v/>
      </c>
      <c r="DZ36" s="5">
        <f>IFERROR(ROUND(DO36/DR36,2),0)</f>
        <v/>
      </c>
      <c r="EA36" s="2" t="inlineStr">
        <is>
          <t>2023-10-12</t>
        </is>
      </c>
      <c r="EB36" s="5">
        <f>ROUND(0.0,2)</f>
        <v/>
      </c>
      <c r="EC36" s="3">
        <f>ROUND(0.0,2)</f>
        <v/>
      </c>
      <c r="ED36" s="3">
        <f>ROUND(0.0,2)</f>
        <v/>
      </c>
      <c r="EE36" s="3">
        <f>ROUND(0.0,2)</f>
        <v/>
      </c>
      <c r="EF36" s="3">
        <f>ROUND(0.0,2)</f>
        <v/>
      </c>
      <c r="EG36" s="3">
        <f>ROUND(0.0,2)</f>
        <v/>
      </c>
      <c r="EH36" s="3">
        <f>ROUND(0.0,2)</f>
        <v/>
      </c>
      <c r="EI36" s="3">
        <f>ROUND(0.0,2)</f>
        <v/>
      </c>
      <c r="EJ36" s="4">
        <f>IFERROR((ED36/EC36),0)</f>
        <v/>
      </c>
      <c r="EK36" s="4">
        <f>IFERROR(((0+EB11+EB12+EB13+EB14+EB15+EB16+EB17+EB19+EB20+EB21+EB22+EB23+EB24+EB25+EB27+EB28+EB29+EB30+EB31+EB32+EB33+EB35+EB36)/T2),0)</f>
        <v/>
      </c>
      <c r="EL36" s="5">
        <f>IFERROR(ROUND(EB36/ED36,2),0)</f>
        <v/>
      </c>
      <c r="EM36" s="5">
        <f>IFERROR(ROUND(EB36/EE36,2),0)</f>
        <v/>
      </c>
    </row>
    <row r="37">
      <c r="A37" s="2" t="inlineStr">
        <is>
          <t>2023-10-13</t>
        </is>
      </c>
      <c r="B37" s="5">
        <f>ROUND(0.0,2)</f>
        <v/>
      </c>
      <c r="C37" s="3">
        <f>ROUND(0.0,2)</f>
        <v/>
      </c>
      <c r="D37" s="3">
        <f>ROUND(0.0,2)</f>
        <v/>
      </c>
      <c r="E37" s="3">
        <f>ROUND(0.0,2)</f>
        <v/>
      </c>
      <c r="F37" s="3">
        <f>ROUND(0.0,2)</f>
        <v/>
      </c>
      <c r="G37" s="3">
        <f>ROUND(0.0,2)</f>
        <v/>
      </c>
      <c r="H37" s="3">
        <f>ROUND(0.0,2)</f>
        <v/>
      </c>
      <c r="I37" s="3">
        <f>ROUND(0.0,2)</f>
        <v/>
      </c>
      <c r="J37" s="4">
        <f>IFERROR((D37/C37),0)</f>
        <v/>
      </c>
      <c r="K37" s="4">
        <f>IFERROR(((0+B11+B12+B13+B14+B15+B16+B17+B19+B20+B21+B22+B23+B24+B25+B27+B28+B29+B30+B31+B32+B33+B35+B36+B37)/T2),0)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2023-10-13</t>
        </is>
      </c>
      <c r="O37" s="5">
        <f>ROUND(0.0,2)</f>
        <v/>
      </c>
      <c r="P37" s="3">
        <f>ROUND(0.0,2)</f>
        <v/>
      </c>
      <c r="Q37" s="3">
        <f>ROUND(0.0,2)</f>
        <v/>
      </c>
      <c r="R37" s="3">
        <f>ROUND(0.0,2)</f>
        <v/>
      </c>
      <c r="S37" s="3">
        <f>ROUND(0.0,2)</f>
        <v/>
      </c>
      <c r="T37" s="3">
        <f>ROUND(0.0,2)</f>
        <v/>
      </c>
      <c r="U37" s="3">
        <f>ROUND(0.0,2)</f>
        <v/>
      </c>
      <c r="V37" s="3">
        <f>ROUND(0.0,2)</f>
        <v/>
      </c>
      <c r="W37" s="4">
        <f>IFERROR((Q37/P37),0)</f>
        <v/>
      </c>
      <c r="X37" s="4">
        <f>IFERROR(((0+O11+O12+O13+O14+O15+O16+O17+O19+O20+O21+O22+O23+O24+O25+O27+O28+O29+O30+O31+O32+O33+O35+O36+O37)/T2),0)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2023-10-13</t>
        </is>
      </c>
      <c r="AB37" s="5">
        <f>ROUND(0.0,2)</f>
        <v/>
      </c>
      <c r="AC37" s="3">
        <f>ROUND(0.0,2)</f>
        <v/>
      </c>
      <c r="AD37" s="3">
        <f>ROUND(0.0,2)</f>
        <v/>
      </c>
      <c r="AE37" s="3">
        <f>ROUND(0.0,2)</f>
        <v/>
      </c>
      <c r="AF37" s="3">
        <f>ROUND(0.0,2)</f>
        <v/>
      </c>
      <c r="AG37" s="3">
        <f>ROUND(0.0,2)</f>
        <v/>
      </c>
      <c r="AH37" s="3">
        <f>ROUND(0.0,2)</f>
        <v/>
      </c>
      <c r="AI37" s="3">
        <f>ROUND(0.0,2)</f>
        <v/>
      </c>
      <c r="AJ37" s="4">
        <f>IFERROR((AD37/AC37),0)</f>
        <v/>
      </c>
      <c r="AK37" s="4">
        <f>IFERROR(((0+AB11+AB12+AB13+AB14+AB15+AB16+AB17+AB19+AB20+AB21+AB22+AB23+AB24+AB25+AB27+AB28+AB29+AB30+AB31+AB32+AB33+AB35+AB36+AB37)/T2),0)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2023-10-13</t>
        </is>
      </c>
      <c r="AO37" s="5">
        <f>ROUND(0.0,2)</f>
        <v/>
      </c>
      <c r="AP37" s="3">
        <f>ROUND(0.0,2)</f>
        <v/>
      </c>
      <c r="AQ37" s="3">
        <f>ROUND(0.0,2)</f>
        <v/>
      </c>
      <c r="AR37" s="3">
        <f>ROUND(0.0,2)</f>
        <v/>
      </c>
      <c r="AS37" s="3">
        <f>ROUND(0.0,2)</f>
        <v/>
      </c>
      <c r="AT37" s="3">
        <f>ROUND(0.0,2)</f>
        <v/>
      </c>
      <c r="AU37" s="3">
        <f>ROUND(0.0,2)</f>
        <v/>
      </c>
      <c r="AV37" s="3">
        <f>ROUND(0.0,2)</f>
        <v/>
      </c>
      <c r="AW37" s="4">
        <f>IFERROR((AQ37/AP37),0)</f>
        <v/>
      </c>
      <c r="AX37" s="4">
        <f>IFERROR(((0+AO11+AO12+AO13+AO14+AO15+AO16+AO17+AO19+AO20+AO21+AO22+AO23+AO24+AO25+AO27+AO28+AO29+AO30+AO31+AO32+AO33+AO35+AO36+AO37)/T2),0)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2023-10-13</t>
        </is>
      </c>
      <c r="BB37" s="5">
        <f>ROUND(0.0,2)</f>
        <v/>
      </c>
      <c r="BC37" s="3">
        <f>ROUND(0.0,2)</f>
        <v/>
      </c>
      <c r="BD37" s="3">
        <f>ROUND(0.0,2)</f>
        <v/>
      </c>
      <c r="BE37" s="3">
        <f>ROUND(0.0,2)</f>
        <v/>
      </c>
      <c r="BF37" s="3">
        <f>ROUND(0.0,2)</f>
        <v/>
      </c>
      <c r="BG37" s="3">
        <f>ROUND(0.0,2)</f>
        <v/>
      </c>
      <c r="BH37" s="3">
        <f>ROUND(0.0,2)</f>
        <v/>
      </c>
      <c r="BI37" s="3">
        <f>ROUND(0.0,2)</f>
        <v/>
      </c>
      <c r="BJ37" s="4">
        <f>IFERROR((BD37/BC37),0)</f>
        <v/>
      </c>
      <c r="BK37" s="4">
        <f>IFERROR(((0+BB11+BB12+BB13+BB14+BB15+BB16+BB17+BB19+BB20+BB21+BB22+BB23+BB24+BB25+BB27+BB28+BB29+BB30+BB31+BB32+BB33+BB35+BB36+BB37)/T2),0)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2023-10-13</t>
        </is>
      </c>
      <c r="BO37" s="5">
        <f>ROUND(0.0,2)</f>
        <v/>
      </c>
      <c r="BP37" s="3">
        <f>ROUND(0.0,2)</f>
        <v/>
      </c>
      <c r="BQ37" s="3">
        <f>ROUND(0.0,2)</f>
        <v/>
      </c>
      <c r="BR37" s="3">
        <f>ROUND(0.0,2)</f>
        <v/>
      </c>
      <c r="BS37" s="3">
        <f>ROUND(0.0,2)</f>
        <v/>
      </c>
      <c r="BT37" s="3">
        <f>ROUND(0.0,2)</f>
        <v/>
      </c>
      <c r="BU37" s="3">
        <f>ROUND(0.0,2)</f>
        <v/>
      </c>
      <c r="BV37" s="3">
        <f>ROUND(0.0,2)</f>
        <v/>
      </c>
      <c r="BW37" s="4">
        <f>IFERROR((BQ37/BP37),0)</f>
        <v/>
      </c>
      <c r="BX37" s="4">
        <f>IFERROR(((0+BO11+BO12+BO13+BO14+BO15+BO16+BO17+BO19+BO20+BO21+BO22+BO23+BO24+BO25+BO27+BO28+BO29+BO30+BO31+BO32+BO33+BO35+BO36+BO37)/T2),0)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2023-10-13</t>
        </is>
      </c>
      <c r="CB37" s="5">
        <f>ROUND(0.0,2)</f>
        <v/>
      </c>
      <c r="CC37" s="3">
        <f>ROUND(0.0,2)</f>
        <v/>
      </c>
      <c r="CD37" s="3">
        <f>ROUND(0.0,2)</f>
        <v/>
      </c>
      <c r="CE37" s="3">
        <f>ROUND(0.0,2)</f>
        <v/>
      </c>
      <c r="CF37" s="3">
        <f>ROUND(0.0,2)</f>
        <v/>
      </c>
      <c r="CG37" s="3">
        <f>ROUND(0.0,2)</f>
        <v/>
      </c>
      <c r="CH37" s="3">
        <f>ROUND(0.0,2)</f>
        <v/>
      </c>
      <c r="CI37" s="3">
        <f>ROUND(0.0,2)</f>
        <v/>
      </c>
      <c r="CJ37" s="4">
        <f>IFERROR((CD37/CC37),0)</f>
        <v/>
      </c>
      <c r="CK37" s="4">
        <f>IFERROR(((0+CB11+CB12+CB13+CB14+CB15+CB16+CB17+CB19+CB20+CB21+CB22+CB23+CB24+CB25+CB27+CB28+CB29+CB30+CB31+CB32+CB33+CB35+CB36+CB37)/T2),0)</f>
        <v/>
      </c>
      <c r="CL37" s="5">
        <f>IFERROR(ROUND(CB37/CD37,2),0)</f>
        <v/>
      </c>
      <c r="CM37" s="5">
        <f>IFERROR(ROUND(CB37/CE37,2),0)</f>
        <v/>
      </c>
      <c r="CN37" s="2" t="inlineStr">
        <is>
          <t>2023-10-13</t>
        </is>
      </c>
      <c r="CO37" s="5">
        <f>ROUND(0.0,2)</f>
        <v/>
      </c>
      <c r="CP37" s="3">
        <f>ROUND(0.0,2)</f>
        <v/>
      </c>
      <c r="CQ37" s="3">
        <f>ROUND(0.0,2)</f>
        <v/>
      </c>
      <c r="CR37" s="3">
        <f>ROUND(0.0,2)</f>
        <v/>
      </c>
      <c r="CS37" s="3">
        <f>ROUND(0.0,2)</f>
        <v/>
      </c>
      <c r="CT37" s="3">
        <f>ROUND(0.0,2)</f>
        <v/>
      </c>
      <c r="CU37" s="3">
        <f>ROUND(0.0,2)</f>
        <v/>
      </c>
      <c r="CV37" s="3">
        <f>ROUND(0.0,2)</f>
        <v/>
      </c>
      <c r="CW37" s="4">
        <f>IFERROR((CQ37/CP37),0)</f>
        <v/>
      </c>
      <c r="CX37" s="4">
        <f>IFERROR(((0+CO11+CO12+CO13+CO14+CO15+CO16+CO17+CO19+CO20+CO21+CO22+CO23+CO24+CO25+CO27+CO28+CO29+CO30+CO31+CO32+CO33+CO35+CO36+CO37)/T2),0)</f>
        <v/>
      </c>
      <c r="CY37" s="5">
        <f>IFERROR(ROUND(CO37/CQ37,2),0)</f>
        <v/>
      </c>
      <c r="CZ37" s="5">
        <f>IFERROR(ROUND(CO37/CR37,2),0)</f>
        <v/>
      </c>
      <c r="DA37" s="2" t="inlineStr">
        <is>
          <t>2023-10-13</t>
        </is>
      </c>
      <c r="DB37" s="5">
        <f>ROUND(0.0,2)</f>
        <v/>
      </c>
      <c r="DC37" s="3">
        <f>ROUND(0.0,2)</f>
        <v/>
      </c>
      <c r="DD37" s="3">
        <f>ROUND(0.0,2)</f>
        <v/>
      </c>
      <c r="DE37" s="3">
        <f>ROUND(0.0,2)</f>
        <v/>
      </c>
      <c r="DF37" s="3">
        <f>ROUND(0.0,2)</f>
        <v/>
      </c>
      <c r="DG37" s="3">
        <f>ROUND(0.0,2)</f>
        <v/>
      </c>
      <c r="DH37" s="3">
        <f>ROUND(0.0,2)</f>
        <v/>
      </c>
      <c r="DI37" s="3">
        <f>ROUND(0.0,2)</f>
        <v/>
      </c>
      <c r="DJ37" s="4">
        <f>IFERROR((DD37/DC37),0)</f>
        <v/>
      </c>
      <c r="DK37" s="4">
        <f>IFERROR(((0+DB11+DB12+DB13+DB14+DB15+DB16+DB17+DB19+DB20+DB21+DB22+DB23+DB24+DB25+DB27+DB28+DB29+DB30+DB31+DB32+DB33+DB35+DB36+DB37)/T2),0)</f>
        <v/>
      </c>
      <c r="DL37" s="5">
        <f>IFERROR(ROUND(DB37/DD37,2),0)</f>
        <v/>
      </c>
      <c r="DM37" s="5">
        <f>IFERROR(ROUND(DB37/DE37,2),0)</f>
        <v/>
      </c>
      <c r="DN37" s="2" t="inlineStr">
        <is>
          <t>2023-10-13</t>
        </is>
      </c>
      <c r="DO37" s="5">
        <f>ROUND(0.0,2)</f>
        <v/>
      </c>
      <c r="DP37" s="3">
        <f>ROUND(0.0,2)</f>
        <v/>
      </c>
      <c r="DQ37" s="3">
        <f>ROUND(0.0,2)</f>
        <v/>
      </c>
      <c r="DR37" s="3">
        <f>ROUND(0.0,2)</f>
        <v/>
      </c>
      <c r="DS37" s="3">
        <f>ROUND(0.0,2)</f>
        <v/>
      </c>
      <c r="DT37" s="3">
        <f>ROUND(0.0,2)</f>
        <v/>
      </c>
      <c r="DU37" s="3">
        <f>ROUND(0.0,2)</f>
        <v/>
      </c>
      <c r="DV37" s="3">
        <f>ROUND(0.0,2)</f>
        <v/>
      </c>
      <c r="DW37" s="4">
        <f>IFERROR((DQ37/DP37),0)</f>
        <v/>
      </c>
      <c r="DX37" s="4">
        <f>IFERROR(((0+DO11+DO12+DO13+DO14+DO15+DO16+DO17+DO19+DO20+DO21+DO22+DO23+DO24+DO25+DO27+DO28+DO29+DO30+DO31+DO32+DO33+DO35+DO36+DO37)/T2),0)</f>
        <v/>
      </c>
      <c r="DY37" s="5">
        <f>IFERROR(ROUND(DO37/DQ37,2),0)</f>
        <v/>
      </c>
      <c r="DZ37" s="5">
        <f>IFERROR(ROUND(DO37/DR37,2),0)</f>
        <v/>
      </c>
      <c r="EA37" s="2" t="inlineStr">
        <is>
          <t>2023-10-13</t>
        </is>
      </c>
      <c r="EB37" s="5">
        <f>ROUND(0.0,2)</f>
        <v/>
      </c>
      <c r="EC37" s="3">
        <f>ROUND(0.0,2)</f>
        <v/>
      </c>
      <c r="ED37" s="3">
        <f>ROUND(0.0,2)</f>
        <v/>
      </c>
      <c r="EE37" s="3">
        <f>ROUND(0.0,2)</f>
        <v/>
      </c>
      <c r="EF37" s="3">
        <f>ROUND(0.0,2)</f>
        <v/>
      </c>
      <c r="EG37" s="3">
        <f>ROUND(0.0,2)</f>
        <v/>
      </c>
      <c r="EH37" s="3">
        <f>ROUND(0.0,2)</f>
        <v/>
      </c>
      <c r="EI37" s="3">
        <f>ROUND(0.0,2)</f>
        <v/>
      </c>
      <c r="EJ37" s="4">
        <f>IFERROR((ED37/EC37),0)</f>
        <v/>
      </c>
      <c r="EK37" s="4">
        <f>IFERROR(((0+EB11+EB12+EB13+EB14+EB15+EB16+EB17+EB19+EB20+EB21+EB22+EB23+EB24+EB25+EB27+EB28+EB29+EB30+EB31+EB32+EB33+EB35+EB36+EB37)/T2),0)</f>
        <v/>
      </c>
      <c r="EL37" s="5">
        <f>IFERROR(ROUND(EB37/ED37,2),0)</f>
        <v/>
      </c>
      <c r="EM37" s="5">
        <f>IFERROR(ROUND(EB37/EE37,2),0)</f>
        <v/>
      </c>
    </row>
    <row r="38">
      <c r="A38" s="2" t="inlineStr">
        <is>
          <t>2023-10-14</t>
        </is>
      </c>
      <c r="B38" s="5">
        <f>ROUND(0.0,2)</f>
        <v/>
      </c>
      <c r="C38" s="3">
        <f>ROUND(0.0,2)</f>
        <v/>
      </c>
      <c r="D38" s="3">
        <f>ROUND(0.0,2)</f>
        <v/>
      </c>
      <c r="E38" s="3">
        <f>ROUND(0.0,2)</f>
        <v/>
      </c>
      <c r="F38" s="3">
        <f>ROUND(0.0,2)</f>
        <v/>
      </c>
      <c r="G38" s="3">
        <f>ROUND(0.0,2)</f>
        <v/>
      </c>
      <c r="H38" s="3">
        <f>ROUND(0.0,2)</f>
        <v/>
      </c>
      <c r="I38" s="3">
        <f>ROUND(0.0,2)</f>
        <v/>
      </c>
      <c r="J38" s="4">
        <f>IFERROR((D38/C38),0)</f>
        <v/>
      </c>
      <c r="K38" s="4">
        <f>IFERROR(((0+B11+B12+B13+B14+B15+B16+B17+B19+B20+B21+B22+B23+B24+B25+B27+B28+B29+B30+B31+B32+B33+B35+B36+B37+B38)/T2),0)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2023-10-14</t>
        </is>
      </c>
      <c r="O38" s="5">
        <f>ROUND(0.0,2)</f>
        <v/>
      </c>
      <c r="P38" s="3">
        <f>ROUND(0.0,2)</f>
        <v/>
      </c>
      <c r="Q38" s="3">
        <f>ROUND(0.0,2)</f>
        <v/>
      </c>
      <c r="R38" s="3">
        <f>ROUND(0.0,2)</f>
        <v/>
      </c>
      <c r="S38" s="3">
        <f>ROUND(0.0,2)</f>
        <v/>
      </c>
      <c r="T38" s="3">
        <f>ROUND(0.0,2)</f>
        <v/>
      </c>
      <c r="U38" s="3">
        <f>ROUND(0.0,2)</f>
        <v/>
      </c>
      <c r="V38" s="3">
        <f>ROUND(0.0,2)</f>
        <v/>
      </c>
      <c r="W38" s="4">
        <f>IFERROR((Q38/P38),0)</f>
        <v/>
      </c>
      <c r="X38" s="4">
        <f>IFERROR(((0+O11+O12+O13+O14+O15+O16+O17+O19+O20+O21+O22+O23+O24+O25+O27+O28+O29+O30+O31+O32+O33+O35+O36+O37+O38)/T2),0)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2023-10-14</t>
        </is>
      </c>
      <c r="AB38" s="5">
        <f>ROUND(0.0,2)</f>
        <v/>
      </c>
      <c r="AC38" s="3">
        <f>ROUND(0.0,2)</f>
        <v/>
      </c>
      <c r="AD38" s="3">
        <f>ROUND(0.0,2)</f>
        <v/>
      </c>
      <c r="AE38" s="3">
        <f>ROUND(0.0,2)</f>
        <v/>
      </c>
      <c r="AF38" s="3">
        <f>ROUND(0.0,2)</f>
        <v/>
      </c>
      <c r="AG38" s="3">
        <f>ROUND(0.0,2)</f>
        <v/>
      </c>
      <c r="AH38" s="3">
        <f>ROUND(0.0,2)</f>
        <v/>
      </c>
      <c r="AI38" s="3">
        <f>ROUND(0.0,2)</f>
        <v/>
      </c>
      <c r="AJ38" s="4">
        <f>IFERROR((AD38/AC38),0)</f>
        <v/>
      </c>
      <c r="AK38" s="4">
        <f>IFERROR(((0+AB11+AB12+AB13+AB14+AB15+AB16+AB17+AB19+AB20+AB21+AB22+AB23+AB24+AB25+AB27+AB28+AB29+AB30+AB31+AB32+AB33+AB35+AB36+AB37+AB38)/T2),0)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2023-10-14</t>
        </is>
      </c>
      <c r="AO38" s="5">
        <f>ROUND(0.0,2)</f>
        <v/>
      </c>
      <c r="AP38" s="3">
        <f>ROUND(0.0,2)</f>
        <v/>
      </c>
      <c r="AQ38" s="3">
        <f>ROUND(0.0,2)</f>
        <v/>
      </c>
      <c r="AR38" s="3">
        <f>ROUND(0.0,2)</f>
        <v/>
      </c>
      <c r="AS38" s="3">
        <f>ROUND(0.0,2)</f>
        <v/>
      </c>
      <c r="AT38" s="3">
        <f>ROUND(0.0,2)</f>
        <v/>
      </c>
      <c r="AU38" s="3">
        <f>ROUND(0.0,2)</f>
        <v/>
      </c>
      <c r="AV38" s="3">
        <f>ROUND(0.0,2)</f>
        <v/>
      </c>
      <c r="AW38" s="4">
        <f>IFERROR((AQ38/AP38),0)</f>
        <v/>
      </c>
      <c r="AX38" s="4">
        <f>IFERROR(((0+AO11+AO12+AO13+AO14+AO15+AO16+AO17+AO19+AO20+AO21+AO22+AO23+AO24+AO25+AO27+AO28+AO29+AO30+AO31+AO32+AO33+AO35+AO36+AO37+AO38)/T2),0)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2023-10-14</t>
        </is>
      </c>
      <c r="BB38" s="5">
        <f>ROUND(0.0,2)</f>
        <v/>
      </c>
      <c r="BC38" s="3">
        <f>ROUND(0.0,2)</f>
        <v/>
      </c>
      <c r="BD38" s="3">
        <f>ROUND(0.0,2)</f>
        <v/>
      </c>
      <c r="BE38" s="3">
        <f>ROUND(0.0,2)</f>
        <v/>
      </c>
      <c r="BF38" s="3">
        <f>ROUND(0.0,2)</f>
        <v/>
      </c>
      <c r="BG38" s="3">
        <f>ROUND(0.0,2)</f>
        <v/>
      </c>
      <c r="BH38" s="3">
        <f>ROUND(0.0,2)</f>
        <v/>
      </c>
      <c r="BI38" s="3">
        <f>ROUND(0.0,2)</f>
        <v/>
      </c>
      <c r="BJ38" s="4">
        <f>IFERROR((BD38/BC38),0)</f>
        <v/>
      </c>
      <c r="BK38" s="4">
        <f>IFERROR(((0+BB11+BB12+BB13+BB14+BB15+BB16+BB17+BB19+BB20+BB21+BB22+BB23+BB24+BB25+BB27+BB28+BB29+BB30+BB31+BB32+BB33+BB35+BB36+BB37+BB38)/T2),0)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2023-10-14</t>
        </is>
      </c>
      <c r="BO38" s="5">
        <f>ROUND(0.0,2)</f>
        <v/>
      </c>
      <c r="BP38" s="3">
        <f>ROUND(0.0,2)</f>
        <v/>
      </c>
      <c r="BQ38" s="3">
        <f>ROUND(0.0,2)</f>
        <v/>
      </c>
      <c r="BR38" s="3">
        <f>ROUND(0.0,2)</f>
        <v/>
      </c>
      <c r="BS38" s="3">
        <f>ROUND(0.0,2)</f>
        <v/>
      </c>
      <c r="BT38" s="3">
        <f>ROUND(0.0,2)</f>
        <v/>
      </c>
      <c r="BU38" s="3">
        <f>ROUND(0.0,2)</f>
        <v/>
      </c>
      <c r="BV38" s="3">
        <f>ROUND(0.0,2)</f>
        <v/>
      </c>
      <c r="BW38" s="4">
        <f>IFERROR((BQ38/BP38),0)</f>
        <v/>
      </c>
      <c r="BX38" s="4">
        <f>IFERROR(((0+BO11+BO12+BO13+BO14+BO15+BO16+BO17+BO19+BO20+BO21+BO22+BO23+BO24+BO25+BO27+BO28+BO29+BO30+BO31+BO32+BO33+BO35+BO36+BO37+BO38)/T2),0)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2023-10-14</t>
        </is>
      </c>
      <c r="CB38" s="5">
        <f>ROUND(0.0,2)</f>
        <v/>
      </c>
      <c r="CC38" s="3">
        <f>ROUND(0.0,2)</f>
        <v/>
      </c>
      <c r="CD38" s="3">
        <f>ROUND(0.0,2)</f>
        <v/>
      </c>
      <c r="CE38" s="3">
        <f>ROUND(0.0,2)</f>
        <v/>
      </c>
      <c r="CF38" s="3">
        <f>ROUND(0.0,2)</f>
        <v/>
      </c>
      <c r="CG38" s="3">
        <f>ROUND(0.0,2)</f>
        <v/>
      </c>
      <c r="CH38" s="3">
        <f>ROUND(0.0,2)</f>
        <v/>
      </c>
      <c r="CI38" s="3">
        <f>ROUND(0.0,2)</f>
        <v/>
      </c>
      <c r="CJ38" s="4">
        <f>IFERROR((CD38/CC38),0)</f>
        <v/>
      </c>
      <c r="CK38" s="4">
        <f>IFERROR(((0+CB11+CB12+CB13+CB14+CB15+CB16+CB17+CB19+CB20+CB21+CB22+CB23+CB24+CB25+CB27+CB28+CB29+CB30+CB31+CB32+CB33+CB35+CB36+CB37+CB38)/T2),0)</f>
        <v/>
      </c>
      <c r="CL38" s="5">
        <f>IFERROR(ROUND(CB38/CD38,2),0)</f>
        <v/>
      </c>
      <c r="CM38" s="5">
        <f>IFERROR(ROUND(CB38/CE38,2),0)</f>
        <v/>
      </c>
      <c r="CN38" s="2" t="inlineStr">
        <is>
          <t>2023-10-14</t>
        </is>
      </c>
      <c r="CO38" s="5">
        <f>ROUND(0.0,2)</f>
        <v/>
      </c>
      <c r="CP38" s="3">
        <f>ROUND(0.0,2)</f>
        <v/>
      </c>
      <c r="CQ38" s="3">
        <f>ROUND(0.0,2)</f>
        <v/>
      </c>
      <c r="CR38" s="3">
        <f>ROUND(0.0,2)</f>
        <v/>
      </c>
      <c r="CS38" s="3">
        <f>ROUND(0.0,2)</f>
        <v/>
      </c>
      <c r="CT38" s="3">
        <f>ROUND(0.0,2)</f>
        <v/>
      </c>
      <c r="CU38" s="3">
        <f>ROUND(0.0,2)</f>
        <v/>
      </c>
      <c r="CV38" s="3">
        <f>ROUND(0.0,2)</f>
        <v/>
      </c>
      <c r="CW38" s="4">
        <f>IFERROR((CQ38/CP38),0)</f>
        <v/>
      </c>
      <c r="CX38" s="4">
        <f>IFERROR(((0+CO11+CO12+CO13+CO14+CO15+CO16+CO17+CO19+CO20+CO21+CO22+CO23+CO24+CO25+CO27+CO28+CO29+CO30+CO31+CO32+CO33+CO35+CO36+CO37+CO38)/T2),0)</f>
        <v/>
      </c>
      <c r="CY38" s="5">
        <f>IFERROR(ROUND(CO38/CQ38,2),0)</f>
        <v/>
      </c>
      <c r="CZ38" s="5">
        <f>IFERROR(ROUND(CO38/CR38,2),0)</f>
        <v/>
      </c>
      <c r="DA38" s="2" t="inlineStr">
        <is>
          <t>2023-10-14</t>
        </is>
      </c>
      <c r="DB38" s="5">
        <f>ROUND(0.0,2)</f>
        <v/>
      </c>
      <c r="DC38" s="3">
        <f>ROUND(0.0,2)</f>
        <v/>
      </c>
      <c r="DD38" s="3">
        <f>ROUND(0.0,2)</f>
        <v/>
      </c>
      <c r="DE38" s="3">
        <f>ROUND(0.0,2)</f>
        <v/>
      </c>
      <c r="DF38" s="3">
        <f>ROUND(0.0,2)</f>
        <v/>
      </c>
      <c r="DG38" s="3">
        <f>ROUND(0.0,2)</f>
        <v/>
      </c>
      <c r="DH38" s="3">
        <f>ROUND(0.0,2)</f>
        <v/>
      </c>
      <c r="DI38" s="3">
        <f>ROUND(0.0,2)</f>
        <v/>
      </c>
      <c r="DJ38" s="4">
        <f>IFERROR((DD38/DC38),0)</f>
        <v/>
      </c>
      <c r="DK38" s="4">
        <f>IFERROR(((0+DB11+DB12+DB13+DB14+DB15+DB16+DB17+DB19+DB20+DB21+DB22+DB23+DB24+DB25+DB27+DB28+DB29+DB30+DB31+DB32+DB33+DB35+DB36+DB37+DB38)/T2),0)</f>
        <v/>
      </c>
      <c r="DL38" s="5">
        <f>IFERROR(ROUND(DB38/DD38,2),0)</f>
        <v/>
      </c>
      <c r="DM38" s="5">
        <f>IFERROR(ROUND(DB38/DE38,2),0)</f>
        <v/>
      </c>
      <c r="DN38" s="2" t="inlineStr">
        <is>
          <t>2023-10-14</t>
        </is>
      </c>
      <c r="DO38" s="5">
        <f>ROUND(0.0,2)</f>
        <v/>
      </c>
      <c r="DP38" s="3">
        <f>ROUND(0.0,2)</f>
        <v/>
      </c>
      <c r="DQ38" s="3">
        <f>ROUND(0.0,2)</f>
        <v/>
      </c>
      <c r="DR38" s="3">
        <f>ROUND(0.0,2)</f>
        <v/>
      </c>
      <c r="DS38" s="3">
        <f>ROUND(0.0,2)</f>
        <v/>
      </c>
      <c r="DT38" s="3">
        <f>ROUND(0.0,2)</f>
        <v/>
      </c>
      <c r="DU38" s="3">
        <f>ROUND(0.0,2)</f>
        <v/>
      </c>
      <c r="DV38" s="3">
        <f>ROUND(0.0,2)</f>
        <v/>
      </c>
      <c r="DW38" s="4">
        <f>IFERROR((DQ38/DP38),0)</f>
        <v/>
      </c>
      <c r="DX38" s="4">
        <f>IFERROR(((0+DO11+DO12+DO13+DO14+DO15+DO16+DO17+DO19+DO20+DO21+DO22+DO23+DO24+DO25+DO27+DO28+DO29+DO30+DO31+DO32+DO33+DO35+DO36+DO37+DO38)/T2),0)</f>
        <v/>
      </c>
      <c r="DY38" s="5">
        <f>IFERROR(ROUND(DO38/DQ38,2),0)</f>
        <v/>
      </c>
      <c r="DZ38" s="5">
        <f>IFERROR(ROUND(DO38/DR38,2),0)</f>
        <v/>
      </c>
      <c r="EA38" s="2" t="inlineStr">
        <is>
          <t>2023-10-14</t>
        </is>
      </c>
      <c r="EB38" s="5">
        <f>ROUND(0.0,2)</f>
        <v/>
      </c>
      <c r="EC38" s="3">
        <f>ROUND(0.0,2)</f>
        <v/>
      </c>
      <c r="ED38" s="3">
        <f>ROUND(0.0,2)</f>
        <v/>
      </c>
      <c r="EE38" s="3">
        <f>ROUND(0.0,2)</f>
        <v/>
      </c>
      <c r="EF38" s="3">
        <f>ROUND(0.0,2)</f>
        <v/>
      </c>
      <c r="EG38" s="3">
        <f>ROUND(0.0,2)</f>
        <v/>
      </c>
      <c r="EH38" s="3">
        <f>ROUND(0.0,2)</f>
        <v/>
      </c>
      <c r="EI38" s="3">
        <f>ROUND(0.0,2)</f>
        <v/>
      </c>
      <c r="EJ38" s="4">
        <f>IFERROR((ED38/EC38),0)</f>
        <v/>
      </c>
      <c r="EK38" s="4">
        <f>IFERROR(((0+EB11+EB12+EB13+EB14+EB15+EB16+EB17+EB19+EB20+EB21+EB22+EB23+EB24+EB25+EB27+EB28+EB29+EB30+EB31+EB32+EB33+EB35+EB36+EB37+EB38)/T2),0)</f>
        <v/>
      </c>
      <c r="EL38" s="5">
        <f>IFERROR(ROUND(EB38/ED38,2),0)</f>
        <v/>
      </c>
      <c r="EM38" s="5">
        <f>IFERROR(ROUND(EB38/EE38,2),0)</f>
        <v/>
      </c>
    </row>
    <row r="39">
      <c r="A39" s="2" t="inlineStr">
        <is>
          <t>2023-10-15</t>
        </is>
      </c>
      <c r="B39" s="5">
        <f>ROUND(0.0,2)</f>
        <v/>
      </c>
      <c r="C39" s="3">
        <f>ROUND(0.0,2)</f>
        <v/>
      </c>
      <c r="D39" s="3">
        <f>ROUND(0.0,2)</f>
        <v/>
      </c>
      <c r="E39" s="3">
        <f>ROUND(0.0,2)</f>
        <v/>
      </c>
      <c r="F39" s="3">
        <f>ROUND(0.0,2)</f>
        <v/>
      </c>
      <c r="G39" s="3">
        <f>ROUND(0.0,2)</f>
        <v/>
      </c>
      <c r="H39" s="3">
        <f>ROUND(0.0,2)</f>
        <v/>
      </c>
      <c r="I39" s="3">
        <f>ROUND(0.0,2)</f>
        <v/>
      </c>
      <c r="J39" s="4">
        <f>IFERROR((D39/C39),0)</f>
        <v/>
      </c>
      <c r="K39" s="4">
        <f>IFERROR(((0+B11+B12+B13+B14+B15+B16+B17+B19+B20+B21+B22+B23+B24+B25+B27+B28+B29+B30+B31+B32+B33+B35+B36+B37+B38+B39)/T2),0)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2023-10-15</t>
        </is>
      </c>
      <c r="O39" s="5">
        <f>ROUND(0.0,2)</f>
        <v/>
      </c>
      <c r="P39" s="3">
        <f>ROUND(0.0,2)</f>
        <v/>
      </c>
      <c r="Q39" s="3">
        <f>ROUND(0.0,2)</f>
        <v/>
      </c>
      <c r="R39" s="3">
        <f>ROUND(0.0,2)</f>
        <v/>
      </c>
      <c r="S39" s="3">
        <f>ROUND(0.0,2)</f>
        <v/>
      </c>
      <c r="T39" s="3">
        <f>ROUND(0.0,2)</f>
        <v/>
      </c>
      <c r="U39" s="3">
        <f>ROUND(0.0,2)</f>
        <v/>
      </c>
      <c r="V39" s="3">
        <f>ROUND(0.0,2)</f>
        <v/>
      </c>
      <c r="W39" s="4">
        <f>IFERROR((Q39/P39),0)</f>
        <v/>
      </c>
      <c r="X39" s="4">
        <f>IFERROR(((0+O11+O12+O13+O14+O15+O16+O17+O19+O20+O21+O22+O23+O24+O25+O27+O28+O29+O30+O31+O32+O33+O35+O36+O37+O38+O39)/T2),0)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2023-10-15</t>
        </is>
      </c>
      <c r="AB39" s="5">
        <f>ROUND(0.0,2)</f>
        <v/>
      </c>
      <c r="AC39" s="3">
        <f>ROUND(0.0,2)</f>
        <v/>
      </c>
      <c r="AD39" s="3">
        <f>ROUND(0.0,2)</f>
        <v/>
      </c>
      <c r="AE39" s="3">
        <f>ROUND(0.0,2)</f>
        <v/>
      </c>
      <c r="AF39" s="3">
        <f>ROUND(0.0,2)</f>
        <v/>
      </c>
      <c r="AG39" s="3">
        <f>ROUND(0.0,2)</f>
        <v/>
      </c>
      <c r="AH39" s="3">
        <f>ROUND(0.0,2)</f>
        <v/>
      </c>
      <c r="AI39" s="3">
        <f>ROUND(0.0,2)</f>
        <v/>
      </c>
      <c r="AJ39" s="4">
        <f>IFERROR((AD39/AC39),0)</f>
        <v/>
      </c>
      <c r="AK39" s="4">
        <f>IFERROR(((0+AB11+AB12+AB13+AB14+AB15+AB16+AB17+AB19+AB20+AB21+AB22+AB23+AB24+AB25+AB27+AB28+AB29+AB30+AB31+AB32+AB33+AB35+AB36+AB37+AB38+AB39)/T2),0)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2023-10-15</t>
        </is>
      </c>
      <c r="AO39" s="5">
        <f>ROUND(0.0,2)</f>
        <v/>
      </c>
      <c r="AP39" s="3">
        <f>ROUND(0.0,2)</f>
        <v/>
      </c>
      <c r="AQ39" s="3">
        <f>ROUND(0.0,2)</f>
        <v/>
      </c>
      <c r="AR39" s="3">
        <f>ROUND(0.0,2)</f>
        <v/>
      </c>
      <c r="AS39" s="3">
        <f>ROUND(0.0,2)</f>
        <v/>
      </c>
      <c r="AT39" s="3">
        <f>ROUND(0.0,2)</f>
        <v/>
      </c>
      <c r="AU39" s="3">
        <f>ROUND(0.0,2)</f>
        <v/>
      </c>
      <c r="AV39" s="3">
        <f>ROUND(0.0,2)</f>
        <v/>
      </c>
      <c r="AW39" s="4">
        <f>IFERROR((AQ39/AP39),0)</f>
        <v/>
      </c>
      <c r="AX39" s="4">
        <f>IFERROR(((0+AO11+AO12+AO13+AO14+AO15+AO16+AO17+AO19+AO20+AO21+AO22+AO23+AO24+AO25+AO27+AO28+AO29+AO30+AO31+AO32+AO33+AO35+AO36+AO37+AO38+AO39)/T2),0)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2023-10-15</t>
        </is>
      </c>
      <c r="BB39" s="5">
        <f>ROUND(0.0,2)</f>
        <v/>
      </c>
      <c r="BC39" s="3">
        <f>ROUND(0.0,2)</f>
        <v/>
      </c>
      <c r="BD39" s="3">
        <f>ROUND(0.0,2)</f>
        <v/>
      </c>
      <c r="BE39" s="3">
        <f>ROUND(0.0,2)</f>
        <v/>
      </c>
      <c r="BF39" s="3">
        <f>ROUND(0.0,2)</f>
        <v/>
      </c>
      <c r="BG39" s="3">
        <f>ROUND(0.0,2)</f>
        <v/>
      </c>
      <c r="BH39" s="3">
        <f>ROUND(0.0,2)</f>
        <v/>
      </c>
      <c r="BI39" s="3">
        <f>ROUND(0.0,2)</f>
        <v/>
      </c>
      <c r="BJ39" s="4">
        <f>IFERROR((BD39/BC39),0)</f>
        <v/>
      </c>
      <c r="BK39" s="4">
        <f>IFERROR(((0+BB11+BB12+BB13+BB14+BB15+BB16+BB17+BB19+BB20+BB21+BB22+BB23+BB24+BB25+BB27+BB28+BB29+BB30+BB31+BB32+BB33+BB35+BB36+BB37+BB38+BB39)/T2),0)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2023-10-15</t>
        </is>
      </c>
      <c r="BO39" s="5">
        <f>ROUND(0.0,2)</f>
        <v/>
      </c>
      <c r="BP39" s="3">
        <f>ROUND(0.0,2)</f>
        <v/>
      </c>
      <c r="BQ39" s="3">
        <f>ROUND(0.0,2)</f>
        <v/>
      </c>
      <c r="BR39" s="3">
        <f>ROUND(0.0,2)</f>
        <v/>
      </c>
      <c r="BS39" s="3">
        <f>ROUND(0.0,2)</f>
        <v/>
      </c>
      <c r="BT39" s="3">
        <f>ROUND(0.0,2)</f>
        <v/>
      </c>
      <c r="BU39" s="3">
        <f>ROUND(0.0,2)</f>
        <v/>
      </c>
      <c r="BV39" s="3">
        <f>ROUND(0.0,2)</f>
        <v/>
      </c>
      <c r="BW39" s="4">
        <f>IFERROR((BQ39/BP39),0)</f>
        <v/>
      </c>
      <c r="BX39" s="4">
        <f>IFERROR(((0+BO11+BO12+BO13+BO14+BO15+BO16+BO17+BO19+BO20+BO21+BO22+BO23+BO24+BO25+BO27+BO28+BO29+BO30+BO31+BO32+BO33+BO35+BO36+BO37+BO38+BO39)/T2),0)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2023-10-15</t>
        </is>
      </c>
      <c r="CB39" s="5">
        <f>ROUND(0.0,2)</f>
        <v/>
      </c>
      <c r="CC39" s="3">
        <f>ROUND(0.0,2)</f>
        <v/>
      </c>
      <c r="CD39" s="3">
        <f>ROUND(0.0,2)</f>
        <v/>
      </c>
      <c r="CE39" s="3">
        <f>ROUND(0.0,2)</f>
        <v/>
      </c>
      <c r="CF39" s="3">
        <f>ROUND(0.0,2)</f>
        <v/>
      </c>
      <c r="CG39" s="3">
        <f>ROUND(0.0,2)</f>
        <v/>
      </c>
      <c r="CH39" s="3">
        <f>ROUND(0.0,2)</f>
        <v/>
      </c>
      <c r="CI39" s="3">
        <f>ROUND(0.0,2)</f>
        <v/>
      </c>
      <c r="CJ39" s="4">
        <f>IFERROR((CD39/CC39),0)</f>
        <v/>
      </c>
      <c r="CK39" s="4">
        <f>IFERROR(((0+CB11+CB12+CB13+CB14+CB15+CB16+CB17+CB19+CB20+CB21+CB22+CB23+CB24+CB25+CB27+CB28+CB29+CB30+CB31+CB32+CB33+CB35+CB36+CB37+CB38+CB39)/T2),0)</f>
        <v/>
      </c>
      <c r="CL39" s="5">
        <f>IFERROR(ROUND(CB39/CD39,2),0)</f>
        <v/>
      </c>
      <c r="CM39" s="5">
        <f>IFERROR(ROUND(CB39/CE39,2),0)</f>
        <v/>
      </c>
      <c r="CN39" s="2" t="inlineStr">
        <is>
          <t>2023-10-15</t>
        </is>
      </c>
      <c r="CO39" s="5">
        <f>ROUND(0.0,2)</f>
        <v/>
      </c>
      <c r="CP39" s="3">
        <f>ROUND(0.0,2)</f>
        <v/>
      </c>
      <c r="CQ39" s="3">
        <f>ROUND(0.0,2)</f>
        <v/>
      </c>
      <c r="CR39" s="3">
        <f>ROUND(0.0,2)</f>
        <v/>
      </c>
      <c r="CS39" s="3">
        <f>ROUND(0.0,2)</f>
        <v/>
      </c>
      <c r="CT39" s="3">
        <f>ROUND(0.0,2)</f>
        <v/>
      </c>
      <c r="CU39" s="3">
        <f>ROUND(0.0,2)</f>
        <v/>
      </c>
      <c r="CV39" s="3">
        <f>ROUND(0.0,2)</f>
        <v/>
      </c>
      <c r="CW39" s="4">
        <f>IFERROR((CQ39/CP39),0)</f>
        <v/>
      </c>
      <c r="CX39" s="4">
        <f>IFERROR(((0+CO11+CO12+CO13+CO14+CO15+CO16+CO17+CO19+CO20+CO21+CO22+CO23+CO24+CO25+CO27+CO28+CO29+CO30+CO31+CO32+CO33+CO35+CO36+CO37+CO38+CO39)/T2),0)</f>
        <v/>
      </c>
      <c r="CY39" s="5">
        <f>IFERROR(ROUND(CO39/CQ39,2),0)</f>
        <v/>
      </c>
      <c r="CZ39" s="5">
        <f>IFERROR(ROUND(CO39/CR39,2),0)</f>
        <v/>
      </c>
      <c r="DA39" s="2" t="inlineStr">
        <is>
          <t>2023-10-15</t>
        </is>
      </c>
      <c r="DB39" s="5">
        <f>ROUND(0.0,2)</f>
        <v/>
      </c>
      <c r="DC39" s="3">
        <f>ROUND(0.0,2)</f>
        <v/>
      </c>
      <c r="DD39" s="3">
        <f>ROUND(0.0,2)</f>
        <v/>
      </c>
      <c r="DE39" s="3">
        <f>ROUND(0.0,2)</f>
        <v/>
      </c>
      <c r="DF39" s="3">
        <f>ROUND(0.0,2)</f>
        <v/>
      </c>
      <c r="DG39" s="3">
        <f>ROUND(0.0,2)</f>
        <v/>
      </c>
      <c r="DH39" s="3">
        <f>ROUND(0.0,2)</f>
        <v/>
      </c>
      <c r="DI39" s="3">
        <f>ROUND(0.0,2)</f>
        <v/>
      </c>
      <c r="DJ39" s="4">
        <f>IFERROR((DD39/DC39),0)</f>
        <v/>
      </c>
      <c r="DK39" s="4">
        <f>IFERROR(((0+DB11+DB12+DB13+DB14+DB15+DB16+DB17+DB19+DB20+DB21+DB22+DB23+DB24+DB25+DB27+DB28+DB29+DB30+DB31+DB32+DB33+DB35+DB36+DB37+DB38+DB39)/T2),0)</f>
        <v/>
      </c>
      <c r="DL39" s="5">
        <f>IFERROR(ROUND(DB39/DD39,2),0)</f>
        <v/>
      </c>
      <c r="DM39" s="5">
        <f>IFERROR(ROUND(DB39/DE39,2),0)</f>
        <v/>
      </c>
      <c r="DN39" s="2" t="inlineStr">
        <is>
          <t>2023-10-15</t>
        </is>
      </c>
      <c r="DO39" s="5">
        <f>ROUND(0.0,2)</f>
        <v/>
      </c>
      <c r="DP39" s="3">
        <f>ROUND(0.0,2)</f>
        <v/>
      </c>
      <c r="DQ39" s="3">
        <f>ROUND(0.0,2)</f>
        <v/>
      </c>
      <c r="DR39" s="3">
        <f>ROUND(0.0,2)</f>
        <v/>
      </c>
      <c r="DS39" s="3">
        <f>ROUND(0.0,2)</f>
        <v/>
      </c>
      <c r="DT39" s="3">
        <f>ROUND(0.0,2)</f>
        <v/>
      </c>
      <c r="DU39" s="3">
        <f>ROUND(0.0,2)</f>
        <v/>
      </c>
      <c r="DV39" s="3">
        <f>ROUND(0.0,2)</f>
        <v/>
      </c>
      <c r="DW39" s="4">
        <f>IFERROR((DQ39/DP39),0)</f>
        <v/>
      </c>
      <c r="DX39" s="4">
        <f>IFERROR(((0+DO11+DO12+DO13+DO14+DO15+DO16+DO17+DO19+DO20+DO21+DO22+DO23+DO24+DO25+DO27+DO28+DO29+DO30+DO31+DO32+DO33+DO35+DO36+DO37+DO38+DO39)/T2),0)</f>
        <v/>
      </c>
      <c r="DY39" s="5">
        <f>IFERROR(ROUND(DO39/DQ39,2),0)</f>
        <v/>
      </c>
      <c r="DZ39" s="5">
        <f>IFERROR(ROUND(DO39/DR39,2),0)</f>
        <v/>
      </c>
      <c r="EA39" s="2" t="inlineStr">
        <is>
          <t>2023-10-15</t>
        </is>
      </c>
      <c r="EB39" s="5">
        <f>ROUND(0.0,2)</f>
        <v/>
      </c>
      <c r="EC39" s="3">
        <f>ROUND(0.0,2)</f>
        <v/>
      </c>
      <c r="ED39" s="3">
        <f>ROUND(0.0,2)</f>
        <v/>
      </c>
      <c r="EE39" s="3">
        <f>ROUND(0.0,2)</f>
        <v/>
      </c>
      <c r="EF39" s="3">
        <f>ROUND(0.0,2)</f>
        <v/>
      </c>
      <c r="EG39" s="3">
        <f>ROUND(0.0,2)</f>
        <v/>
      </c>
      <c r="EH39" s="3">
        <f>ROUND(0.0,2)</f>
        <v/>
      </c>
      <c r="EI39" s="3">
        <f>ROUND(0.0,2)</f>
        <v/>
      </c>
      <c r="EJ39" s="4">
        <f>IFERROR((ED39/EC39),0)</f>
        <v/>
      </c>
      <c r="EK39" s="4">
        <f>IFERROR(((0+EB11+EB12+EB13+EB14+EB15+EB16+EB17+EB19+EB20+EB21+EB22+EB23+EB24+EB25+EB27+EB28+EB29+EB30+EB31+EB32+EB33+EB35+EB36+EB37+EB38+EB39)/T2),0)</f>
        <v/>
      </c>
      <c r="EL39" s="5">
        <f>IFERROR(ROUND(EB39/ED39,2),0)</f>
        <v/>
      </c>
      <c r="EM39" s="5">
        <f>IFERROR(ROUND(EB39/EE39,2),0)</f>
        <v/>
      </c>
    </row>
    <row r="40">
      <c r="A40" s="2" t="inlineStr">
        <is>
          <t>2023-10-16</t>
        </is>
      </c>
      <c r="B40" s="5">
        <f>ROUND(0.0,2)</f>
        <v/>
      </c>
      <c r="C40" s="3">
        <f>ROUND(0.0,2)</f>
        <v/>
      </c>
      <c r="D40" s="3">
        <f>ROUND(0.0,2)</f>
        <v/>
      </c>
      <c r="E40" s="3">
        <f>ROUND(0.0,2)</f>
        <v/>
      </c>
      <c r="F40" s="3">
        <f>ROUND(0.0,2)</f>
        <v/>
      </c>
      <c r="G40" s="3">
        <f>ROUND(0.0,2)</f>
        <v/>
      </c>
      <c r="H40" s="3">
        <f>ROUND(0.0,2)</f>
        <v/>
      </c>
      <c r="I40" s="3">
        <f>ROUND(0.0,2)</f>
        <v/>
      </c>
      <c r="J40" s="4">
        <f>IFERROR((D40/C40),0)</f>
        <v/>
      </c>
      <c r="K40" s="4">
        <f>IFERROR(((0+B11+B12+B13+B14+B15+B16+B17+B19+B20+B21+B22+B23+B24+B25+B27+B28+B29+B30+B31+B32+B33+B35+B36+B37+B38+B39+B40)/T2),0)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2023-10-16</t>
        </is>
      </c>
      <c r="O40" s="5">
        <f>ROUND(0.0,2)</f>
        <v/>
      </c>
      <c r="P40" s="3">
        <f>ROUND(0.0,2)</f>
        <v/>
      </c>
      <c r="Q40" s="3">
        <f>ROUND(0.0,2)</f>
        <v/>
      </c>
      <c r="R40" s="3">
        <f>ROUND(0.0,2)</f>
        <v/>
      </c>
      <c r="S40" s="3">
        <f>ROUND(0.0,2)</f>
        <v/>
      </c>
      <c r="T40" s="3">
        <f>ROUND(0.0,2)</f>
        <v/>
      </c>
      <c r="U40" s="3">
        <f>ROUND(0.0,2)</f>
        <v/>
      </c>
      <c r="V40" s="3">
        <f>ROUND(0.0,2)</f>
        <v/>
      </c>
      <c r="W40" s="4">
        <f>IFERROR((Q40/P40),0)</f>
        <v/>
      </c>
      <c r="X40" s="4">
        <f>IFERROR(((0+O11+O12+O13+O14+O15+O16+O17+O19+O20+O21+O22+O23+O24+O25+O27+O28+O29+O30+O31+O32+O33+O35+O36+O37+O38+O39+O40)/T2),0)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2023-10-16</t>
        </is>
      </c>
      <c r="AB40" s="5">
        <f>ROUND(0.0,2)</f>
        <v/>
      </c>
      <c r="AC40" s="3">
        <f>ROUND(0.0,2)</f>
        <v/>
      </c>
      <c r="AD40" s="3">
        <f>ROUND(0.0,2)</f>
        <v/>
      </c>
      <c r="AE40" s="3">
        <f>ROUND(0.0,2)</f>
        <v/>
      </c>
      <c r="AF40" s="3">
        <f>ROUND(0.0,2)</f>
        <v/>
      </c>
      <c r="AG40" s="3">
        <f>ROUND(0.0,2)</f>
        <v/>
      </c>
      <c r="AH40" s="3">
        <f>ROUND(0.0,2)</f>
        <v/>
      </c>
      <c r="AI40" s="3">
        <f>ROUND(0.0,2)</f>
        <v/>
      </c>
      <c r="AJ40" s="4">
        <f>IFERROR((AD40/AC40),0)</f>
        <v/>
      </c>
      <c r="AK40" s="4">
        <f>IFERROR(((0+AB11+AB12+AB13+AB14+AB15+AB16+AB17+AB19+AB20+AB21+AB22+AB23+AB24+AB25+AB27+AB28+AB29+AB30+AB31+AB32+AB33+AB35+AB36+AB37+AB38+AB39+AB40)/T2),0)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2023-10-16</t>
        </is>
      </c>
      <c r="AO40" s="5">
        <f>ROUND(0.0,2)</f>
        <v/>
      </c>
      <c r="AP40" s="3">
        <f>ROUND(0.0,2)</f>
        <v/>
      </c>
      <c r="AQ40" s="3">
        <f>ROUND(0.0,2)</f>
        <v/>
      </c>
      <c r="AR40" s="3">
        <f>ROUND(0.0,2)</f>
        <v/>
      </c>
      <c r="AS40" s="3">
        <f>ROUND(0.0,2)</f>
        <v/>
      </c>
      <c r="AT40" s="3">
        <f>ROUND(0.0,2)</f>
        <v/>
      </c>
      <c r="AU40" s="3">
        <f>ROUND(0.0,2)</f>
        <v/>
      </c>
      <c r="AV40" s="3">
        <f>ROUND(0.0,2)</f>
        <v/>
      </c>
      <c r="AW40" s="4">
        <f>IFERROR((AQ40/AP40),0)</f>
        <v/>
      </c>
      <c r="AX40" s="4">
        <f>IFERROR(((0+AO11+AO12+AO13+AO14+AO15+AO16+AO17+AO19+AO20+AO21+AO22+AO23+AO24+AO25+AO27+AO28+AO29+AO30+AO31+AO32+AO33+AO35+AO36+AO37+AO38+AO39+AO40)/T2),0)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2023-10-16</t>
        </is>
      </c>
      <c r="BB40" s="5">
        <f>ROUND(0.0,2)</f>
        <v/>
      </c>
      <c r="BC40" s="3">
        <f>ROUND(0.0,2)</f>
        <v/>
      </c>
      <c r="BD40" s="3">
        <f>ROUND(0.0,2)</f>
        <v/>
      </c>
      <c r="BE40" s="3">
        <f>ROUND(0.0,2)</f>
        <v/>
      </c>
      <c r="BF40" s="3">
        <f>ROUND(0.0,2)</f>
        <v/>
      </c>
      <c r="BG40" s="3">
        <f>ROUND(0.0,2)</f>
        <v/>
      </c>
      <c r="BH40" s="3">
        <f>ROUND(0.0,2)</f>
        <v/>
      </c>
      <c r="BI40" s="3">
        <f>ROUND(0.0,2)</f>
        <v/>
      </c>
      <c r="BJ40" s="4">
        <f>IFERROR((BD40/BC40),0)</f>
        <v/>
      </c>
      <c r="BK40" s="4">
        <f>IFERROR(((0+BB11+BB12+BB13+BB14+BB15+BB16+BB17+BB19+BB20+BB21+BB22+BB23+BB24+BB25+BB27+BB28+BB29+BB30+BB31+BB32+BB33+BB35+BB36+BB37+BB38+BB39+BB40)/T2),0)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2023-10-16</t>
        </is>
      </c>
      <c r="BO40" s="5">
        <f>ROUND(0.0,2)</f>
        <v/>
      </c>
      <c r="BP40" s="3">
        <f>ROUND(0.0,2)</f>
        <v/>
      </c>
      <c r="BQ40" s="3">
        <f>ROUND(0.0,2)</f>
        <v/>
      </c>
      <c r="BR40" s="3">
        <f>ROUND(0.0,2)</f>
        <v/>
      </c>
      <c r="BS40" s="3">
        <f>ROUND(0.0,2)</f>
        <v/>
      </c>
      <c r="BT40" s="3">
        <f>ROUND(0.0,2)</f>
        <v/>
      </c>
      <c r="BU40" s="3">
        <f>ROUND(0.0,2)</f>
        <v/>
      </c>
      <c r="BV40" s="3">
        <f>ROUND(0.0,2)</f>
        <v/>
      </c>
      <c r="BW40" s="4">
        <f>IFERROR((BQ40/BP40),0)</f>
        <v/>
      </c>
      <c r="BX40" s="4">
        <f>IFERROR(((0+BO11+BO12+BO13+BO14+BO15+BO16+BO17+BO19+BO20+BO21+BO22+BO23+BO24+BO25+BO27+BO28+BO29+BO30+BO31+BO32+BO33+BO35+BO36+BO37+BO38+BO39+BO40)/T2),0)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2023-10-16</t>
        </is>
      </c>
      <c r="CB40" s="5">
        <f>ROUND(0.0,2)</f>
        <v/>
      </c>
      <c r="CC40" s="3">
        <f>ROUND(0.0,2)</f>
        <v/>
      </c>
      <c r="CD40" s="3">
        <f>ROUND(0.0,2)</f>
        <v/>
      </c>
      <c r="CE40" s="3">
        <f>ROUND(0.0,2)</f>
        <v/>
      </c>
      <c r="CF40" s="3">
        <f>ROUND(0.0,2)</f>
        <v/>
      </c>
      <c r="CG40" s="3">
        <f>ROUND(0.0,2)</f>
        <v/>
      </c>
      <c r="CH40" s="3">
        <f>ROUND(0.0,2)</f>
        <v/>
      </c>
      <c r="CI40" s="3">
        <f>ROUND(0.0,2)</f>
        <v/>
      </c>
      <c r="CJ40" s="4">
        <f>IFERROR((CD40/CC40),0)</f>
        <v/>
      </c>
      <c r="CK40" s="4">
        <f>IFERROR(((0+CB11+CB12+CB13+CB14+CB15+CB16+CB17+CB19+CB20+CB21+CB22+CB23+CB24+CB25+CB27+CB28+CB29+CB30+CB31+CB32+CB33+CB35+CB36+CB37+CB38+CB39+CB40)/T2),0)</f>
        <v/>
      </c>
      <c r="CL40" s="5">
        <f>IFERROR(ROUND(CB40/CD40,2),0)</f>
        <v/>
      </c>
      <c r="CM40" s="5">
        <f>IFERROR(ROUND(CB40/CE40,2),0)</f>
        <v/>
      </c>
      <c r="CN40" s="2" t="inlineStr">
        <is>
          <t>2023-10-16</t>
        </is>
      </c>
      <c r="CO40" s="5">
        <f>ROUND(0.0,2)</f>
        <v/>
      </c>
      <c r="CP40" s="3">
        <f>ROUND(0.0,2)</f>
        <v/>
      </c>
      <c r="CQ40" s="3">
        <f>ROUND(0.0,2)</f>
        <v/>
      </c>
      <c r="CR40" s="3">
        <f>ROUND(0.0,2)</f>
        <v/>
      </c>
      <c r="CS40" s="3">
        <f>ROUND(0.0,2)</f>
        <v/>
      </c>
      <c r="CT40" s="3">
        <f>ROUND(0.0,2)</f>
        <v/>
      </c>
      <c r="CU40" s="3">
        <f>ROUND(0.0,2)</f>
        <v/>
      </c>
      <c r="CV40" s="3">
        <f>ROUND(0.0,2)</f>
        <v/>
      </c>
      <c r="CW40" s="4">
        <f>IFERROR((CQ40/CP40),0)</f>
        <v/>
      </c>
      <c r="CX40" s="4">
        <f>IFERROR(((0+CO11+CO12+CO13+CO14+CO15+CO16+CO17+CO19+CO20+CO21+CO22+CO23+CO24+CO25+CO27+CO28+CO29+CO30+CO31+CO32+CO33+CO35+CO36+CO37+CO38+CO39+CO40)/T2),0)</f>
        <v/>
      </c>
      <c r="CY40" s="5">
        <f>IFERROR(ROUND(CO40/CQ40,2),0)</f>
        <v/>
      </c>
      <c r="CZ40" s="5">
        <f>IFERROR(ROUND(CO40/CR40,2),0)</f>
        <v/>
      </c>
      <c r="DA40" s="2" t="inlineStr">
        <is>
          <t>2023-10-16</t>
        </is>
      </c>
      <c r="DB40" s="5">
        <f>ROUND(0.0,2)</f>
        <v/>
      </c>
      <c r="DC40" s="3">
        <f>ROUND(0.0,2)</f>
        <v/>
      </c>
      <c r="DD40" s="3">
        <f>ROUND(0.0,2)</f>
        <v/>
      </c>
      <c r="DE40" s="3">
        <f>ROUND(0.0,2)</f>
        <v/>
      </c>
      <c r="DF40" s="3">
        <f>ROUND(0.0,2)</f>
        <v/>
      </c>
      <c r="DG40" s="3">
        <f>ROUND(0.0,2)</f>
        <v/>
      </c>
      <c r="DH40" s="3">
        <f>ROUND(0.0,2)</f>
        <v/>
      </c>
      <c r="DI40" s="3">
        <f>ROUND(0.0,2)</f>
        <v/>
      </c>
      <c r="DJ40" s="4">
        <f>IFERROR((DD40/DC40),0)</f>
        <v/>
      </c>
      <c r="DK40" s="4">
        <f>IFERROR(((0+DB11+DB12+DB13+DB14+DB15+DB16+DB17+DB19+DB20+DB21+DB22+DB23+DB24+DB25+DB27+DB28+DB29+DB30+DB31+DB32+DB33+DB35+DB36+DB37+DB38+DB39+DB40)/T2),0)</f>
        <v/>
      </c>
      <c r="DL40" s="5">
        <f>IFERROR(ROUND(DB40/DD40,2),0)</f>
        <v/>
      </c>
      <c r="DM40" s="5">
        <f>IFERROR(ROUND(DB40/DE40,2),0)</f>
        <v/>
      </c>
      <c r="DN40" s="2" t="inlineStr">
        <is>
          <t>2023-10-16</t>
        </is>
      </c>
      <c r="DO40" s="5">
        <f>ROUND(0.0,2)</f>
        <v/>
      </c>
      <c r="DP40" s="3">
        <f>ROUND(0.0,2)</f>
        <v/>
      </c>
      <c r="DQ40" s="3">
        <f>ROUND(0.0,2)</f>
        <v/>
      </c>
      <c r="DR40" s="3">
        <f>ROUND(0.0,2)</f>
        <v/>
      </c>
      <c r="DS40" s="3">
        <f>ROUND(0.0,2)</f>
        <v/>
      </c>
      <c r="DT40" s="3">
        <f>ROUND(0.0,2)</f>
        <v/>
      </c>
      <c r="DU40" s="3">
        <f>ROUND(0.0,2)</f>
        <v/>
      </c>
      <c r="DV40" s="3">
        <f>ROUND(0.0,2)</f>
        <v/>
      </c>
      <c r="DW40" s="4">
        <f>IFERROR((DQ40/DP40),0)</f>
        <v/>
      </c>
      <c r="DX40" s="4">
        <f>IFERROR(((0+DO11+DO12+DO13+DO14+DO15+DO16+DO17+DO19+DO20+DO21+DO22+DO23+DO24+DO25+DO27+DO28+DO29+DO30+DO31+DO32+DO33+DO35+DO36+DO37+DO38+DO39+DO40)/T2),0)</f>
        <v/>
      </c>
      <c r="DY40" s="5">
        <f>IFERROR(ROUND(DO40/DQ40,2),0)</f>
        <v/>
      </c>
      <c r="DZ40" s="5">
        <f>IFERROR(ROUND(DO40/DR40,2),0)</f>
        <v/>
      </c>
      <c r="EA40" s="2" t="inlineStr">
        <is>
          <t>2023-10-16</t>
        </is>
      </c>
      <c r="EB40" s="5">
        <f>ROUND(0.0,2)</f>
        <v/>
      </c>
      <c r="EC40" s="3">
        <f>ROUND(0.0,2)</f>
        <v/>
      </c>
      <c r="ED40" s="3">
        <f>ROUND(0.0,2)</f>
        <v/>
      </c>
      <c r="EE40" s="3">
        <f>ROUND(0.0,2)</f>
        <v/>
      </c>
      <c r="EF40" s="3">
        <f>ROUND(0.0,2)</f>
        <v/>
      </c>
      <c r="EG40" s="3">
        <f>ROUND(0.0,2)</f>
        <v/>
      </c>
      <c r="EH40" s="3">
        <f>ROUND(0.0,2)</f>
        <v/>
      </c>
      <c r="EI40" s="3">
        <f>ROUND(0.0,2)</f>
        <v/>
      </c>
      <c r="EJ40" s="4">
        <f>IFERROR((ED40/EC40),0)</f>
        <v/>
      </c>
      <c r="EK40" s="4">
        <f>IFERROR(((0+EB11+EB12+EB13+EB14+EB15+EB16+EB17+EB19+EB20+EB21+EB22+EB23+EB24+EB25+EB27+EB28+EB29+EB30+EB31+EB32+EB33+EB35+EB36+EB37+EB38+EB39+EB40)/T2),0)</f>
        <v/>
      </c>
      <c r="EL40" s="5">
        <f>IFERROR(ROUND(EB40/ED40,2),0)</f>
        <v/>
      </c>
      <c r="EM40" s="5">
        <f>IFERROR(ROUND(EB40/EE40,2),0)</f>
        <v/>
      </c>
    </row>
    <row r="41">
      <c r="A41" s="2" t="inlineStr">
        <is>
          <t>2023-10-17</t>
        </is>
      </c>
      <c r="B41" s="5">
        <f>ROUND(0.0,2)</f>
        <v/>
      </c>
      <c r="C41" s="3">
        <f>ROUND(0.0,2)</f>
        <v/>
      </c>
      <c r="D41" s="3">
        <f>ROUND(0.0,2)</f>
        <v/>
      </c>
      <c r="E41" s="3">
        <f>ROUND(0.0,2)</f>
        <v/>
      </c>
      <c r="F41" s="3">
        <f>ROUND(0.0,2)</f>
        <v/>
      </c>
      <c r="G41" s="3">
        <f>ROUND(0.0,2)</f>
        <v/>
      </c>
      <c r="H41" s="3">
        <f>ROUND(0.0,2)</f>
        <v/>
      </c>
      <c r="I41" s="3">
        <f>ROUND(0.0,2)</f>
        <v/>
      </c>
      <c r="J41" s="4">
        <f>IFERROR((D41/C41),0)</f>
        <v/>
      </c>
      <c r="K41" s="4">
        <f>IFERROR(((0+B11+B12+B13+B14+B15+B16+B17+B19+B20+B21+B22+B23+B24+B25+B27+B28+B29+B30+B31+B32+B33+B35+B36+B37+B38+B39+B40+B41)/T2),0)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2023-10-17</t>
        </is>
      </c>
      <c r="O41" s="5">
        <f>ROUND(0.0,2)</f>
        <v/>
      </c>
      <c r="P41" s="3">
        <f>ROUND(0.0,2)</f>
        <v/>
      </c>
      <c r="Q41" s="3">
        <f>ROUND(0.0,2)</f>
        <v/>
      </c>
      <c r="R41" s="3">
        <f>ROUND(0.0,2)</f>
        <v/>
      </c>
      <c r="S41" s="3">
        <f>ROUND(0.0,2)</f>
        <v/>
      </c>
      <c r="T41" s="3">
        <f>ROUND(0.0,2)</f>
        <v/>
      </c>
      <c r="U41" s="3">
        <f>ROUND(0.0,2)</f>
        <v/>
      </c>
      <c r="V41" s="3">
        <f>ROUND(0.0,2)</f>
        <v/>
      </c>
      <c r="W41" s="4">
        <f>IFERROR((Q41/P41),0)</f>
        <v/>
      </c>
      <c r="X41" s="4">
        <f>IFERROR(((0+O11+O12+O13+O14+O15+O16+O17+O19+O20+O21+O22+O23+O24+O25+O27+O28+O29+O30+O31+O32+O33+O35+O36+O37+O38+O39+O40+O41)/T2),0)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2023-10-17</t>
        </is>
      </c>
      <c r="AB41" s="5">
        <f>ROUND(0.0,2)</f>
        <v/>
      </c>
      <c r="AC41" s="3">
        <f>ROUND(0.0,2)</f>
        <v/>
      </c>
      <c r="AD41" s="3">
        <f>ROUND(0.0,2)</f>
        <v/>
      </c>
      <c r="AE41" s="3">
        <f>ROUND(0.0,2)</f>
        <v/>
      </c>
      <c r="AF41" s="3">
        <f>ROUND(0.0,2)</f>
        <v/>
      </c>
      <c r="AG41" s="3">
        <f>ROUND(0.0,2)</f>
        <v/>
      </c>
      <c r="AH41" s="3">
        <f>ROUND(0.0,2)</f>
        <v/>
      </c>
      <c r="AI41" s="3">
        <f>ROUND(0.0,2)</f>
        <v/>
      </c>
      <c r="AJ41" s="4">
        <f>IFERROR((AD41/AC41),0)</f>
        <v/>
      </c>
      <c r="AK41" s="4">
        <f>IFERROR(((0+AB11+AB12+AB13+AB14+AB15+AB16+AB17+AB19+AB20+AB21+AB22+AB23+AB24+AB25+AB27+AB28+AB29+AB30+AB31+AB32+AB33+AB35+AB36+AB37+AB38+AB39+AB40+AB41)/T2),0)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2023-10-17</t>
        </is>
      </c>
      <c r="AO41" s="5">
        <f>ROUND(0.0,2)</f>
        <v/>
      </c>
      <c r="AP41" s="3">
        <f>ROUND(0.0,2)</f>
        <v/>
      </c>
      <c r="AQ41" s="3">
        <f>ROUND(0.0,2)</f>
        <v/>
      </c>
      <c r="AR41" s="3">
        <f>ROUND(0.0,2)</f>
        <v/>
      </c>
      <c r="AS41" s="3">
        <f>ROUND(0.0,2)</f>
        <v/>
      </c>
      <c r="AT41" s="3">
        <f>ROUND(0.0,2)</f>
        <v/>
      </c>
      <c r="AU41" s="3">
        <f>ROUND(0.0,2)</f>
        <v/>
      </c>
      <c r="AV41" s="3">
        <f>ROUND(0.0,2)</f>
        <v/>
      </c>
      <c r="AW41" s="4">
        <f>IFERROR((AQ41/AP41),0)</f>
        <v/>
      </c>
      <c r="AX41" s="4">
        <f>IFERROR(((0+AO11+AO12+AO13+AO14+AO15+AO16+AO17+AO19+AO20+AO21+AO22+AO23+AO24+AO25+AO27+AO28+AO29+AO30+AO31+AO32+AO33+AO35+AO36+AO37+AO38+AO39+AO40+AO41)/T2),0)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2023-10-17</t>
        </is>
      </c>
      <c r="BB41" s="5">
        <f>ROUND(0.0,2)</f>
        <v/>
      </c>
      <c r="BC41" s="3">
        <f>ROUND(0.0,2)</f>
        <v/>
      </c>
      <c r="BD41" s="3">
        <f>ROUND(0.0,2)</f>
        <v/>
      </c>
      <c r="BE41" s="3">
        <f>ROUND(0.0,2)</f>
        <v/>
      </c>
      <c r="BF41" s="3">
        <f>ROUND(0.0,2)</f>
        <v/>
      </c>
      <c r="BG41" s="3">
        <f>ROUND(0.0,2)</f>
        <v/>
      </c>
      <c r="BH41" s="3">
        <f>ROUND(0.0,2)</f>
        <v/>
      </c>
      <c r="BI41" s="3">
        <f>ROUND(0.0,2)</f>
        <v/>
      </c>
      <c r="BJ41" s="4">
        <f>IFERROR((BD41/BC41),0)</f>
        <v/>
      </c>
      <c r="BK41" s="4">
        <f>IFERROR(((0+BB11+BB12+BB13+BB14+BB15+BB16+BB17+BB19+BB20+BB21+BB22+BB23+BB24+BB25+BB27+BB28+BB29+BB30+BB31+BB32+BB33+BB35+BB36+BB37+BB38+BB39+BB40+BB41)/T2),0)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2023-10-17</t>
        </is>
      </c>
      <c r="BO41" s="5">
        <f>ROUND(0.0,2)</f>
        <v/>
      </c>
      <c r="BP41" s="3">
        <f>ROUND(0.0,2)</f>
        <v/>
      </c>
      <c r="BQ41" s="3">
        <f>ROUND(0.0,2)</f>
        <v/>
      </c>
      <c r="BR41" s="3">
        <f>ROUND(0.0,2)</f>
        <v/>
      </c>
      <c r="BS41" s="3">
        <f>ROUND(0.0,2)</f>
        <v/>
      </c>
      <c r="BT41" s="3">
        <f>ROUND(0.0,2)</f>
        <v/>
      </c>
      <c r="BU41" s="3">
        <f>ROUND(0.0,2)</f>
        <v/>
      </c>
      <c r="BV41" s="3">
        <f>ROUND(0.0,2)</f>
        <v/>
      </c>
      <c r="BW41" s="4">
        <f>IFERROR((BQ41/BP41),0)</f>
        <v/>
      </c>
      <c r="BX41" s="4">
        <f>IFERROR(((0+BO11+BO12+BO13+BO14+BO15+BO16+BO17+BO19+BO20+BO21+BO22+BO23+BO24+BO25+BO27+BO28+BO29+BO30+BO31+BO32+BO33+BO35+BO36+BO37+BO38+BO39+BO40+BO41)/T2),0)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2023-10-17</t>
        </is>
      </c>
      <c r="CB41" s="5">
        <f>ROUND(0.0,2)</f>
        <v/>
      </c>
      <c r="CC41" s="3">
        <f>ROUND(0.0,2)</f>
        <v/>
      </c>
      <c r="CD41" s="3">
        <f>ROUND(0.0,2)</f>
        <v/>
      </c>
      <c r="CE41" s="3">
        <f>ROUND(0.0,2)</f>
        <v/>
      </c>
      <c r="CF41" s="3">
        <f>ROUND(0.0,2)</f>
        <v/>
      </c>
      <c r="CG41" s="3">
        <f>ROUND(0.0,2)</f>
        <v/>
      </c>
      <c r="CH41" s="3">
        <f>ROUND(0.0,2)</f>
        <v/>
      </c>
      <c r="CI41" s="3">
        <f>ROUND(0.0,2)</f>
        <v/>
      </c>
      <c r="CJ41" s="4">
        <f>IFERROR((CD41/CC41),0)</f>
        <v/>
      </c>
      <c r="CK41" s="4">
        <f>IFERROR(((0+CB11+CB12+CB13+CB14+CB15+CB16+CB17+CB19+CB20+CB21+CB22+CB23+CB24+CB25+CB27+CB28+CB29+CB30+CB31+CB32+CB33+CB35+CB36+CB37+CB38+CB39+CB40+CB41)/T2),0)</f>
        <v/>
      </c>
      <c r="CL41" s="5">
        <f>IFERROR(ROUND(CB41/CD41,2),0)</f>
        <v/>
      </c>
      <c r="CM41" s="5">
        <f>IFERROR(ROUND(CB41/CE41,2),0)</f>
        <v/>
      </c>
      <c r="CN41" s="2" t="inlineStr">
        <is>
          <t>2023-10-17</t>
        </is>
      </c>
      <c r="CO41" s="5">
        <f>ROUND(0.0,2)</f>
        <v/>
      </c>
      <c r="CP41" s="3">
        <f>ROUND(0.0,2)</f>
        <v/>
      </c>
      <c r="CQ41" s="3">
        <f>ROUND(0.0,2)</f>
        <v/>
      </c>
      <c r="CR41" s="3">
        <f>ROUND(0.0,2)</f>
        <v/>
      </c>
      <c r="CS41" s="3">
        <f>ROUND(0.0,2)</f>
        <v/>
      </c>
      <c r="CT41" s="3">
        <f>ROUND(0.0,2)</f>
        <v/>
      </c>
      <c r="CU41" s="3">
        <f>ROUND(0.0,2)</f>
        <v/>
      </c>
      <c r="CV41" s="3">
        <f>ROUND(0.0,2)</f>
        <v/>
      </c>
      <c r="CW41" s="4">
        <f>IFERROR((CQ41/CP41),0)</f>
        <v/>
      </c>
      <c r="CX41" s="4">
        <f>IFERROR(((0+CO11+CO12+CO13+CO14+CO15+CO16+CO17+CO19+CO20+CO21+CO22+CO23+CO24+CO25+CO27+CO28+CO29+CO30+CO31+CO32+CO33+CO35+CO36+CO37+CO38+CO39+CO40+CO41)/T2),0)</f>
        <v/>
      </c>
      <c r="CY41" s="5">
        <f>IFERROR(ROUND(CO41/CQ41,2),0)</f>
        <v/>
      </c>
      <c r="CZ41" s="5">
        <f>IFERROR(ROUND(CO41/CR41,2),0)</f>
        <v/>
      </c>
      <c r="DA41" s="2" t="inlineStr">
        <is>
          <t>2023-10-17</t>
        </is>
      </c>
      <c r="DB41" s="5">
        <f>ROUND(0.0,2)</f>
        <v/>
      </c>
      <c r="DC41" s="3">
        <f>ROUND(0.0,2)</f>
        <v/>
      </c>
      <c r="DD41" s="3">
        <f>ROUND(0.0,2)</f>
        <v/>
      </c>
      <c r="DE41" s="3">
        <f>ROUND(0.0,2)</f>
        <v/>
      </c>
      <c r="DF41" s="3">
        <f>ROUND(0.0,2)</f>
        <v/>
      </c>
      <c r="DG41" s="3">
        <f>ROUND(0.0,2)</f>
        <v/>
      </c>
      <c r="DH41" s="3">
        <f>ROUND(0.0,2)</f>
        <v/>
      </c>
      <c r="DI41" s="3">
        <f>ROUND(0.0,2)</f>
        <v/>
      </c>
      <c r="DJ41" s="4">
        <f>IFERROR((DD41/DC41),0)</f>
        <v/>
      </c>
      <c r="DK41" s="4">
        <f>IFERROR(((0+DB11+DB12+DB13+DB14+DB15+DB16+DB17+DB19+DB20+DB21+DB22+DB23+DB24+DB25+DB27+DB28+DB29+DB30+DB31+DB32+DB33+DB35+DB36+DB37+DB38+DB39+DB40+DB41)/T2),0)</f>
        <v/>
      </c>
      <c r="DL41" s="5">
        <f>IFERROR(ROUND(DB41/DD41,2),0)</f>
        <v/>
      </c>
      <c r="DM41" s="5">
        <f>IFERROR(ROUND(DB41/DE41,2),0)</f>
        <v/>
      </c>
      <c r="DN41" s="2" t="inlineStr">
        <is>
          <t>2023-10-17</t>
        </is>
      </c>
      <c r="DO41" s="5">
        <f>ROUND(0.0,2)</f>
        <v/>
      </c>
      <c r="DP41" s="3">
        <f>ROUND(0.0,2)</f>
        <v/>
      </c>
      <c r="DQ41" s="3">
        <f>ROUND(0.0,2)</f>
        <v/>
      </c>
      <c r="DR41" s="3">
        <f>ROUND(0.0,2)</f>
        <v/>
      </c>
      <c r="DS41" s="3">
        <f>ROUND(0.0,2)</f>
        <v/>
      </c>
      <c r="DT41" s="3">
        <f>ROUND(0.0,2)</f>
        <v/>
      </c>
      <c r="DU41" s="3">
        <f>ROUND(0.0,2)</f>
        <v/>
      </c>
      <c r="DV41" s="3">
        <f>ROUND(0.0,2)</f>
        <v/>
      </c>
      <c r="DW41" s="4">
        <f>IFERROR((DQ41/DP41),0)</f>
        <v/>
      </c>
      <c r="DX41" s="4">
        <f>IFERROR(((0+DO11+DO12+DO13+DO14+DO15+DO16+DO17+DO19+DO20+DO21+DO22+DO23+DO24+DO25+DO27+DO28+DO29+DO30+DO31+DO32+DO33+DO35+DO36+DO37+DO38+DO39+DO40+DO41)/T2),0)</f>
        <v/>
      </c>
      <c r="DY41" s="5">
        <f>IFERROR(ROUND(DO41/DQ41,2),0)</f>
        <v/>
      </c>
      <c r="DZ41" s="5">
        <f>IFERROR(ROUND(DO41/DR41,2),0)</f>
        <v/>
      </c>
      <c r="EA41" s="2" t="inlineStr">
        <is>
          <t>2023-10-17</t>
        </is>
      </c>
      <c r="EB41" s="5">
        <f>ROUND(0.0,2)</f>
        <v/>
      </c>
      <c r="EC41" s="3">
        <f>ROUND(0.0,2)</f>
        <v/>
      </c>
      <c r="ED41" s="3">
        <f>ROUND(0.0,2)</f>
        <v/>
      </c>
      <c r="EE41" s="3">
        <f>ROUND(0.0,2)</f>
        <v/>
      </c>
      <c r="EF41" s="3">
        <f>ROUND(0.0,2)</f>
        <v/>
      </c>
      <c r="EG41" s="3">
        <f>ROUND(0.0,2)</f>
        <v/>
      </c>
      <c r="EH41" s="3">
        <f>ROUND(0.0,2)</f>
        <v/>
      </c>
      <c r="EI41" s="3">
        <f>ROUND(0.0,2)</f>
        <v/>
      </c>
      <c r="EJ41" s="4">
        <f>IFERROR((ED41/EC41),0)</f>
        <v/>
      </c>
      <c r="EK41" s="4">
        <f>IFERROR(((0+EB11+EB12+EB13+EB14+EB15+EB16+EB17+EB19+EB20+EB21+EB22+EB23+EB24+EB25+EB27+EB28+EB29+EB30+EB31+EB32+EB33+EB35+EB36+EB37+EB38+EB39+EB40+EB41)/T2),0)</f>
        <v/>
      </c>
      <c r="EL41" s="5">
        <f>IFERROR(ROUND(EB41/ED41,2),0)</f>
        <v/>
      </c>
      <c r="EM41" s="5">
        <f>IFERROR(ROUND(EB41/EE41,2),0)</f>
        <v/>
      </c>
    </row>
    <row r="42">
      <c r="A42" s="2" t="inlineStr">
        <is>
          <t>4 Weekly Total</t>
        </is>
      </c>
      <c r="B42" s="5">
        <f>ROUND(0.0,2)</f>
        <v/>
      </c>
      <c r="C42" s="3">
        <f>ROUND(0.0,2)</f>
        <v/>
      </c>
      <c r="D42" s="3">
        <f>ROUND(0.0,2)</f>
        <v/>
      </c>
      <c r="E42" s="3">
        <f>ROUND(0.0,2)</f>
        <v/>
      </c>
      <c r="F42" s="3">
        <f>ROUND(0.0,2)</f>
        <v/>
      </c>
      <c r="G42" s="3">
        <f>ROUND(0.0,2)</f>
        <v/>
      </c>
      <c r="H42" s="3">
        <f>ROUND(0.0,2)</f>
        <v/>
      </c>
      <c r="I42" s="3">
        <f>ROUND(0.0,2)</f>
        <v/>
      </c>
      <c r="J42" s="4">
        <f>IFERROR((D42/C42),0)</f>
        <v/>
      </c>
      <c r="K42" s="4">
        <f>IFERROR(((0+B11+B12+B13+B14+B15+B16+B17+B19+B20+B21+B22+B23+B24+B25+B27+B28+B29+B30+B31+B32+B33+B35+B36+B37+B38+B39+B40+B41)/T2),0)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4 Weekly Total</t>
        </is>
      </c>
      <c r="O42" s="5">
        <f>ROUND(0.0,2)</f>
        <v/>
      </c>
      <c r="P42" s="3">
        <f>ROUND(0.0,2)</f>
        <v/>
      </c>
      <c r="Q42" s="3">
        <f>ROUND(0.0,2)</f>
        <v/>
      </c>
      <c r="R42" s="3">
        <f>ROUND(0.0,2)</f>
        <v/>
      </c>
      <c r="S42" s="3">
        <f>ROUND(0.0,2)</f>
        <v/>
      </c>
      <c r="T42" s="3">
        <f>ROUND(0.0,2)</f>
        <v/>
      </c>
      <c r="U42" s="3">
        <f>ROUND(0.0,2)</f>
        <v/>
      </c>
      <c r="V42" s="3">
        <f>ROUND(0.0,2)</f>
        <v/>
      </c>
      <c r="W42" s="4">
        <f>IFERROR((Q42/P42),0)</f>
        <v/>
      </c>
      <c r="X42" s="4">
        <f>IFERROR(((0+O11+O12+O13+O14+O15+O16+O17+O19+O20+O21+O22+O23+O24+O25+O27+O28+O29+O30+O31+O32+O33+O35+O36+O37+O38+O39+O40+O41)/T2),0)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4 Weekly Total</t>
        </is>
      </c>
      <c r="AB42" s="5">
        <f>ROUND(0.0,2)</f>
        <v/>
      </c>
      <c r="AC42" s="3">
        <f>ROUND(0.0,2)</f>
        <v/>
      </c>
      <c r="AD42" s="3">
        <f>ROUND(0.0,2)</f>
        <v/>
      </c>
      <c r="AE42" s="3">
        <f>ROUND(0.0,2)</f>
        <v/>
      </c>
      <c r="AF42" s="3">
        <f>ROUND(0.0,2)</f>
        <v/>
      </c>
      <c r="AG42" s="3">
        <f>ROUND(0.0,2)</f>
        <v/>
      </c>
      <c r="AH42" s="3">
        <f>ROUND(0.0,2)</f>
        <v/>
      </c>
      <c r="AI42" s="3">
        <f>ROUND(0.0,2)</f>
        <v/>
      </c>
      <c r="AJ42" s="4">
        <f>IFERROR((AD42/AC42),0)</f>
        <v/>
      </c>
      <c r="AK42" s="4">
        <f>IFERROR(((0+AB11+AB12+AB13+AB14+AB15+AB16+AB17+AB19+AB20+AB21+AB22+AB23+AB24+AB25+AB27+AB28+AB29+AB30+AB31+AB32+AB33+AB35+AB36+AB37+AB38+AB39+AB40+AB41)/T2),0)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4 Weekly Total</t>
        </is>
      </c>
      <c r="AO42" s="5">
        <f>ROUND(0.0,2)</f>
        <v/>
      </c>
      <c r="AP42" s="3">
        <f>ROUND(0.0,2)</f>
        <v/>
      </c>
      <c r="AQ42" s="3">
        <f>ROUND(0.0,2)</f>
        <v/>
      </c>
      <c r="AR42" s="3">
        <f>ROUND(0.0,2)</f>
        <v/>
      </c>
      <c r="AS42" s="3">
        <f>ROUND(0.0,2)</f>
        <v/>
      </c>
      <c r="AT42" s="3">
        <f>ROUND(0.0,2)</f>
        <v/>
      </c>
      <c r="AU42" s="3">
        <f>ROUND(0.0,2)</f>
        <v/>
      </c>
      <c r="AV42" s="3">
        <f>ROUND(0.0,2)</f>
        <v/>
      </c>
      <c r="AW42" s="4">
        <f>IFERROR((AQ42/AP42),0)</f>
        <v/>
      </c>
      <c r="AX42" s="4">
        <f>IFERROR(((0+AO11+AO12+AO13+AO14+AO15+AO16+AO17+AO19+AO20+AO21+AO22+AO23+AO24+AO25+AO27+AO28+AO29+AO30+AO31+AO32+AO33+AO35+AO36+AO37+AO38+AO39+AO40+AO41)/T2),0)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4 Weekly Total</t>
        </is>
      </c>
      <c r="BB42" s="5">
        <f>ROUND(0.0,2)</f>
        <v/>
      </c>
      <c r="BC42" s="3">
        <f>ROUND(0.0,2)</f>
        <v/>
      </c>
      <c r="BD42" s="3">
        <f>ROUND(0.0,2)</f>
        <v/>
      </c>
      <c r="BE42" s="3">
        <f>ROUND(0.0,2)</f>
        <v/>
      </c>
      <c r="BF42" s="3">
        <f>ROUND(0.0,2)</f>
        <v/>
      </c>
      <c r="BG42" s="3">
        <f>ROUND(0.0,2)</f>
        <v/>
      </c>
      <c r="BH42" s="3">
        <f>ROUND(0.0,2)</f>
        <v/>
      </c>
      <c r="BI42" s="3">
        <f>ROUND(0.0,2)</f>
        <v/>
      </c>
      <c r="BJ42" s="4">
        <f>IFERROR((BD42/BC42),0)</f>
        <v/>
      </c>
      <c r="BK42" s="4">
        <f>IFERROR(((0+BB11+BB12+BB13+BB14+BB15+BB16+BB17+BB19+BB20+BB21+BB22+BB23+BB24+BB25+BB27+BB28+BB29+BB30+BB31+BB32+BB33+BB35+BB36+BB37+BB38+BB39+BB40+BB41)/T2),0)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4 Weekly Total</t>
        </is>
      </c>
      <c r="BO42" s="5">
        <f>ROUND(0.0,2)</f>
        <v/>
      </c>
      <c r="BP42" s="3">
        <f>ROUND(0.0,2)</f>
        <v/>
      </c>
      <c r="BQ42" s="3">
        <f>ROUND(0.0,2)</f>
        <v/>
      </c>
      <c r="BR42" s="3">
        <f>ROUND(0.0,2)</f>
        <v/>
      </c>
      <c r="BS42" s="3">
        <f>ROUND(0.0,2)</f>
        <v/>
      </c>
      <c r="BT42" s="3">
        <f>ROUND(0.0,2)</f>
        <v/>
      </c>
      <c r="BU42" s="3">
        <f>ROUND(0.0,2)</f>
        <v/>
      </c>
      <c r="BV42" s="3">
        <f>ROUND(0.0,2)</f>
        <v/>
      </c>
      <c r="BW42" s="4">
        <f>IFERROR((BQ42/BP42),0)</f>
        <v/>
      </c>
      <c r="BX42" s="4">
        <f>IFERROR(((0+BO11+BO12+BO13+BO14+BO15+BO16+BO17+BO19+BO20+BO21+BO22+BO23+BO24+BO25+BO27+BO28+BO29+BO30+BO31+BO32+BO33+BO35+BO36+BO37+BO38+BO39+BO40+BO41)/T2),0)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4 Weekly Total</t>
        </is>
      </c>
      <c r="CB42" s="5">
        <f>ROUND(0.0,2)</f>
        <v/>
      </c>
      <c r="CC42" s="3">
        <f>ROUND(0.0,2)</f>
        <v/>
      </c>
      <c r="CD42" s="3">
        <f>ROUND(0.0,2)</f>
        <v/>
      </c>
      <c r="CE42" s="3">
        <f>ROUND(0.0,2)</f>
        <v/>
      </c>
      <c r="CF42" s="3">
        <f>ROUND(0.0,2)</f>
        <v/>
      </c>
      <c r="CG42" s="3">
        <f>ROUND(0.0,2)</f>
        <v/>
      </c>
      <c r="CH42" s="3">
        <f>ROUND(0.0,2)</f>
        <v/>
      </c>
      <c r="CI42" s="3">
        <f>ROUND(0.0,2)</f>
        <v/>
      </c>
      <c r="CJ42" s="4">
        <f>IFERROR((CD42/CC42),0)</f>
        <v/>
      </c>
      <c r="CK42" s="4">
        <f>IFERROR(((0+CB11+CB12+CB13+CB14+CB15+CB16+CB17+CB19+CB20+CB21+CB22+CB23+CB24+CB25+CB27+CB28+CB29+CB30+CB31+CB32+CB33+CB35+CB36+CB37+CB38+CB39+CB40+CB41)/T2),0)</f>
        <v/>
      </c>
      <c r="CL42" s="5">
        <f>IFERROR(ROUND(CB42/CD42,2),0)</f>
        <v/>
      </c>
      <c r="CM42" s="5">
        <f>IFERROR(ROUND(CB42/CE42,2),0)</f>
        <v/>
      </c>
      <c r="CN42" s="2" t="inlineStr">
        <is>
          <t>4 Weekly Total</t>
        </is>
      </c>
      <c r="CO42" s="5">
        <f>ROUND(0.0,2)</f>
        <v/>
      </c>
      <c r="CP42" s="3">
        <f>ROUND(0.0,2)</f>
        <v/>
      </c>
      <c r="CQ42" s="3">
        <f>ROUND(0.0,2)</f>
        <v/>
      </c>
      <c r="CR42" s="3">
        <f>ROUND(0.0,2)</f>
        <v/>
      </c>
      <c r="CS42" s="3">
        <f>ROUND(0.0,2)</f>
        <v/>
      </c>
      <c r="CT42" s="3">
        <f>ROUND(0.0,2)</f>
        <v/>
      </c>
      <c r="CU42" s="3">
        <f>ROUND(0.0,2)</f>
        <v/>
      </c>
      <c r="CV42" s="3">
        <f>ROUND(0.0,2)</f>
        <v/>
      </c>
      <c r="CW42" s="4">
        <f>IFERROR((CQ42/CP42),0)</f>
        <v/>
      </c>
      <c r="CX42" s="4">
        <f>IFERROR(((0+CO11+CO12+CO13+CO14+CO15+CO16+CO17+CO19+CO20+CO21+CO22+CO23+CO24+CO25+CO27+CO28+CO29+CO30+CO31+CO32+CO33+CO35+CO36+CO37+CO38+CO39+CO40+CO41)/T2),0)</f>
        <v/>
      </c>
      <c r="CY42" s="5">
        <f>IFERROR(ROUND(CO42/CQ42,2),0)</f>
        <v/>
      </c>
      <c r="CZ42" s="5">
        <f>IFERROR(ROUND(CO42/CR42,2),0)</f>
        <v/>
      </c>
      <c r="DA42" s="2" t="inlineStr">
        <is>
          <t>4 Weekly Total</t>
        </is>
      </c>
      <c r="DB42" s="5">
        <f>ROUND(0.0,2)</f>
        <v/>
      </c>
      <c r="DC42" s="3">
        <f>ROUND(0.0,2)</f>
        <v/>
      </c>
      <c r="DD42" s="3">
        <f>ROUND(0.0,2)</f>
        <v/>
      </c>
      <c r="DE42" s="3">
        <f>ROUND(0.0,2)</f>
        <v/>
      </c>
      <c r="DF42" s="3">
        <f>ROUND(0.0,2)</f>
        <v/>
      </c>
      <c r="DG42" s="3">
        <f>ROUND(0.0,2)</f>
        <v/>
      </c>
      <c r="DH42" s="3">
        <f>ROUND(0.0,2)</f>
        <v/>
      </c>
      <c r="DI42" s="3">
        <f>ROUND(0.0,2)</f>
        <v/>
      </c>
      <c r="DJ42" s="4">
        <f>IFERROR((DD42/DC42),0)</f>
        <v/>
      </c>
      <c r="DK42" s="4">
        <f>IFERROR(((0+DB11+DB12+DB13+DB14+DB15+DB16+DB17+DB19+DB20+DB21+DB22+DB23+DB24+DB25+DB27+DB28+DB29+DB30+DB31+DB32+DB33+DB35+DB36+DB37+DB38+DB39+DB40+DB41)/T2),0)</f>
        <v/>
      </c>
      <c r="DL42" s="5">
        <f>IFERROR(ROUND(DB42/DD42,2),0)</f>
        <v/>
      </c>
      <c r="DM42" s="5">
        <f>IFERROR(ROUND(DB42/DE42,2),0)</f>
        <v/>
      </c>
      <c r="DN42" s="2" t="inlineStr">
        <is>
          <t>4 Weekly Total</t>
        </is>
      </c>
      <c r="DO42" s="5">
        <f>ROUND(0.0,2)</f>
        <v/>
      </c>
      <c r="DP42" s="3">
        <f>ROUND(0.0,2)</f>
        <v/>
      </c>
      <c r="DQ42" s="3">
        <f>ROUND(0.0,2)</f>
        <v/>
      </c>
      <c r="DR42" s="3">
        <f>ROUND(0.0,2)</f>
        <v/>
      </c>
      <c r="DS42" s="3">
        <f>ROUND(0.0,2)</f>
        <v/>
      </c>
      <c r="DT42" s="3">
        <f>ROUND(0.0,2)</f>
        <v/>
      </c>
      <c r="DU42" s="3">
        <f>ROUND(0.0,2)</f>
        <v/>
      </c>
      <c r="DV42" s="3">
        <f>ROUND(0.0,2)</f>
        <v/>
      </c>
      <c r="DW42" s="4">
        <f>IFERROR((DQ42/DP42),0)</f>
        <v/>
      </c>
      <c r="DX42" s="4">
        <f>IFERROR(((0+DO11+DO12+DO13+DO14+DO15+DO16+DO17+DO19+DO20+DO21+DO22+DO23+DO24+DO25+DO27+DO28+DO29+DO30+DO31+DO32+DO33+DO35+DO36+DO37+DO38+DO39+DO40+DO41)/T2),0)</f>
        <v/>
      </c>
      <c r="DY42" s="5">
        <f>IFERROR(ROUND(DO42/DQ42,2),0)</f>
        <v/>
      </c>
      <c r="DZ42" s="5">
        <f>IFERROR(ROUND(DO42/DR42,2),0)</f>
        <v/>
      </c>
      <c r="EA42" s="2" t="inlineStr">
        <is>
          <t>4 Weekly Total</t>
        </is>
      </c>
      <c r="EB42" s="5">
        <f>ROUND(0.0,2)</f>
        <v/>
      </c>
      <c r="EC42" s="3">
        <f>ROUND(0.0,2)</f>
        <v/>
      </c>
      <c r="ED42" s="3">
        <f>ROUND(0.0,2)</f>
        <v/>
      </c>
      <c r="EE42" s="3">
        <f>ROUND(0.0,2)</f>
        <v/>
      </c>
      <c r="EF42" s="3">
        <f>ROUND(0.0,2)</f>
        <v/>
      </c>
      <c r="EG42" s="3">
        <f>ROUND(0.0,2)</f>
        <v/>
      </c>
      <c r="EH42" s="3">
        <f>ROUND(0.0,2)</f>
        <v/>
      </c>
      <c r="EI42" s="3">
        <f>ROUND(0.0,2)</f>
        <v/>
      </c>
      <c r="EJ42" s="4">
        <f>IFERROR((ED42/EC42),0)</f>
        <v/>
      </c>
      <c r="EK42" s="4">
        <f>IFERROR(((0+EB11+EB12+EB13+EB14+EB15+EB16+EB17+EB19+EB20+EB21+EB22+EB23+EB24+EB25+EB27+EB28+EB29+EB30+EB31+EB32+EB33+EB35+EB36+EB37+EB38+EB39+EB40+EB41)/T2),0)</f>
        <v/>
      </c>
      <c r="EL42" s="5">
        <f>IFERROR(ROUND(EB42/ED42,2),0)</f>
        <v/>
      </c>
      <c r="EM42" s="5">
        <f>IFERROR(ROUND(EB42/EE42,2),0)</f>
        <v/>
      </c>
    </row>
    <row r="43">
      <c r="A43" s="2" t="inlineStr">
        <is>
          <t>2023-10-18</t>
        </is>
      </c>
      <c r="B43" s="5">
        <f>ROUND(0.0,2)</f>
        <v/>
      </c>
      <c r="C43" s="3">
        <f>ROUND(0.0,2)</f>
        <v/>
      </c>
      <c r="D43" s="3">
        <f>ROUND(0.0,2)</f>
        <v/>
      </c>
      <c r="E43" s="3">
        <f>ROUND(0.0,2)</f>
        <v/>
      </c>
      <c r="F43" s="3">
        <f>ROUND(0.0,2)</f>
        <v/>
      </c>
      <c r="G43" s="3">
        <f>ROUND(0.0,2)</f>
        <v/>
      </c>
      <c r="H43" s="3">
        <f>ROUND(0.0,2)</f>
        <v/>
      </c>
      <c r="I43" s="3">
        <f>ROUND(0.0,2)</f>
        <v/>
      </c>
      <c r="J43" s="4">
        <f>IFERROR((D43/C43),0)</f>
        <v/>
      </c>
      <c r="K43" s="4">
        <f>IFERROR(((0+B11+B12+B13+B14+B15+B16+B17+B19+B20+B21+B22+B23+B24+B25+B27+B28+B29+B30+B31+B32+B33+B35+B36+B37+B38+B39+B40+B41+B43)/T2),0)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2023-10-18</t>
        </is>
      </c>
      <c r="O43" s="5">
        <f>ROUND(0.0,2)</f>
        <v/>
      </c>
      <c r="P43" s="3">
        <f>ROUND(0.0,2)</f>
        <v/>
      </c>
      <c r="Q43" s="3">
        <f>ROUND(0.0,2)</f>
        <v/>
      </c>
      <c r="R43" s="3">
        <f>ROUND(0.0,2)</f>
        <v/>
      </c>
      <c r="S43" s="3">
        <f>ROUND(0.0,2)</f>
        <v/>
      </c>
      <c r="T43" s="3">
        <f>ROUND(0.0,2)</f>
        <v/>
      </c>
      <c r="U43" s="3">
        <f>ROUND(0.0,2)</f>
        <v/>
      </c>
      <c r="V43" s="3">
        <f>ROUND(0.0,2)</f>
        <v/>
      </c>
      <c r="W43" s="4">
        <f>IFERROR((Q43/P43),0)</f>
        <v/>
      </c>
      <c r="X43" s="4">
        <f>IFERROR(((0+O11+O12+O13+O14+O15+O16+O17+O19+O20+O21+O22+O23+O24+O25+O27+O28+O29+O30+O31+O32+O33+O35+O36+O37+O38+O39+O40+O41+O43)/T2),0)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2023-10-18</t>
        </is>
      </c>
      <c r="AB43" s="5">
        <f>ROUND(0.0,2)</f>
        <v/>
      </c>
      <c r="AC43" s="3">
        <f>ROUND(0.0,2)</f>
        <v/>
      </c>
      <c r="AD43" s="3">
        <f>ROUND(0.0,2)</f>
        <v/>
      </c>
      <c r="AE43" s="3">
        <f>ROUND(0.0,2)</f>
        <v/>
      </c>
      <c r="AF43" s="3">
        <f>ROUND(0.0,2)</f>
        <v/>
      </c>
      <c r="AG43" s="3">
        <f>ROUND(0.0,2)</f>
        <v/>
      </c>
      <c r="AH43" s="3">
        <f>ROUND(0.0,2)</f>
        <v/>
      </c>
      <c r="AI43" s="3">
        <f>ROUND(0.0,2)</f>
        <v/>
      </c>
      <c r="AJ43" s="4">
        <f>IFERROR((AD43/AC43),0)</f>
        <v/>
      </c>
      <c r="AK43" s="4">
        <f>IFERROR(((0+AB11+AB12+AB13+AB14+AB15+AB16+AB17+AB19+AB20+AB21+AB22+AB23+AB24+AB25+AB27+AB28+AB29+AB30+AB31+AB32+AB33+AB35+AB36+AB37+AB38+AB39+AB40+AB41+AB43)/T2),0)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2023-10-18</t>
        </is>
      </c>
      <c r="AO43" s="5">
        <f>ROUND(0.0,2)</f>
        <v/>
      </c>
      <c r="AP43" s="3">
        <f>ROUND(0.0,2)</f>
        <v/>
      </c>
      <c r="AQ43" s="3">
        <f>ROUND(0.0,2)</f>
        <v/>
      </c>
      <c r="AR43" s="3">
        <f>ROUND(0.0,2)</f>
        <v/>
      </c>
      <c r="AS43" s="3">
        <f>ROUND(0.0,2)</f>
        <v/>
      </c>
      <c r="AT43" s="3">
        <f>ROUND(0.0,2)</f>
        <v/>
      </c>
      <c r="AU43" s="3">
        <f>ROUND(0.0,2)</f>
        <v/>
      </c>
      <c r="AV43" s="3">
        <f>ROUND(0.0,2)</f>
        <v/>
      </c>
      <c r="AW43" s="4">
        <f>IFERROR((AQ43/AP43),0)</f>
        <v/>
      </c>
      <c r="AX43" s="4">
        <f>IFERROR(((0+AO11+AO12+AO13+AO14+AO15+AO16+AO17+AO19+AO20+AO21+AO22+AO23+AO24+AO25+AO27+AO28+AO29+AO30+AO31+AO32+AO33+AO35+AO36+AO37+AO38+AO39+AO40+AO41+AO43)/T2),0)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2023-10-18</t>
        </is>
      </c>
      <c r="BB43" s="5">
        <f>ROUND(0.0,2)</f>
        <v/>
      </c>
      <c r="BC43" s="3">
        <f>ROUND(0.0,2)</f>
        <v/>
      </c>
      <c r="BD43" s="3">
        <f>ROUND(0.0,2)</f>
        <v/>
      </c>
      <c r="BE43" s="3">
        <f>ROUND(0.0,2)</f>
        <v/>
      </c>
      <c r="BF43" s="3">
        <f>ROUND(0.0,2)</f>
        <v/>
      </c>
      <c r="BG43" s="3">
        <f>ROUND(0.0,2)</f>
        <v/>
      </c>
      <c r="BH43" s="3">
        <f>ROUND(0.0,2)</f>
        <v/>
      </c>
      <c r="BI43" s="3">
        <f>ROUND(0.0,2)</f>
        <v/>
      </c>
      <c r="BJ43" s="4">
        <f>IFERROR((BD43/BC43),0)</f>
        <v/>
      </c>
      <c r="BK43" s="4">
        <f>IFERROR(((0+BB11+BB12+BB13+BB14+BB15+BB16+BB17+BB19+BB20+BB21+BB22+BB23+BB24+BB25+BB27+BB28+BB29+BB30+BB31+BB32+BB33+BB35+BB36+BB37+BB38+BB39+BB40+BB41+BB43)/T2),0)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2023-10-18</t>
        </is>
      </c>
      <c r="BO43" s="5">
        <f>ROUND(0.0,2)</f>
        <v/>
      </c>
      <c r="BP43" s="3">
        <f>ROUND(0.0,2)</f>
        <v/>
      </c>
      <c r="BQ43" s="3">
        <f>ROUND(0.0,2)</f>
        <v/>
      </c>
      <c r="BR43" s="3">
        <f>ROUND(0.0,2)</f>
        <v/>
      </c>
      <c r="BS43" s="3">
        <f>ROUND(0.0,2)</f>
        <v/>
      </c>
      <c r="BT43" s="3">
        <f>ROUND(0.0,2)</f>
        <v/>
      </c>
      <c r="BU43" s="3">
        <f>ROUND(0.0,2)</f>
        <v/>
      </c>
      <c r="BV43" s="3">
        <f>ROUND(0.0,2)</f>
        <v/>
      </c>
      <c r="BW43" s="4">
        <f>IFERROR((BQ43/BP43),0)</f>
        <v/>
      </c>
      <c r="BX43" s="4">
        <f>IFERROR(((0+BO11+BO12+BO13+BO14+BO15+BO16+BO17+BO19+BO20+BO21+BO22+BO23+BO24+BO25+BO27+BO28+BO29+BO30+BO31+BO32+BO33+BO35+BO36+BO37+BO38+BO39+BO40+BO41+BO43)/T2),0)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2023-10-18</t>
        </is>
      </c>
      <c r="CB43" s="5">
        <f>ROUND(0.0,2)</f>
        <v/>
      </c>
      <c r="CC43" s="3">
        <f>ROUND(0.0,2)</f>
        <v/>
      </c>
      <c r="CD43" s="3">
        <f>ROUND(0.0,2)</f>
        <v/>
      </c>
      <c r="CE43" s="3">
        <f>ROUND(0.0,2)</f>
        <v/>
      </c>
      <c r="CF43" s="3">
        <f>ROUND(0.0,2)</f>
        <v/>
      </c>
      <c r="CG43" s="3">
        <f>ROUND(0.0,2)</f>
        <v/>
      </c>
      <c r="CH43" s="3">
        <f>ROUND(0.0,2)</f>
        <v/>
      </c>
      <c r="CI43" s="3">
        <f>ROUND(0.0,2)</f>
        <v/>
      </c>
      <c r="CJ43" s="4">
        <f>IFERROR((CD43/CC43),0)</f>
        <v/>
      </c>
      <c r="CK43" s="4">
        <f>IFERROR(((0+CB11+CB12+CB13+CB14+CB15+CB16+CB17+CB19+CB20+CB21+CB22+CB23+CB24+CB25+CB27+CB28+CB29+CB30+CB31+CB32+CB33+CB35+CB36+CB37+CB38+CB39+CB40+CB41+CB43)/T2),0)</f>
        <v/>
      </c>
      <c r="CL43" s="5">
        <f>IFERROR(ROUND(CB43/CD43,2),0)</f>
        <v/>
      </c>
      <c r="CM43" s="5">
        <f>IFERROR(ROUND(CB43/CE43,2),0)</f>
        <v/>
      </c>
      <c r="CN43" s="2" t="inlineStr">
        <is>
          <t>2023-10-18</t>
        </is>
      </c>
      <c r="CO43" s="5">
        <f>ROUND(0.0,2)</f>
        <v/>
      </c>
      <c r="CP43" s="3">
        <f>ROUND(0.0,2)</f>
        <v/>
      </c>
      <c r="CQ43" s="3">
        <f>ROUND(0.0,2)</f>
        <v/>
      </c>
      <c r="CR43" s="3">
        <f>ROUND(0.0,2)</f>
        <v/>
      </c>
      <c r="CS43" s="3">
        <f>ROUND(0.0,2)</f>
        <v/>
      </c>
      <c r="CT43" s="3">
        <f>ROUND(0.0,2)</f>
        <v/>
      </c>
      <c r="CU43" s="3">
        <f>ROUND(0.0,2)</f>
        <v/>
      </c>
      <c r="CV43" s="3">
        <f>ROUND(0.0,2)</f>
        <v/>
      </c>
      <c r="CW43" s="4">
        <f>IFERROR((CQ43/CP43),0)</f>
        <v/>
      </c>
      <c r="CX43" s="4">
        <f>IFERROR(((0+CO11+CO12+CO13+CO14+CO15+CO16+CO17+CO19+CO20+CO21+CO22+CO23+CO24+CO25+CO27+CO28+CO29+CO30+CO31+CO32+CO33+CO35+CO36+CO37+CO38+CO39+CO40+CO41+CO43)/T2),0)</f>
        <v/>
      </c>
      <c r="CY43" s="5">
        <f>IFERROR(ROUND(CO43/CQ43,2),0)</f>
        <v/>
      </c>
      <c r="CZ43" s="5">
        <f>IFERROR(ROUND(CO43/CR43,2),0)</f>
        <v/>
      </c>
      <c r="DA43" s="2" t="inlineStr">
        <is>
          <t>2023-10-18</t>
        </is>
      </c>
      <c r="DB43" s="5">
        <f>ROUND(0.0,2)</f>
        <v/>
      </c>
      <c r="DC43" s="3">
        <f>ROUND(0.0,2)</f>
        <v/>
      </c>
      <c r="DD43" s="3">
        <f>ROUND(0.0,2)</f>
        <v/>
      </c>
      <c r="DE43" s="3">
        <f>ROUND(0.0,2)</f>
        <v/>
      </c>
      <c r="DF43" s="3">
        <f>ROUND(0.0,2)</f>
        <v/>
      </c>
      <c r="DG43" s="3">
        <f>ROUND(0.0,2)</f>
        <v/>
      </c>
      <c r="DH43" s="3">
        <f>ROUND(0.0,2)</f>
        <v/>
      </c>
      <c r="DI43" s="3">
        <f>ROUND(0.0,2)</f>
        <v/>
      </c>
      <c r="DJ43" s="4">
        <f>IFERROR((DD43/DC43),0)</f>
        <v/>
      </c>
      <c r="DK43" s="4">
        <f>IFERROR(((0+DB11+DB12+DB13+DB14+DB15+DB16+DB17+DB19+DB20+DB21+DB22+DB23+DB24+DB25+DB27+DB28+DB29+DB30+DB31+DB32+DB33+DB35+DB36+DB37+DB38+DB39+DB40+DB41+DB43)/T2),0)</f>
        <v/>
      </c>
      <c r="DL43" s="5">
        <f>IFERROR(ROUND(DB43/DD43,2),0)</f>
        <v/>
      </c>
      <c r="DM43" s="5">
        <f>IFERROR(ROUND(DB43/DE43,2),0)</f>
        <v/>
      </c>
      <c r="DN43" s="2" t="inlineStr">
        <is>
          <t>2023-10-18</t>
        </is>
      </c>
      <c r="DO43" s="5">
        <f>ROUND(0.0,2)</f>
        <v/>
      </c>
      <c r="DP43" s="3">
        <f>ROUND(0.0,2)</f>
        <v/>
      </c>
      <c r="DQ43" s="3">
        <f>ROUND(0.0,2)</f>
        <v/>
      </c>
      <c r="DR43" s="3">
        <f>ROUND(0.0,2)</f>
        <v/>
      </c>
      <c r="DS43" s="3">
        <f>ROUND(0.0,2)</f>
        <v/>
      </c>
      <c r="DT43" s="3">
        <f>ROUND(0.0,2)</f>
        <v/>
      </c>
      <c r="DU43" s="3">
        <f>ROUND(0.0,2)</f>
        <v/>
      </c>
      <c r="DV43" s="3">
        <f>ROUND(0.0,2)</f>
        <v/>
      </c>
      <c r="DW43" s="4">
        <f>IFERROR((DQ43/DP43),0)</f>
        <v/>
      </c>
      <c r="DX43" s="4">
        <f>IFERROR(((0+DO11+DO12+DO13+DO14+DO15+DO16+DO17+DO19+DO20+DO21+DO22+DO23+DO24+DO25+DO27+DO28+DO29+DO30+DO31+DO32+DO33+DO35+DO36+DO37+DO38+DO39+DO40+DO41+DO43)/T2),0)</f>
        <v/>
      </c>
      <c r="DY43" s="5">
        <f>IFERROR(ROUND(DO43/DQ43,2),0)</f>
        <v/>
      </c>
      <c r="DZ43" s="5">
        <f>IFERROR(ROUND(DO43/DR43,2),0)</f>
        <v/>
      </c>
      <c r="EA43" s="2" t="inlineStr">
        <is>
          <t>2023-10-18</t>
        </is>
      </c>
      <c r="EB43" s="5">
        <f>ROUND(0.0,2)</f>
        <v/>
      </c>
      <c r="EC43" s="3">
        <f>ROUND(0.0,2)</f>
        <v/>
      </c>
      <c r="ED43" s="3">
        <f>ROUND(0.0,2)</f>
        <v/>
      </c>
      <c r="EE43" s="3">
        <f>ROUND(0.0,2)</f>
        <v/>
      </c>
      <c r="EF43" s="3">
        <f>ROUND(0.0,2)</f>
        <v/>
      </c>
      <c r="EG43" s="3">
        <f>ROUND(0.0,2)</f>
        <v/>
      </c>
      <c r="EH43" s="3">
        <f>ROUND(0.0,2)</f>
        <v/>
      </c>
      <c r="EI43" s="3">
        <f>ROUND(0.0,2)</f>
        <v/>
      </c>
      <c r="EJ43" s="4">
        <f>IFERROR((ED43/EC43),0)</f>
        <v/>
      </c>
      <c r="EK43" s="4">
        <f>IFERROR(((0+EB11+EB12+EB13+EB14+EB15+EB16+EB17+EB19+EB20+EB21+EB22+EB23+EB24+EB25+EB27+EB28+EB29+EB30+EB31+EB32+EB33+EB35+EB36+EB37+EB38+EB39+EB40+EB41+EB43)/T2),0)</f>
        <v/>
      </c>
      <c r="EL43" s="5">
        <f>IFERROR(ROUND(EB43/ED43,2),0)</f>
        <v/>
      </c>
      <c r="EM43" s="5">
        <f>IFERROR(ROUND(EB43/EE43,2),0)</f>
        <v/>
      </c>
    </row>
    <row r="44">
      <c r="A44" s="2" t="inlineStr">
        <is>
          <t>2023-10-19</t>
        </is>
      </c>
      <c r="B44" s="5">
        <f>ROUND(0.0,2)</f>
        <v/>
      </c>
      <c r="C44" s="3">
        <f>ROUND(0.0,2)</f>
        <v/>
      </c>
      <c r="D44" s="3">
        <f>ROUND(0.0,2)</f>
        <v/>
      </c>
      <c r="E44" s="3">
        <f>ROUND(0.0,2)</f>
        <v/>
      </c>
      <c r="F44" s="3">
        <f>ROUND(0.0,2)</f>
        <v/>
      </c>
      <c r="G44" s="3">
        <f>ROUND(0.0,2)</f>
        <v/>
      </c>
      <c r="H44" s="3">
        <f>ROUND(0.0,2)</f>
        <v/>
      </c>
      <c r="I44" s="3">
        <f>ROUND(0.0,2)</f>
        <v/>
      </c>
      <c r="J44" s="4">
        <f>IFERROR((D44/C44),0)</f>
        <v/>
      </c>
      <c r="K44" s="4">
        <f>IFERROR(((0+B11+B12+B13+B14+B15+B16+B17+B19+B20+B21+B22+B23+B24+B25+B27+B28+B29+B30+B31+B32+B33+B35+B36+B37+B38+B39+B40+B41+B43+B44)/T2),0)</f>
        <v/>
      </c>
      <c r="L44" s="5">
        <f>IFERROR(ROUND(B44/D44,2),0)</f>
        <v/>
      </c>
      <c r="M44" s="5">
        <f>IFERROR(ROUND(B44/E44,2),0)</f>
        <v/>
      </c>
      <c r="N44" s="2" t="inlineStr">
        <is>
          <t>2023-10-19</t>
        </is>
      </c>
      <c r="O44" s="5">
        <f>ROUND(0.0,2)</f>
        <v/>
      </c>
      <c r="P44" s="3">
        <f>ROUND(0.0,2)</f>
        <v/>
      </c>
      <c r="Q44" s="3">
        <f>ROUND(0.0,2)</f>
        <v/>
      </c>
      <c r="R44" s="3">
        <f>ROUND(0.0,2)</f>
        <v/>
      </c>
      <c r="S44" s="3">
        <f>ROUND(0.0,2)</f>
        <v/>
      </c>
      <c r="T44" s="3">
        <f>ROUND(0.0,2)</f>
        <v/>
      </c>
      <c r="U44" s="3">
        <f>ROUND(0.0,2)</f>
        <v/>
      </c>
      <c r="V44" s="3">
        <f>ROUND(0.0,2)</f>
        <v/>
      </c>
      <c r="W44" s="4">
        <f>IFERROR((Q44/P44),0)</f>
        <v/>
      </c>
      <c r="X44" s="4">
        <f>IFERROR(((0+O11+O12+O13+O14+O15+O16+O17+O19+O20+O21+O22+O23+O24+O25+O27+O28+O29+O30+O31+O32+O33+O35+O36+O37+O38+O39+O40+O41+O43+O44)/T2),0)</f>
        <v/>
      </c>
      <c r="Y44" s="5">
        <f>IFERROR(ROUND(O44/Q44,2),0)</f>
        <v/>
      </c>
      <c r="Z44" s="5">
        <f>IFERROR(ROUND(O44/R44,2),0)</f>
        <v/>
      </c>
      <c r="AA44" s="2" t="inlineStr">
        <is>
          <t>2023-10-19</t>
        </is>
      </c>
      <c r="AB44" s="5">
        <f>ROUND(0.0,2)</f>
        <v/>
      </c>
      <c r="AC44" s="3">
        <f>ROUND(0.0,2)</f>
        <v/>
      </c>
      <c r="AD44" s="3">
        <f>ROUND(0.0,2)</f>
        <v/>
      </c>
      <c r="AE44" s="3">
        <f>ROUND(0.0,2)</f>
        <v/>
      </c>
      <c r="AF44" s="3">
        <f>ROUND(0.0,2)</f>
        <v/>
      </c>
      <c r="AG44" s="3">
        <f>ROUND(0.0,2)</f>
        <v/>
      </c>
      <c r="AH44" s="3">
        <f>ROUND(0.0,2)</f>
        <v/>
      </c>
      <c r="AI44" s="3">
        <f>ROUND(0.0,2)</f>
        <v/>
      </c>
      <c r="AJ44" s="4">
        <f>IFERROR((AD44/AC44),0)</f>
        <v/>
      </c>
      <c r="AK44" s="4">
        <f>IFERROR(((0+AB11+AB12+AB13+AB14+AB15+AB16+AB17+AB19+AB20+AB21+AB22+AB23+AB24+AB25+AB27+AB28+AB29+AB30+AB31+AB32+AB33+AB35+AB36+AB37+AB38+AB39+AB40+AB41+AB43+AB44)/T2),0)</f>
        <v/>
      </c>
      <c r="AL44" s="5">
        <f>IFERROR(ROUND(AB44/AD44,2),0)</f>
        <v/>
      </c>
      <c r="AM44" s="5">
        <f>IFERROR(ROUND(AB44/AE44,2),0)</f>
        <v/>
      </c>
      <c r="AN44" s="2" t="inlineStr">
        <is>
          <t>2023-10-19</t>
        </is>
      </c>
      <c r="AO44" s="5">
        <f>ROUND(0.0,2)</f>
        <v/>
      </c>
      <c r="AP44" s="3">
        <f>ROUND(0.0,2)</f>
        <v/>
      </c>
      <c r="AQ44" s="3">
        <f>ROUND(0.0,2)</f>
        <v/>
      </c>
      <c r="AR44" s="3">
        <f>ROUND(0.0,2)</f>
        <v/>
      </c>
      <c r="AS44" s="3">
        <f>ROUND(0.0,2)</f>
        <v/>
      </c>
      <c r="AT44" s="3">
        <f>ROUND(0.0,2)</f>
        <v/>
      </c>
      <c r="AU44" s="3">
        <f>ROUND(0.0,2)</f>
        <v/>
      </c>
      <c r="AV44" s="3">
        <f>ROUND(0.0,2)</f>
        <v/>
      </c>
      <c r="AW44" s="4">
        <f>IFERROR((AQ44/AP44),0)</f>
        <v/>
      </c>
      <c r="AX44" s="4">
        <f>IFERROR(((0+AO11+AO12+AO13+AO14+AO15+AO16+AO17+AO19+AO20+AO21+AO22+AO23+AO24+AO25+AO27+AO28+AO29+AO30+AO31+AO32+AO33+AO35+AO36+AO37+AO38+AO39+AO40+AO41+AO43+AO44)/T2),0)</f>
        <v/>
      </c>
      <c r="AY44" s="5">
        <f>IFERROR(ROUND(AO44/AQ44,2),0)</f>
        <v/>
      </c>
      <c r="AZ44" s="5">
        <f>IFERROR(ROUND(AO44/AR44,2),0)</f>
        <v/>
      </c>
      <c r="BA44" s="2" t="inlineStr">
        <is>
          <t>2023-10-19</t>
        </is>
      </c>
      <c r="BB44" s="5">
        <f>ROUND(0.0,2)</f>
        <v/>
      </c>
      <c r="BC44" s="3">
        <f>ROUND(0.0,2)</f>
        <v/>
      </c>
      <c r="BD44" s="3">
        <f>ROUND(0.0,2)</f>
        <v/>
      </c>
      <c r="BE44" s="3">
        <f>ROUND(0.0,2)</f>
        <v/>
      </c>
      <c r="BF44" s="3">
        <f>ROUND(0.0,2)</f>
        <v/>
      </c>
      <c r="BG44" s="3">
        <f>ROUND(0.0,2)</f>
        <v/>
      </c>
      <c r="BH44" s="3">
        <f>ROUND(0.0,2)</f>
        <v/>
      </c>
      <c r="BI44" s="3">
        <f>ROUND(0.0,2)</f>
        <v/>
      </c>
      <c r="BJ44" s="4">
        <f>IFERROR((BD44/BC44),0)</f>
        <v/>
      </c>
      <c r="BK44" s="4">
        <f>IFERROR(((0+BB11+BB12+BB13+BB14+BB15+BB16+BB17+BB19+BB20+BB21+BB22+BB23+BB24+BB25+BB27+BB28+BB29+BB30+BB31+BB32+BB33+BB35+BB36+BB37+BB38+BB39+BB40+BB41+BB43+BB44)/T2),0)</f>
        <v/>
      </c>
      <c r="BL44" s="5">
        <f>IFERROR(ROUND(BB44/BD44,2),0)</f>
        <v/>
      </c>
      <c r="BM44" s="5">
        <f>IFERROR(ROUND(BB44/BE44,2),0)</f>
        <v/>
      </c>
      <c r="BN44" s="2" t="inlineStr">
        <is>
          <t>2023-10-19</t>
        </is>
      </c>
      <c r="BO44" s="5">
        <f>ROUND(0.0,2)</f>
        <v/>
      </c>
      <c r="BP44" s="3">
        <f>ROUND(0.0,2)</f>
        <v/>
      </c>
      <c r="BQ44" s="3">
        <f>ROUND(0.0,2)</f>
        <v/>
      </c>
      <c r="BR44" s="3">
        <f>ROUND(0.0,2)</f>
        <v/>
      </c>
      <c r="BS44" s="3">
        <f>ROUND(0.0,2)</f>
        <v/>
      </c>
      <c r="BT44" s="3">
        <f>ROUND(0.0,2)</f>
        <v/>
      </c>
      <c r="BU44" s="3">
        <f>ROUND(0.0,2)</f>
        <v/>
      </c>
      <c r="BV44" s="3">
        <f>ROUND(0.0,2)</f>
        <v/>
      </c>
      <c r="BW44" s="4">
        <f>IFERROR((BQ44/BP44),0)</f>
        <v/>
      </c>
      <c r="BX44" s="4">
        <f>IFERROR(((0+BO11+BO12+BO13+BO14+BO15+BO16+BO17+BO19+BO20+BO21+BO22+BO23+BO24+BO25+BO27+BO28+BO29+BO30+BO31+BO32+BO33+BO35+BO36+BO37+BO38+BO39+BO40+BO41+BO43+BO44)/T2),0)</f>
        <v/>
      </c>
      <c r="BY44" s="5">
        <f>IFERROR(ROUND(BO44/BQ44,2),0)</f>
        <v/>
      </c>
      <c r="BZ44" s="5">
        <f>IFERROR(ROUND(BO44/BR44,2),0)</f>
        <v/>
      </c>
      <c r="CA44" s="2" t="inlineStr">
        <is>
          <t>2023-10-19</t>
        </is>
      </c>
      <c r="CB44" s="5">
        <f>ROUND(0.0,2)</f>
        <v/>
      </c>
      <c r="CC44" s="3">
        <f>ROUND(0.0,2)</f>
        <v/>
      </c>
      <c r="CD44" s="3">
        <f>ROUND(0.0,2)</f>
        <v/>
      </c>
      <c r="CE44" s="3">
        <f>ROUND(0.0,2)</f>
        <v/>
      </c>
      <c r="CF44" s="3">
        <f>ROUND(0.0,2)</f>
        <v/>
      </c>
      <c r="CG44" s="3">
        <f>ROUND(0.0,2)</f>
        <v/>
      </c>
      <c r="CH44" s="3">
        <f>ROUND(0.0,2)</f>
        <v/>
      </c>
      <c r="CI44" s="3">
        <f>ROUND(0.0,2)</f>
        <v/>
      </c>
      <c r="CJ44" s="4">
        <f>IFERROR((CD44/CC44),0)</f>
        <v/>
      </c>
      <c r="CK44" s="4">
        <f>IFERROR(((0+CB11+CB12+CB13+CB14+CB15+CB16+CB17+CB19+CB20+CB21+CB22+CB23+CB24+CB25+CB27+CB28+CB29+CB30+CB31+CB32+CB33+CB35+CB36+CB37+CB38+CB39+CB40+CB41+CB43+CB44)/T2),0)</f>
        <v/>
      </c>
      <c r="CL44" s="5">
        <f>IFERROR(ROUND(CB44/CD44,2),0)</f>
        <v/>
      </c>
      <c r="CM44" s="5">
        <f>IFERROR(ROUND(CB44/CE44,2),0)</f>
        <v/>
      </c>
      <c r="CN44" s="2" t="inlineStr">
        <is>
          <t>2023-10-19</t>
        </is>
      </c>
      <c r="CO44" s="5">
        <f>ROUND(0.0,2)</f>
        <v/>
      </c>
      <c r="CP44" s="3">
        <f>ROUND(0.0,2)</f>
        <v/>
      </c>
      <c r="CQ44" s="3">
        <f>ROUND(0.0,2)</f>
        <v/>
      </c>
      <c r="CR44" s="3">
        <f>ROUND(0.0,2)</f>
        <v/>
      </c>
      <c r="CS44" s="3">
        <f>ROUND(0.0,2)</f>
        <v/>
      </c>
      <c r="CT44" s="3">
        <f>ROUND(0.0,2)</f>
        <v/>
      </c>
      <c r="CU44" s="3">
        <f>ROUND(0.0,2)</f>
        <v/>
      </c>
      <c r="CV44" s="3">
        <f>ROUND(0.0,2)</f>
        <v/>
      </c>
      <c r="CW44" s="4">
        <f>IFERROR((CQ44/CP44),0)</f>
        <v/>
      </c>
      <c r="CX44" s="4">
        <f>IFERROR(((0+CO11+CO12+CO13+CO14+CO15+CO16+CO17+CO19+CO20+CO21+CO22+CO23+CO24+CO25+CO27+CO28+CO29+CO30+CO31+CO32+CO33+CO35+CO36+CO37+CO38+CO39+CO40+CO41+CO43+CO44)/T2),0)</f>
        <v/>
      </c>
      <c r="CY44" s="5">
        <f>IFERROR(ROUND(CO44/CQ44,2),0)</f>
        <v/>
      </c>
      <c r="CZ44" s="5">
        <f>IFERROR(ROUND(CO44/CR44,2),0)</f>
        <v/>
      </c>
      <c r="DA44" s="2" t="inlineStr">
        <is>
          <t>2023-10-19</t>
        </is>
      </c>
      <c r="DB44" s="5">
        <f>ROUND(0.0,2)</f>
        <v/>
      </c>
      <c r="DC44" s="3">
        <f>ROUND(0.0,2)</f>
        <v/>
      </c>
      <c r="DD44" s="3">
        <f>ROUND(0.0,2)</f>
        <v/>
      </c>
      <c r="DE44" s="3">
        <f>ROUND(0.0,2)</f>
        <v/>
      </c>
      <c r="DF44" s="3">
        <f>ROUND(0.0,2)</f>
        <v/>
      </c>
      <c r="DG44" s="3">
        <f>ROUND(0.0,2)</f>
        <v/>
      </c>
      <c r="DH44" s="3">
        <f>ROUND(0.0,2)</f>
        <v/>
      </c>
      <c r="DI44" s="3">
        <f>ROUND(0.0,2)</f>
        <v/>
      </c>
      <c r="DJ44" s="4">
        <f>IFERROR((DD44/DC44),0)</f>
        <v/>
      </c>
      <c r="DK44" s="4">
        <f>IFERROR(((0+DB11+DB12+DB13+DB14+DB15+DB16+DB17+DB19+DB20+DB21+DB22+DB23+DB24+DB25+DB27+DB28+DB29+DB30+DB31+DB32+DB33+DB35+DB36+DB37+DB38+DB39+DB40+DB41+DB43+DB44)/T2),0)</f>
        <v/>
      </c>
      <c r="DL44" s="5">
        <f>IFERROR(ROUND(DB44/DD44,2),0)</f>
        <v/>
      </c>
      <c r="DM44" s="5">
        <f>IFERROR(ROUND(DB44/DE44,2),0)</f>
        <v/>
      </c>
      <c r="DN44" s="2" t="inlineStr">
        <is>
          <t>2023-10-19</t>
        </is>
      </c>
      <c r="DO44" s="5">
        <f>ROUND(0.0,2)</f>
        <v/>
      </c>
      <c r="DP44" s="3">
        <f>ROUND(0.0,2)</f>
        <v/>
      </c>
      <c r="DQ44" s="3">
        <f>ROUND(0.0,2)</f>
        <v/>
      </c>
      <c r="DR44" s="3">
        <f>ROUND(0.0,2)</f>
        <v/>
      </c>
      <c r="DS44" s="3">
        <f>ROUND(0.0,2)</f>
        <v/>
      </c>
      <c r="DT44" s="3">
        <f>ROUND(0.0,2)</f>
        <v/>
      </c>
      <c r="DU44" s="3">
        <f>ROUND(0.0,2)</f>
        <v/>
      </c>
      <c r="DV44" s="3">
        <f>ROUND(0.0,2)</f>
        <v/>
      </c>
      <c r="DW44" s="4">
        <f>IFERROR((DQ44/DP44),0)</f>
        <v/>
      </c>
      <c r="DX44" s="4">
        <f>IFERROR(((0+DO11+DO12+DO13+DO14+DO15+DO16+DO17+DO19+DO20+DO21+DO22+DO23+DO24+DO25+DO27+DO28+DO29+DO30+DO31+DO32+DO33+DO35+DO36+DO37+DO38+DO39+DO40+DO41+DO43+DO44)/T2),0)</f>
        <v/>
      </c>
      <c r="DY44" s="5">
        <f>IFERROR(ROUND(DO44/DQ44,2),0)</f>
        <v/>
      </c>
      <c r="DZ44" s="5">
        <f>IFERROR(ROUND(DO44/DR44,2),0)</f>
        <v/>
      </c>
      <c r="EA44" s="2" t="inlineStr">
        <is>
          <t>2023-10-19</t>
        </is>
      </c>
      <c r="EB44" s="5">
        <f>ROUND(0.0,2)</f>
        <v/>
      </c>
      <c r="EC44" s="3">
        <f>ROUND(0.0,2)</f>
        <v/>
      </c>
      <c r="ED44" s="3">
        <f>ROUND(0.0,2)</f>
        <v/>
      </c>
      <c r="EE44" s="3">
        <f>ROUND(0.0,2)</f>
        <v/>
      </c>
      <c r="EF44" s="3">
        <f>ROUND(0.0,2)</f>
        <v/>
      </c>
      <c r="EG44" s="3">
        <f>ROUND(0.0,2)</f>
        <v/>
      </c>
      <c r="EH44" s="3">
        <f>ROUND(0.0,2)</f>
        <v/>
      </c>
      <c r="EI44" s="3">
        <f>ROUND(0.0,2)</f>
        <v/>
      </c>
      <c r="EJ44" s="4">
        <f>IFERROR((ED44/EC44),0)</f>
        <v/>
      </c>
      <c r="EK44" s="4">
        <f>IFERROR(((0+EB11+EB12+EB13+EB14+EB15+EB16+EB17+EB19+EB20+EB21+EB22+EB23+EB24+EB25+EB27+EB28+EB29+EB30+EB31+EB32+EB33+EB35+EB36+EB37+EB38+EB39+EB40+EB41+EB43+EB44)/T2),0)</f>
        <v/>
      </c>
      <c r="EL44" s="5">
        <f>IFERROR(ROUND(EB44/ED44,2),0)</f>
        <v/>
      </c>
      <c r="EM44" s="5">
        <f>IFERROR(ROUND(EB44/EE44,2),0)</f>
        <v/>
      </c>
    </row>
    <row r="45">
      <c r="A45" s="2" t="inlineStr">
        <is>
          <t>2023-10-20</t>
        </is>
      </c>
      <c r="B45" s="5">
        <f>ROUND(108.05,2)</f>
        <v/>
      </c>
      <c r="C45" s="3">
        <f>ROUND(149529.0,2)</f>
        <v/>
      </c>
      <c r="D45" s="3">
        <f>ROUND(18440.0,2)</f>
        <v/>
      </c>
      <c r="E45" s="3">
        <f>ROUND(13764.0,2)</f>
        <v/>
      </c>
      <c r="F45" s="3">
        <f>ROUND(12121.0,2)</f>
        <v/>
      </c>
      <c r="G45" s="3">
        <f>ROUND(8829.0,2)</f>
        <v/>
      </c>
      <c r="H45" s="3">
        <f>ROUND(7387.0,2)</f>
        <v/>
      </c>
      <c r="I45" s="3">
        <f>ROUND(5702.0,2)</f>
        <v/>
      </c>
      <c r="J45" s="4">
        <f>IFERROR((D45/C45),0)</f>
        <v/>
      </c>
      <c r="K45" s="4">
        <f>IFERROR(((0+B11+B12+B13+B14+B15+B16+B17+B19+B20+B21+B22+B23+B24+B25+B27+B28+B29+B30+B31+B32+B33+B35+B36+B37+B38+B39+B40+B41+B43+B44+B45)/T2),0)</f>
        <v/>
      </c>
      <c r="L45" s="5">
        <f>IFERROR(ROUND(B45/D45,2),0)</f>
        <v/>
      </c>
      <c r="M45" s="5">
        <f>IFERROR(ROUND(B45/E45,2),0)</f>
        <v/>
      </c>
      <c r="N45" s="2" t="inlineStr">
        <is>
          <t>2023-10-20</t>
        </is>
      </c>
      <c r="O45" s="5">
        <f>ROUND(25.45,2)</f>
        <v/>
      </c>
      <c r="P45" s="3">
        <f>ROUND(28608.0,2)</f>
        <v/>
      </c>
      <c r="Q45" s="3">
        <f>ROUND(4689.0,2)</f>
        <v/>
      </c>
      <c r="R45" s="3">
        <f>ROUND(3163.0,2)</f>
        <v/>
      </c>
      <c r="S45" s="3">
        <f>ROUND(2774.0,2)</f>
        <v/>
      </c>
      <c r="T45" s="3">
        <f>ROUND(2032.0,2)</f>
        <v/>
      </c>
      <c r="U45" s="3">
        <f>ROUND(1732.0,2)</f>
        <v/>
      </c>
      <c r="V45" s="3">
        <f>ROUND(1298.0,2)</f>
        <v/>
      </c>
      <c r="W45" s="4">
        <f>IFERROR((Q45/P45),0)</f>
        <v/>
      </c>
      <c r="X45" s="4">
        <f>IFERROR(((0+O11+O12+O13+O14+O15+O16+O17+O19+O20+O21+O22+O23+O24+O25+O27+O28+O29+O30+O31+O32+O33+O35+O36+O37+O38+O39+O40+O41+O43+O44+O45)/T2),0)</f>
        <v/>
      </c>
      <c r="Y45" s="5">
        <f>IFERROR(ROUND(O45/Q45,2),0)</f>
        <v/>
      </c>
      <c r="Z45" s="5">
        <f>IFERROR(ROUND(O45/R45,2),0)</f>
        <v/>
      </c>
      <c r="AA45" s="2" t="inlineStr">
        <is>
          <t>2023-10-20</t>
        </is>
      </c>
      <c r="AB45" s="5">
        <f>ROUND(4.3500000000000005,2)</f>
        <v/>
      </c>
      <c r="AC45" s="3">
        <f>ROUND(4963.0,2)</f>
        <v/>
      </c>
      <c r="AD45" s="3">
        <f>ROUND(844.0,2)</f>
        <v/>
      </c>
      <c r="AE45" s="3">
        <f>ROUND(490.0,2)</f>
        <v/>
      </c>
      <c r="AF45" s="3">
        <f>ROUND(435.0,2)</f>
        <v/>
      </c>
      <c r="AG45" s="3">
        <f>ROUND(334.0,2)</f>
        <v/>
      </c>
      <c r="AH45" s="3">
        <f>ROUND(283.0,2)</f>
        <v/>
      </c>
      <c r="AI45" s="3">
        <f>ROUND(235.0,2)</f>
        <v/>
      </c>
      <c r="AJ45" s="4">
        <f>IFERROR((AD45/AC45),0)</f>
        <v/>
      </c>
      <c r="AK45" s="4">
        <f>IFERROR(((0+AB11+AB12+AB13+AB14+AB15+AB16+AB17+AB19+AB20+AB21+AB22+AB23+AB24+AB25+AB27+AB28+AB29+AB30+AB31+AB32+AB33+AB35+AB36+AB37+AB38+AB39+AB40+AB41+AB43+AB44+AB45)/T2),0)</f>
        <v/>
      </c>
      <c r="AL45" s="5">
        <f>IFERROR(ROUND(AB45/AD45,2),0)</f>
        <v/>
      </c>
      <c r="AM45" s="5">
        <f>IFERROR(ROUND(AB45/AE45,2),0)</f>
        <v/>
      </c>
      <c r="AN45" s="2" t="inlineStr">
        <is>
          <t>2023-10-20</t>
        </is>
      </c>
      <c r="AO45" s="5">
        <f>ROUND(11.71,2)</f>
        <v/>
      </c>
      <c r="AP45" s="3">
        <f>ROUND(16007.0,2)</f>
        <v/>
      </c>
      <c r="AQ45" s="3">
        <f>ROUND(1693.0,2)</f>
        <v/>
      </c>
      <c r="AR45" s="3">
        <f>ROUND(1563.0,2)</f>
        <v/>
      </c>
      <c r="AS45" s="3">
        <f>ROUND(1269.0,2)</f>
        <v/>
      </c>
      <c r="AT45" s="3">
        <f>ROUND(924.0,2)</f>
        <v/>
      </c>
      <c r="AU45" s="3">
        <f>ROUND(765.0,2)</f>
        <v/>
      </c>
      <c r="AV45" s="3">
        <f>ROUND(590.0,2)</f>
        <v/>
      </c>
      <c r="AW45" s="4">
        <f>IFERROR((AQ45/AP45),0)</f>
        <v/>
      </c>
      <c r="AX45" s="4">
        <f>IFERROR(((0+AO11+AO12+AO13+AO14+AO15+AO16+AO17+AO19+AO20+AO21+AO22+AO23+AO24+AO25+AO27+AO28+AO29+AO30+AO31+AO32+AO33+AO35+AO36+AO37+AO38+AO39+AO40+AO41+AO43+AO44+AO45)/T2),0)</f>
        <v/>
      </c>
      <c r="AY45" s="5">
        <f>IFERROR(ROUND(AO45/AQ45,2),0)</f>
        <v/>
      </c>
      <c r="AZ45" s="5">
        <f>IFERROR(ROUND(AO45/AR45,2),0)</f>
        <v/>
      </c>
      <c r="BA45" s="2" t="inlineStr">
        <is>
          <t>2023-10-20</t>
        </is>
      </c>
      <c r="BB45" s="5">
        <f>ROUND(61.19,2)</f>
        <v/>
      </c>
      <c r="BC45" s="3">
        <f>ROUND(85782.0,2)</f>
        <v/>
      </c>
      <c r="BD45" s="3">
        <f>ROUND(11136.0,2)</f>
        <v/>
      </c>
      <c r="BE45" s="3">
        <f>ROUND(8548.0,2)</f>
        <v/>
      </c>
      <c r="BF45" s="3">
        <f>ROUND(7643.0,2)</f>
        <v/>
      </c>
      <c r="BG45" s="3">
        <f>ROUND(5539.0,2)</f>
        <v/>
      </c>
      <c r="BH45" s="3">
        <f>ROUND(4607.0,2)</f>
        <v/>
      </c>
      <c r="BI45" s="3">
        <f>ROUND(3579.0,2)</f>
        <v/>
      </c>
      <c r="BJ45" s="4">
        <f>IFERROR((BD45/BC45),0)</f>
        <v/>
      </c>
      <c r="BK45" s="4">
        <f>IFERROR(((0+BB11+BB12+BB13+BB14+BB15+BB16+BB17+BB19+BB20+BB21+BB22+BB23+BB24+BB25+BB27+BB28+BB29+BB30+BB31+BB32+BB33+BB35+BB36+BB37+BB38+BB39+BB40+BB41+BB43+BB44+BB45)/T2),0)</f>
        <v/>
      </c>
      <c r="BL45" s="5">
        <f>IFERROR(ROUND(BB45/BD45,2),0)</f>
        <v/>
      </c>
      <c r="BM45" s="5">
        <f>IFERROR(ROUND(BB45/BE45,2),0)</f>
        <v/>
      </c>
      <c r="BN45" s="2" t="inlineStr">
        <is>
          <t>2023-10-20</t>
        </is>
      </c>
      <c r="BO45" s="5">
        <f>ROUND(1.05,2)</f>
        <v/>
      </c>
      <c r="BP45" s="3">
        <f>ROUND(2112.0,2)</f>
        <v/>
      </c>
      <c r="BQ45" s="3">
        <f>ROUND(9.0,2)</f>
        <v/>
      </c>
      <c r="BR45" s="3">
        <f>ROUND(0.0,2)</f>
        <v/>
      </c>
      <c r="BS45" s="3">
        <f>ROUND(0.0,2)</f>
        <v/>
      </c>
      <c r="BT45" s="3">
        <f>ROUND(0.0,2)</f>
        <v/>
      </c>
      <c r="BU45" s="3">
        <f>ROUND(0.0,2)</f>
        <v/>
      </c>
      <c r="BV45" s="3">
        <f>ROUND(0.0,2)</f>
        <v/>
      </c>
      <c r="BW45" s="4">
        <f>IFERROR((BQ45/BP45),0)</f>
        <v/>
      </c>
      <c r="BX45" s="4">
        <f>IFERROR(((0+BO11+BO12+BO13+BO14+BO15+BO16+BO17+BO19+BO20+BO21+BO22+BO23+BO24+BO25+BO27+BO28+BO29+BO30+BO31+BO32+BO33+BO35+BO36+BO37+BO38+BO39+BO40+BO41+BO43+BO44+BO45)/T2),0)</f>
        <v/>
      </c>
      <c r="BY45" s="5">
        <f>IFERROR(ROUND(BO45/BQ45,2),0)</f>
        <v/>
      </c>
      <c r="BZ45" s="5">
        <f>IFERROR(ROUND(BO45/BR45,2),0)</f>
        <v/>
      </c>
      <c r="CA45" s="2" t="inlineStr">
        <is>
          <t>2023-10-20</t>
        </is>
      </c>
      <c r="CB45" s="5">
        <f>ROUND(0.97,2)</f>
        <v/>
      </c>
      <c r="CC45" s="3">
        <f>ROUND(2935.0,2)</f>
        <v/>
      </c>
      <c r="CD45" s="3">
        <f>ROUND(9.0,2)</f>
        <v/>
      </c>
      <c r="CE45" s="3">
        <f>ROUND(0.0,2)</f>
        <v/>
      </c>
      <c r="CF45" s="3">
        <f>ROUND(0.0,2)</f>
        <v/>
      </c>
      <c r="CG45" s="3">
        <f>ROUND(0.0,2)</f>
        <v/>
      </c>
      <c r="CH45" s="3">
        <f>ROUND(0.0,2)</f>
        <v/>
      </c>
      <c r="CI45" s="3">
        <f>ROUND(0.0,2)</f>
        <v/>
      </c>
      <c r="CJ45" s="4">
        <f>IFERROR((CD45/CC45),0)</f>
        <v/>
      </c>
      <c r="CK45" s="4">
        <f>IFERROR(((0+CB11+CB12+CB13+CB14+CB15+CB16+CB17+CB19+CB20+CB21+CB22+CB23+CB24+CB25+CB27+CB28+CB29+CB30+CB31+CB32+CB33+CB35+CB36+CB37+CB38+CB39+CB40+CB41+CB43+CB44+CB45)/T2),0)</f>
        <v/>
      </c>
      <c r="CL45" s="5">
        <f>IFERROR(ROUND(CB45/CD45,2),0)</f>
        <v/>
      </c>
      <c r="CM45" s="5">
        <f>IFERROR(ROUND(CB45/CE45,2),0)</f>
        <v/>
      </c>
      <c r="CN45" s="2" t="inlineStr">
        <is>
          <t>2023-10-20</t>
        </is>
      </c>
      <c r="CO45" s="5">
        <f>ROUND(0.99,2)</f>
        <v/>
      </c>
      <c r="CP45" s="3">
        <f>ROUND(2804.0,2)</f>
        <v/>
      </c>
      <c r="CQ45" s="3">
        <f>ROUND(16.0,2)</f>
        <v/>
      </c>
      <c r="CR45" s="3">
        <f>ROUND(0.0,2)</f>
        <v/>
      </c>
      <c r="CS45" s="3">
        <f>ROUND(0.0,2)</f>
        <v/>
      </c>
      <c r="CT45" s="3">
        <f>ROUND(0.0,2)</f>
        <v/>
      </c>
      <c r="CU45" s="3">
        <f>ROUND(0.0,2)</f>
        <v/>
      </c>
      <c r="CV45" s="3">
        <f>ROUND(0.0,2)</f>
        <v/>
      </c>
      <c r="CW45" s="4">
        <f>IFERROR((CQ45/CP45),0)</f>
        <v/>
      </c>
      <c r="CX45" s="4">
        <f>IFERROR(((0+CO11+CO12+CO13+CO14+CO15+CO16+CO17+CO19+CO20+CO21+CO22+CO23+CO24+CO25+CO27+CO28+CO29+CO30+CO31+CO32+CO33+CO35+CO36+CO37+CO38+CO39+CO40+CO41+CO43+CO44+CO45)/T2),0)</f>
        <v/>
      </c>
      <c r="CY45" s="5">
        <f>IFERROR(ROUND(CO45/CQ45,2),0)</f>
        <v/>
      </c>
      <c r="CZ45" s="5">
        <f>IFERROR(ROUND(CO45/CR45,2),0)</f>
        <v/>
      </c>
      <c r="DA45" s="2" t="inlineStr">
        <is>
          <t>2023-10-20</t>
        </is>
      </c>
      <c r="DB45" s="5">
        <f>ROUND(0.46,2)</f>
        <v/>
      </c>
      <c r="DC45" s="3">
        <f>ROUND(1239.0,2)</f>
        <v/>
      </c>
      <c r="DD45" s="3">
        <f>ROUND(7.0,2)</f>
        <v/>
      </c>
      <c r="DE45" s="3">
        <f>ROUND(0.0,2)</f>
        <v/>
      </c>
      <c r="DF45" s="3">
        <f>ROUND(0.0,2)</f>
        <v/>
      </c>
      <c r="DG45" s="3">
        <f>ROUND(0.0,2)</f>
        <v/>
      </c>
      <c r="DH45" s="3">
        <f>ROUND(0.0,2)</f>
        <v/>
      </c>
      <c r="DI45" s="3">
        <f>ROUND(0.0,2)</f>
        <v/>
      </c>
      <c r="DJ45" s="4">
        <f>IFERROR((DD45/DC45),0)</f>
        <v/>
      </c>
      <c r="DK45" s="4">
        <f>IFERROR(((0+DB11+DB12+DB13+DB14+DB15+DB16+DB17+DB19+DB20+DB21+DB22+DB23+DB24+DB25+DB27+DB28+DB29+DB30+DB31+DB32+DB33+DB35+DB36+DB37+DB38+DB39+DB40+DB41+DB43+DB44+DB45)/T2),0)</f>
        <v/>
      </c>
      <c r="DL45" s="5">
        <f>IFERROR(ROUND(DB45/DD45,2),0)</f>
        <v/>
      </c>
      <c r="DM45" s="5">
        <f>IFERROR(ROUND(DB45/DE45,2),0)</f>
        <v/>
      </c>
      <c r="DN45" s="2" t="inlineStr">
        <is>
          <t>2023-10-20</t>
        </is>
      </c>
      <c r="DO45" s="5">
        <f>ROUND(1.52,2)</f>
        <v/>
      </c>
      <c r="DP45" s="3">
        <f>ROUND(3924.0,2)</f>
        <v/>
      </c>
      <c r="DQ45" s="3">
        <f>ROUND(31.0,2)</f>
        <v/>
      </c>
      <c r="DR45" s="3">
        <f>ROUND(0.0,2)</f>
        <v/>
      </c>
      <c r="DS45" s="3">
        <f>ROUND(0.0,2)</f>
        <v/>
      </c>
      <c r="DT45" s="3">
        <f>ROUND(0.0,2)</f>
        <v/>
      </c>
      <c r="DU45" s="3">
        <f>ROUND(0.0,2)</f>
        <v/>
      </c>
      <c r="DV45" s="3">
        <f>ROUND(0.0,2)</f>
        <v/>
      </c>
      <c r="DW45" s="4">
        <f>IFERROR((DQ45/DP45),0)</f>
        <v/>
      </c>
      <c r="DX45" s="4">
        <f>IFERROR(((0+DO11+DO12+DO13+DO14+DO15+DO16+DO17+DO19+DO20+DO21+DO22+DO23+DO24+DO25+DO27+DO28+DO29+DO30+DO31+DO32+DO33+DO35+DO36+DO37+DO38+DO39+DO40+DO41+DO43+DO44+DO45)/T2),0)</f>
        <v/>
      </c>
      <c r="DY45" s="5">
        <f>IFERROR(ROUND(DO45/DQ45,2),0)</f>
        <v/>
      </c>
      <c r="DZ45" s="5">
        <f>IFERROR(ROUND(DO45/DR45,2),0)</f>
        <v/>
      </c>
      <c r="EA45" s="2" t="inlineStr">
        <is>
          <t>2023-10-20</t>
        </is>
      </c>
      <c r="EB45" s="5">
        <f>ROUND(0.36,2)</f>
        <v/>
      </c>
      <c r="EC45" s="3">
        <f>ROUND(1155.0,2)</f>
        <v/>
      </c>
      <c r="ED45" s="3">
        <f>ROUND(6.0,2)</f>
        <v/>
      </c>
      <c r="EE45" s="3">
        <f>ROUND(0.0,2)</f>
        <v/>
      </c>
      <c r="EF45" s="3">
        <f>ROUND(0.0,2)</f>
        <v/>
      </c>
      <c r="EG45" s="3">
        <f>ROUND(0.0,2)</f>
        <v/>
      </c>
      <c r="EH45" s="3">
        <f>ROUND(0.0,2)</f>
        <v/>
      </c>
      <c r="EI45" s="3">
        <f>ROUND(0.0,2)</f>
        <v/>
      </c>
      <c r="EJ45" s="4">
        <f>IFERROR((ED45/EC45),0)</f>
        <v/>
      </c>
      <c r="EK45" s="4">
        <f>IFERROR(((0+EB11+EB12+EB13+EB14+EB15+EB16+EB17+EB19+EB20+EB21+EB22+EB23+EB24+EB25+EB27+EB28+EB29+EB30+EB31+EB32+EB33+EB35+EB36+EB37+EB38+EB39+EB40+EB41+EB43+EB44+EB45)/T2),0)</f>
        <v/>
      </c>
      <c r="EL45" s="5">
        <f>IFERROR(ROUND(EB45/ED45,2),0)</f>
        <v/>
      </c>
      <c r="EM45" s="5">
        <f>IFERROR(ROUND(EB45/EE45,2),0)</f>
        <v/>
      </c>
    </row>
    <row r="46">
      <c r="A46" s="2" t="inlineStr">
        <is>
          <t>2023-10-21</t>
        </is>
      </c>
      <c r="B46" s="5">
        <f>ROUND(120.97,2)</f>
        <v/>
      </c>
      <c r="C46" s="3">
        <f>ROUND(217448.0,2)</f>
        <v/>
      </c>
      <c r="D46" s="3">
        <f>ROUND(23577.0,2)</f>
        <v/>
      </c>
      <c r="E46" s="3">
        <f>ROUND(15052.0,2)</f>
        <v/>
      </c>
      <c r="F46" s="3">
        <f>ROUND(13183.0,2)</f>
        <v/>
      </c>
      <c r="G46" s="3">
        <f>ROUND(10037.0,2)</f>
        <v/>
      </c>
      <c r="H46" s="3">
        <f>ROUND(8447.0,2)</f>
        <v/>
      </c>
      <c r="I46" s="3">
        <f>ROUND(7220.0,2)</f>
        <v/>
      </c>
      <c r="J46" s="4">
        <f>IFERROR((D46/C46),0)</f>
        <v/>
      </c>
      <c r="K46" s="4">
        <f>IFERROR(((0+B11+B12+B13+B14+B15+B16+B17+B19+B20+B21+B22+B23+B24+B25+B27+B28+B29+B30+B31+B32+B33+B35+B36+B37+B38+B39+B40+B41+B43+B44+B45+B46)/T2),0)</f>
        <v/>
      </c>
      <c r="L46" s="5">
        <f>IFERROR(ROUND(B46/D46,2),0)</f>
        <v/>
      </c>
      <c r="M46" s="5">
        <f>IFERROR(ROUND(B46/E46,2),0)</f>
        <v/>
      </c>
      <c r="N46" s="2" t="inlineStr">
        <is>
          <t>2023-10-21</t>
        </is>
      </c>
      <c r="O46" s="5">
        <f>ROUND(6.36,2)</f>
        <v/>
      </c>
      <c r="P46" s="3">
        <f>ROUND(15857.0,2)</f>
        <v/>
      </c>
      <c r="Q46" s="3">
        <f>ROUND(660.0,2)</f>
        <v/>
      </c>
      <c r="R46" s="3">
        <f>ROUND(952.0,2)</f>
        <v/>
      </c>
      <c r="S46" s="3">
        <f>ROUND(833.0,2)</f>
        <v/>
      </c>
      <c r="T46" s="3">
        <f>ROUND(524.0,2)</f>
        <v/>
      </c>
      <c r="U46" s="3">
        <f>ROUND(429.0,2)</f>
        <v/>
      </c>
      <c r="V46" s="3">
        <f>ROUND(369.0,2)</f>
        <v/>
      </c>
      <c r="W46" s="4">
        <f>IFERROR((Q46/P46),0)</f>
        <v/>
      </c>
      <c r="X46" s="4">
        <f>IFERROR(((0+O11+O12+O13+O14+O15+O16+O17+O19+O20+O21+O22+O23+O24+O25+O27+O28+O29+O30+O31+O32+O33+O35+O36+O37+O38+O39+O40+O41+O43+O44+O45+O46)/T2),0)</f>
        <v/>
      </c>
      <c r="Y46" s="5">
        <f>IFERROR(ROUND(O46/Q46,2),0)</f>
        <v/>
      </c>
      <c r="Z46" s="5">
        <f>IFERROR(ROUND(O46/R46,2),0)</f>
        <v/>
      </c>
      <c r="AA46" s="2" t="inlineStr">
        <is>
          <t>2023-10-21</t>
        </is>
      </c>
      <c r="AB46" s="5">
        <f>ROUND(28.33,2)</f>
        <v/>
      </c>
      <c r="AC46" s="3">
        <f>ROUND(45695.0,2)</f>
        <v/>
      </c>
      <c r="AD46" s="3">
        <f>ROUND(6341.0,2)</f>
        <v/>
      </c>
      <c r="AE46" s="3">
        <f>ROUND(3781.0,2)</f>
        <v/>
      </c>
      <c r="AF46" s="3">
        <f>ROUND(3318.0,2)</f>
        <v/>
      </c>
      <c r="AG46" s="3">
        <f>ROUND(2638.0,2)</f>
        <v/>
      </c>
      <c r="AH46" s="3">
        <f>ROUND(2257.0,2)</f>
        <v/>
      </c>
      <c r="AI46" s="3">
        <f>ROUND(1904.0,2)</f>
        <v/>
      </c>
      <c r="AJ46" s="4">
        <f>IFERROR((AD46/AC46),0)</f>
        <v/>
      </c>
      <c r="AK46" s="4">
        <f>IFERROR(((0+AB11+AB12+AB13+AB14+AB15+AB16+AB17+AB19+AB20+AB21+AB22+AB23+AB24+AB25+AB27+AB28+AB29+AB30+AB31+AB32+AB33+AB35+AB36+AB37+AB38+AB39+AB40+AB41+AB43+AB44+AB45+AB46)/T2),0)</f>
        <v/>
      </c>
      <c r="AL46" s="5">
        <f>IFERROR(ROUND(AB46/AD46,2),0)</f>
        <v/>
      </c>
      <c r="AM46" s="5">
        <f>IFERROR(ROUND(AB46/AE46,2),0)</f>
        <v/>
      </c>
      <c r="AN46" s="2" t="inlineStr">
        <is>
          <t>2023-10-21</t>
        </is>
      </c>
      <c r="AO46" s="5">
        <f>ROUND(14.1,2)</f>
        <v/>
      </c>
      <c r="AP46" s="3">
        <f>ROUND(21568.0,2)</f>
        <v/>
      </c>
      <c r="AQ46" s="3">
        <f>ROUND(2522.0,2)</f>
        <v/>
      </c>
      <c r="AR46" s="3">
        <f>ROUND(1788.0,2)</f>
        <v/>
      </c>
      <c r="AS46" s="3">
        <f>ROUND(1482.0,2)</f>
        <v/>
      </c>
      <c r="AT46" s="3">
        <f>ROUND(1110.0,2)</f>
        <v/>
      </c>
      <c r="AU46" s="3">
        <f>ROUND(944.0,2)</f>
        <v/>
      </c>
      <c r="AV46" s="3">
        <f>ROUND(779.0,2)</f>
        <v/>
      </c>
      <c r="AW46" s="4">
        <f>IFERROR((AQ46/AP46),0)</f>
        <v/>
      </c>
      <c r="AX46" s="4">
        <f>IFERROR(((0+AO11+AO12+AO13+AO14+AO15+AO16+AO17+AO19+AO20+AO21+AO22+AO23+AO24+AO25+AO27+AO28+AO29+AO30+AO31+AO32+AO33+AO35+AO36+AO37+AO38+AO39+AO40+AO41+AO43+AO44+AO45+AO46)/T2),0)</f>
        <v/>
      </c>
      <c r="AY46" s="5">
        <f>IFERROR(ROUND(AO46/AQ46,2),0)</f>
        <v/>
      </c>
      <c r="AZ46" s="5">
        <f>IFERROR(ROUND(AO46/AR46,2),0)</f>
        <v/>
      </c>
      <c r="BA46" s="2" t="inlineStr">
        <is>
          <t>2023-10-21</t>
        </is>
      </c>
      <c r="BB46" s="5">
        <f>ROUND(66.03999999999999,2)</f>
        <v/>
      </c>
      <c r="BC46" s="3">
        <f>ROUND(116502.0,2)</f>
        <v/>
      </c>
      <c r="BD46" s="3">
        <f>ROUND(13959.0,2)</f>
        <v/>
      </c>
      <c r="BE46" s="3">
        <f>ROUND(8531.0,2)</f>
        <v/>
      </c>
      <c r="BF46" s="3">
        <f>ROUND(7550.0,2)</f>
        <v/>
      </c>
      <c r="BG46" s="3">
        <f>ROUND(5765.0,2)</f>
        <v/>
      </c>
      <c r="BH46" s="3">
        <f>ROUND(4817.0,2)</f>
        <v/>
      </c>
      <c r="BI46" s="3">
        <f>ROUND(4168.0,2)</f>
        <v/>
      </c>
      <c r="BJ46" s="4">
        <f>IFERROR((BD46/BC46),0)</f>
        <v/>
      </c>
      <c r="BK46" s="4">
        <f>IFERROR(((0+BB11+BB12+BB13+BB14+BB15+BB16+BB17+BB19+BB20+BB21+BB22+BB23+BB24+BB25+BB27+BB28+BB29+BB30+BB31+BB32+BB33+BB35+BB36+BB37+BB38+BB39+BB40+BB41+BB43+BB44+BB45+BB46)/T2),0)</f>
        <v/>
      </c>
      <c r="BL46" s="5">
        <f>IFERROR(ROUND(BB46/BD46,2),0)</f>
        <v/>
      </c>
      <c r="BM46" s="5">
        <f>IFERROR(ROUND(BB46/BE46,2),0)</f>
        <v/>
      </c>
      <c r="BN46" s="2" t="inlineStr">
        <is>
          <t>2023-10-21</t>
        </is>
      </c>
      <c r="BO46" s="5">
        <f>ROUND(0.96,2)</f>
        <v/>
      </c>
      <c r="BP46" s="3">
        <f>ROUND(2809.0,2)</f>
        <v/>
      </c>
      <c r="BQ46" s="3">
        <f>ROUND(12.0,2)</f>
        <v/>
      </c>
      <c r="BR46" s="3">
        <f>ROUND(0.0,2)</f>
        <v/>
      </c>
      <c r="BS46" s="3">
        <f>ROUND(0.0,2)</f>
        <v/>
      </c>
      <c r="BT46" s="3">
        <f>ROUND(0.0,2)</f>
        <v/>
      </c>
      <c r="BU46" s="3">
        <f>ROUND(0.0,2)</f>
        <v/>
      </c>
      <c r="BV46" s="3">
        <f>ROUND(0.0,2)</f>
        <v/>
      </c>
      <c r="BW46" s="4">
        <f>IFERROR((BQ46/BP46),0)</f>
        <v/>
      </c>
      <c r="BX46" s="4">
        <f>IFERROR(((0+BO11+BO12+BO13+BO14+BO15+BO16+BO17+BO19+BO20+BO21+BO22+BO23+BO24+BO25+BO27+BO28+BO29+BO30+BO31+BO32+BO33+BO35+BO36+BO37+BO38+BO39+BO40+BO41+BO43+BO44+BO45+BO46)/T2),0)</f>
        <v/>
      </c>
      <c r="BY46" s="5">
        <f>IFERROR(ROUND(BO46/BQ46,2),0)</f>
        <v/>
      </c>
      <c r="BZ46" s="5">
        <f>IFERROR(ROUND(BO46/BR46,2),0)</f>
        <v/>
      </c>
      <c r="CA46" s="2" t="inlineStr">
        <is>
          <t>2023-10-21</t>
        </is>
      </c>
      <c r="CB46" s="5">
        <f>ROUND(1.3,2)</f>
        <v/>
      </c>
      <c r="CC46" s="3">
        <f>ROUND(4176.0,2)</f>
        <v/>
      </c>
      <c r="CD46" s="3">
        <f>ROUND(13.0,2)</f>
        <v/>
      </c>
      <c r="CE46" s="3">
        <f>ROUND(0.0,2)</f>
        <v/>
      </c>
      <c r="CF46" s="3">
        <f>ROUND(0.0,2)</f>
        <v/>
      </c>
      <c r="CG46" s="3">
        <f>ROUND(0.0,2)</f>
        <v/>
      </c>
      <c r="CH46" s="3">
        <f>ROUND(0.0,2)</f>
        <v/>
      </c>
      <c r="CI46" s="3">
        <f>ROUND(0.0,2)</f>
        <v/>
      </c>
      <c r="CJ46" s="4">
        <f>IFERROR((CD46/CC46),0)</f>
        <v/>
      </c>
      <c r="CK46" s="4">
        <f>IFERROR(((0+CB11+CB12+CB13+CB14+CB15+CB16+CB17+CB19+CB20+CB21+CB22+CB23+CB24+CB25+CB27+CB28+CB29+CB30+CB31+CB32+CB33+CB35+CB36+CB37+CB38+CB39+CB40+CB41+CB43+CB44+CB45+CB46)/T2),0)</f>
        <v/>
      </c>
      <c r="CL46" s="5">
        <f>IFERROR(ROUND(CB46/CD46,2),0)</f>
        <v/>
      </c>
      <c r="CM46" s="5">
        <f>IFERROR(ROUND(CB46/CE46,2),0)</f>
        <v/>
      </c>
      <c r="CN46" s="2" t="inlineStr">
        <is>
          <t>2023-10-21</t>
        </is>
      </c>
      <c r="CO46" s="5">
        <f>ROUND(1.64,2)</f>
        <v/>
      </c>
      <c r="CP46" s="3">
        <f>ROUND(4480.0,2)</f>
        <v/>
      </c>
      <c r="CQ46" s="3">
        <f>ROUND(26.0,2)</f>
        <v/>
      </c>
      <c r="CR46" s="3">
        <f>ROUND(0.0,2)</f>
        <v/>
      </c>
      <c r="CS46" s="3">
        <f>ROUND(0.0,2)</f>
        <v/>
      </c>
      <c r="CT46" s="3">
        <f>ROUND(0.0,2)</f>
        <v/>
      </c>
      <c r="CU46" s="3">
        <f>ROUND(0.0,2)</f>
        <v/>
      </c>
      <c r="CV46" s="3">
        <f>ROUND(0.0,2)</f>
        <v/>
      </c>
      <c r="CW46" s="4">
        <f>IFERROR((CQ46/CP46),0)</f>
        <v/>
      </c>
      <c r="CX46" s="4">
        <f>IFERROR(((0+CO11+CO12+CO13+CO14+CO15+CO16+CO17+CO19+CO20+CO21+CO22+CO23+CO24+CO25+CO27+CO28+CO29+CO30+CO31+CO32+CO33+CO35+CO36+CO37+CO38+CO39+CO40+CO41+CO43+CO44+CO45+CO46)/T2),0)</f>
        <v/>
      </c>
      <c r="CY46" s="5">
        <f>IFERROR(ROUND(CO46/CQ46,2),0)</f>
        <v/>
      </c>
      <c r="CZ46" s="5">
        <f>IFERROR(ROUND(CO46/CR46,2),0)</f>
        <v/>
      </c>
      <c r="DA46" s="2" t="inlineStr">
        <is>
          <t>2023-10-21</t>
        </is>
      </c>
      <c r="DB46" s="5">
        <f>ROUND(0.64,2)</f>
        <v/>
      </c>
      <c r="DC46" s="3">
        <f>ROUND(1380.0,2)</f>
        <v/>
      </c>
      <c r="DD46" s="3">
        <f>ROUND(10.0,2)</f>
        <v/>
      </c>
      <c r="DE46" s="3">
        <f>ROUND(0.0,2)</f>
        <v/>
      </c>
      <c r="DF46" s="3">
        <f>ROUND(0.0,2)</f>
        <v/>
      </c>
      <c r="DG46" s="3">
        <f>ROUND(0.0,2)</f>
        <v/>
      </c>
      <c r="DH46" s="3">
        <f>ROUND(0.0,2)</f>
        <v/>
      </c>
      <c r="DI46" s="3">
        <f>ROUND(0.0,2)</f>
        <v/>
      </c>
      <c r="DJ46" s="4">
        <f>IFERROR((DD46/DC46),0)</f>
        <v/>
      </c>
      <c r="DK46" s="4">
        <f>IFERROR(((0+DB11+DB12+DB13+DB14+DB15+DB16+DB17+DB19+DB20+DB21+DB22+DB23+DB24+DB25+DB27+DB28+DB29+DB30+DB31+DB32+DB33+DB35+DB36+DB37+DB38+DB39+DB40+DB41+DB43+DB44+DB45+DB46)/T2),0)</f>
        <v/>
      </c>
      <c r="DL46" s="5">
        <f>IFERROR(ROUND(DB46/DD46,2),0)</f>
        <v/>
      </c>
      <c r="DM46" s="5">
        <f>IFERROR(ROUND(DB46/DE46,2),0)</f>
        <v/>
      </c>
      <c r="DN46" s="2" t="inlineStr">
        <is>
          <t>2023-10-21</t>
        </is>
      </c>
      <c r="DO46" s="5">
        <f>ROUND(1.22,2)</f>
        <v/>
      </c>
      <c r="DP46" s="3">
        <f>ROUND(3812.0,2)</f>
        <v/>
      </c>
      <c r="DQ46" s="3">
        <f>ROUND(31.0,2)</f>
        <v/>
      </c>
      <c r="DR46" s="3">
        <f>ROUND(0.0,2)</f>
        <v/>
      </c>
      <c r="DS46" s="3">
        <f>ROUND(0.0,2)</f>
        <v/>
      </c>
      <c r="DT46" s="3">
        <f>ROUND(0.0,2)</f>
        <v/>
      </c>
      <c r="DU46" s="3">
        <f>ROUND(0.0,2)</f>
        <v/>
      </c>
      <c r="DV46" s="3">
        <f>ROUND(0.0,2)</f>
        <v/>
      </c>
      <c r="DW46" s="4">
        <f>IFERROR((DQ46/DP46),0)</f>
        <v/>
      </c>
      <c r="DX46" s="4">
        <f>IFERROR(((0+DO11+DO12+DO13+DO14+DO15+DO16+DO17+DO19+DO20+DO21+DO22+DO23+DO24+DO25+DO27+DO28+DO29+DO30+DO31+DO32+DO33+DO35+DO36+DO37+DO38+DO39+DO40+DO41+DO43+DO44+DO45+DO46)/T2),0)</f>
        <v/>
      </c>
      <c r="DY46" s="5">
        <f>IFERROR(ROUND(DO46/DQ46,2),0)</f>
        <v/>
      </c>
      <c r="DZ46" s="5">
        <f>IFERROR(ROUND(DO46/DR46,2),0)</f>
        <v/>
      </c>
      <c r="EA46" s="2" t="inlineStr">
        <is>
          <t>2023-10-21</t>
        </is>
      </c>
      <c r="EB46" s="5">
        <f>ROUND(0.38,2)</f>
        <v/>
      </c>
      <c r="EC46" s="3">
        <f>ROUND(1169.0,2)</f>
        <v/>
      </c>
      <c r="ED46" s="3">
        <f>ROUND(3.0,2)</f>
        <v/>
      </c>
      <c r="EE46" s="3">
        <f>ROUND(0.0,2)</f>
        <v/>
      </c>
      <c r="EF46" s="3">
        <f>ROUND(0.0,2)</f>
        <v/>
      </c>
      <c r="EG46" s="3">
        <f>ROUND(0.0,2)</f>
        <v/>
      </c>
      <c r="EH46" s="3">
        <f>ROUND(0.0,2)</f>
        <v/>
      </c>
      <c r="EI46" s="3">
        <f>ROUND(0.0,2)</f>
        <v/>
      </c>
      <c r="EJ46" s="4">
        <f>IFERROR((ED46/EC46),0)</f>
        <v/>
      </c>
      <c r="EK46" s="4">
        <f>IFERROR(((0+EB11+EB12+EB13+EB14+EB15+EB16+EB17+EB19+EB20+EB21+EB22+EB23+EB24+EB25+EB27+EB28+EB29+EB30+EB31+EB32+EB33+EB35+EB36+EB37+EB38+EB39+EB40+EB41+EB43+EB44+EB45+EB46)/T2),0)</f>
        <v/>
      </c>
      <c r="EL46" s="5">
        <f>IFERROR(ROUND(EB46/ED46,2),0)</f>
        <v/>
      </c>
      <c r="EM46" s="5">
        <f>IFERROR(ROUND(EB46/EE46,2),0)</f>
        <v/>
      </c>
    </row>
    <row r="47">
      <c r="A47" s="2" t="inlineStr">
        <is>
          <t>2023-10-22</t>
        </is>
      </c>
      <c r="B47" s="5">
        <f>ROUND(125.31,2)</f>
        <v/>
      </c>
      <c r="C47" s="3">
        <f>ROUND(257612.0,2)</f>
        <v/>
      </c>
      <c r="D47" s="3">
        <f>ROUND(28068.0,2)</f>
        <v/>
      </c>
      <c r="E47" s="3">
        <f>ROUND(17508.0,2)</f>
        <v/>
      </c>
      <c r="F47" s="3">
        <f>ROUND(15120.0,2)</f>
        <v/>
      </c>
      <c r="G47" s="3">
        <f>ROUND(11438.0,2)</f>
        <v/>
      </c>
      <c r="H47" s="3">
        <f>ROUND(9654.0,2)</f>
        <v/>
      </c>
      <c r="I47" s="3">
        <f>ROUND(8229.0,2)</f>
        <v/>
      </c>
      <c r="J47" s="4">
        <f>IFERROR((D47/C47),0)</f>
        <v/>
      </c>
      <c r="K47" s="4">
        <f>IFERROR(((0+B11+B12+B13+B14+B15+B16+B17+B19+B20+B21+B22+B23+B24+B25+B27+B28+B29+B30+B31+B32+B33+B35+B36+B37+B38+B39+B40+B41+B43+B44+B45+B46+B47)/T2),0)</f>
        <v/>
      </c>
      <c r="L47" s="5">
        <f>IFERROR(ROUND(B47/D47,2),0)</f>
        <v/>
      </c>
      <c r="M47" s="5">
        <f>IFERROR(ROUND(B47/E47,2),0)</f>
        <v/>
      </c>
      <c r="N47" s="2" t="inlineStr">
        <is>
          <t>2023-10-22</t>
        </is>
      </c>
      <c r="O47" s="5">
        <f>ROUND(14.209999999999999,2)</f>
        <v/>
      </c>
      <c r="P47" s="3">
        <f>ROUND(30941.0,2)</f>
        <v/>
      </c>
      <c r="Q47" s="3">
        <f>ROUND(3122.0,2)</f>
        <v/>
      </c>
      <c r="R47" s="3">
        <f>ROUND(1911.0,2)</f>
        <v/>
      </c>
      <c r="S47" s="3">
        <f>ROUND(1705.0,2)</f>
        <v/>
      </c>
      <c r="T47" s="3">
        <f>ROUND(1295.0,2)</f>
        <v/>
      </c>
      <c r="U47" s="3">
        <f>ROUND(1058.0,2)</f>
        <v/>
      </c>
      <c r="V47" s="3">
        <f>ROUND(948.0,2)</f>
        <v/>
      </c>
      <c r="W47" s="4">
        <f>IFERROR((Q47/P47),0)</f>
        <v/>
      </c>
      <c r="X47" s="4">
        <f>IFERROR(((0+O11+O12+O13+O14+O15+O16+O17+O19+O20+O21+O22+O23+O24+O25+O27+O28+O29+O30+O31+O32+O33+O35+O36+O37+O38+O39+O40+O41+O43+O44+O45+O46+O47)/T2),0)</f>
        <v/>
      </c>
      <c r="Y47" s="5">
        <f>IFERROR(ROUND(O47/Q47,2),0)</f>
        <v/>
      </c>
      <c r="Z47" s="5">
        <f>IFERROR(ROUND(O47/R47,2),0)</f>
        <v/>
      </c>
      <c r="AA47" s="2" t="inlineStr">
        <is>
          <t>2023-10-22</t>
        </is>
      </c>
      <c r="AB47" s="5">
        <f>ROUND(52.449999999999996,2)</f>
        <v/>
      </c>
      <c r="AC47" s="3">
        <f>ROUND(92933.0,2)</f>
        <v/>
      </c>
      <c r="AD47" s="3">
        <f>ROUND(13543.0,2)</f>
        <v/>
      </c>
      <c r="AE47" s="3">
        <f>ROUND(7784.0,2)</f>
        <v/>
      </c>
      <c r="AF47" s="3">
        <f>ROUND(6767.0,2)</f>
        <v/>
      </c>
      <c r="AG47" s="3">
        <f>ROUND(5248.0,2)</f>
        <v/>
      </c>
      <c r="AH47" s="3">
        <f>ROUND(4460.0,2)</f>
        <v/>
      </c>
      <c r="AI47" s="3">
        <f>ROUND(3800.0,2)</f>
        <v/>
      </c>
      <c r="AJ47" s="4">
        <f>IFERROR((AD47/AC47),0)</f>
        <v/>
      </c>
      <c r="AK47" s="4">
        <f>IFERROR(((0+AB11+AB12+AB13+AB14+AB15+AB16+AB17+AB19+AB20+AB21+AB22+AB23+AB24+AB25+AB27+AB28+AB29+AB30+AB31+AB32+AB33+AB35+AB36+AB37+AB38+AB39+AB40+AB41+AB43+AB44+AB45+AB46+AB47)/T2),0)</f>
        <v/>
      </c>
      <c r="AL47" s="5">
        <f>IFERROR(ROUND(AB47/AD47,2),0)</f>
        <v/>
      </c>
      <c r="AM47" s="5">
        <f>IFERROR(ROUND(AB47/AE47,2),0)</f>
        <v/>
      </c>
      <c r="AN47" s="2" t="inlineStr">
        <is>
          <t>2023-10-22</t>
        </is>
      </c>
      <c r="AO47" s="5">
        <f>ROUND(18.46,2)</f>
        <v/>
      </c>
      <c r="AP47" s="3">
        <f>ROUND(35463.0,2)</f>
        <v/>
      </c>
      <c r="AQ47" s="3">
        <f>ROUND(3519.0,2)</f>
        <v/>
      </c>
      <c r="AR47" s="3">
        <f>ROUND(2450.0,2)</f>
        <v/>
      </c>
      <c r="AS47" s="3">
        <f>ROUND(1988.0,2)</f>
        <v/>
      </c>
      <c r="AT47" s="3">
        <f>ROUND(1477.0,2)</f>
        <v/>
      </c>
      <c r="AU47" s="3">
        <f>ROUND(1232.0,2)</f>
        <v/>
      </c>
      <c r="AV47" s="3">
        <f>ROUND(1002.0,2)</f>
        <v/>
      </c>
      <c r="AW47" s="4">
        <f>IFERROR((AQ47/AP47),0)</f>
        <v/>
      </c>
      <c r="AX47" s="4">
        <f>IFERROR(((0+AO11+AO12+AO13+AO14+AO15+AO16+AO17+AO19+AO20+AO21+AO22+AO23+AO24+AO25+AO27+AO28+AO29+AO30+AO31+AO32+AO33+AO35+AO36+AO37+AO38+AO39+AO40+AO41+AO43+AO44+AO45+AO46+AO47)/T2),0)</f>
        <v/>
      </c>
      <c r="AY47" s="5">
        <f>IFERROR(ROUND(AO47/AQ47,2),0)</f>
        <v/>
      </c>
      <c r="AZ47" s="5">
        <f>IFERROR(ROUND(AO47/AR47,2),0)</f>
        <v/>
      </c>
      <c r="BA47" s="2" t="inlineStr">
        <is>
          <t>2023-10-22</t>
        </is>
      </c>
      <c r="BB47" s="5">
        <f>ROUND(33.96,2)</f>
        <v/>
      </c>
      <c r="BC47" s="3">
        <f>ROUND(78752.0,2)</f>
        <v/>
      </c>
      <c r="BD47" s="3">
        <f>ROUND(7817.0,2)</f>
        <v/>
      </c>
      <c r="BE47" s="3">
        <f>ROUND(5363.0,2)</f>
        <v/>
      </c>
      <c r="BF47" s="3">
        <f>ROUND(4660.0,2)</f>
        <v/>
      </c>
      <c r="BG47" s="3">
        <f>ROUND(3418.0,2)</f>
        <v/>
      </c>
      <c r="BH47" s="3">
        <f>ROUND(2904.0,2)</f>
        <v/>
      </c>
      <c r="BI47" s="3">
        <f>ROUND(2479.0,2)</f>
        <v/>
      </c>
      <c r="BJ47" s="4">
        <f>IFERROR((BD47/BC47),0)</f>
        <v/>
      </c>
      <c r="BK47" s="4">
        <f>IFERROR(((0+BB11+BB12+BB13+BB14+BB15+BB16+BB17+BB19+BB20+BB21+BB22+BB23+BB24+BB25+BB27+BB28+BB29+BB30+BB31+BB32+BB33+BB35+BB36+BB37+BB38+BB39+BB40+BB41+BB43+BB44+BB45+BB46+BB47)/T2),0)</f>
        <v/>
      </c>
      <c r="BL47" s="5">
        <f>IFERROR(ROUND(BB47/BD47,2),0)</f>
        <v/>
      </c>
      <c r="BM47" s="5">
        <f>IFERROR(ROUND(BB47/BE47,2),0)</f>
        <v/>
      </c>
      <c r="BN47" s="2" t="inlineStr">
        <is>
          <t>2023-10-22</t>
        </is>
      </c>
      <c r="BO47" s="5">
        <f>ROUND(0.92,2)</f>
        <v/>
      </c>
      <c r="BP47" s="3">
        <f>ROUND(2828.0,2)</f>
        <v/>
      </c>
      <c r="BQ47" s="3">
        <f>ROUND(8.0,2)</f>
        <v/>
      </c>
      <c r="BR47" s="3">
        <f>ROUND(0.0,2)</f>
        <v/>
      </c>
      <c r="BS47" s="3">
        <f>ROUND(0.0,2)</f>
        <v/>
      </c>
      <c r="BT47" s="3">
        <f>ROUND(0.0,2)</f>
        <v/>
      </c>
      <c r="BU47" s="3">
        <f>ROUND(0.0,2)</f>
        <v/>
      </c>
      <c r="BV47" s="3">
        <f>ROUND(0.0,2)</f>
        <v/>
      </c>
      <c r="BW47" s="4">
        <f>IFERROR((BQ47/BP47),0)</f>
        <v/>
      </c>
      <c r="BX47" s="4">
        <f>IFERROR(((0+BO11+BO12+BO13+BO14+BO15+BO16+BO17+BO19+BO20+BO21+BO22+BO23+BO24+BO25+BO27+BO28+BO29+BO30+BO31+BO32+BO33+BO35+BO36+BO37+BO38+BO39+BO40+BO41+BO43+BO44+BO45+BO46+BO47)/T2),0)</f>
        <v/>
      </c>
      <c r="BY47" s="5">
        <f>IFERROR(ROUND(BO47/BQ47,2),0)</f>
        <v/>
      </c>
      <c r="BZ47" s="5">
        <f>IFERROR(ROUND(BO47/BR47,2),0)</f>
        <v/>
      </c>
      <c r="CA47" s="2" t="inlineStr">
        <is>
          <t>2023-10-22</t>
        </is>
      </c>
      <c r="CB47" s="5">
        <f>ROUND(1.44,2)</f>
        <v/>
      </c>
      <c r="CC47" s="3">
        <f>ROUND(4686.0,2)</f>
        <v/>
      </c>
      <c r="CD47" s="3">
        <f>ROUND(10.0,2)</f>
        <v/>
      </c>
      <c r="CE47" s="3">
        <f>ROUND(0.0,2)</f>
        <v/>
      </c>
      <c r="CF47" s="3">
        <f>ROUND(0.0,2)</f>
        <v/>
      </c>
      <c r="CG47" s="3">
        <f>ROUND(0.0,2)</f>
        <v/>
      </c>
      <c r="CH47" s="3">
        <f>ROUND(0.0,2)</f>
        <v/>
      </c>
      <c r="CI47" s="3">
        <f>ROUND(0.0,2)</f>
        <v/>
      </c>
      <c r="CJ47" s="4">
        <f>IFERROR((CD47/CC47),0)</f>
        <v/>
      </c>
      <c r="CK47" s="4">
        <f>IFERROR(((0+CB11+CB12+CB13+CB14+CB15+CB16+CB17+CB19+CB20+CB21+CB22+CB23+CB24+CB25+CB27+CB28+CB29+CB30+CB31+CB32+CB33+CB35+CB36+CB37+CB38+CB39+CB40+CB41+CB43+CB44+CB45+CB46+CB47)/T2),0)</f>
        <v/>
      </c>
      <c r="CL47" s="5">
        <f>IFERROR(ROUND(CB47/CD47,2),0)</f>
        <v/>
      </c>
      <c r="CM47" s="5">
        <f>IFERROR(ROUND(CB47/CE47,2),0)</f>
        <v/>
      </c>
      <c r="CN47" s="2" t="inlineStr">
        <is>
          <t>2023-10-22</t>
        </is>
      </c>
      <c r="CO47" s="5">
        <f>ROUND(1.4,2)</f>
        <v/>
      </c>
      <c r="CP47" s="3">
        <f>ROUND(4394.0,2)</f>
        <v/>
      </c>
      <c r="CQ47" s="3">
        <f>ROUND(10.0,2)</f>
        <v/>
      </c>
      <c r="CR47" s="3">
        <f>ROUND(0.0,2)</f>
        <v/>
      </c>
      <c r="CS47" s="3">
        <f>ROUND(0.0,2)</f>
        <v/>
      </c>
      <c r="CT47" s="3">
        <f>ROUND(0.0,2)</f>
        <v/>
      </c>
      <c r="CU47" s="3">
        <f>ROUND(0.0,2)</f>
        <v/>
      </c>
      <c r="CV47" s="3">
        <f>ROUND(0.0,2)</f>
        <v/>
      </c>
      <c r="CW47" s="4">
        <f>IFERROR((CQ47/CP47),0)</f>
        <v/>
      </c>
      <c r="CX47" s="4">
        <f>IFERROR(((0+CO11+CO12+CO13+CO14+CO15+CO16+CO17+CO19+CO20+CO21+CO22+CO23+CO24+CO25+CO27+CO28+CO29+CO30+CO31+CO32+CO33+CO35+CO36+CO37+CO38+CO39+CO40+CO41+CO43+CO44+CO45+CO46+CO47)/T2),0)</f>
        <v/>
      </c>
      <c r="CY47" s="5">
        <f>IFERROR(ROUND(CO47/CQ47,2),0)</f>
        <v/>
      </c>
      <c r="CZ47" s="5">
        <f>IFERROR(ROUND(CO47/CR47,2),0)</f>
        <v/>
      </c>
      <c r="DA47" s="2" t="inlineStr">
        <is>
          <t>2023-10-22</t>
        </is>
      </c>
      <c r="DB47" s="5">
        <f>ROUND(0.57,2)</f>
        <v/>
      </c>
      <c r="DC47" s="3">
        <f>ROUND(1435.0,2)</f>
        <v/>
      </c>
      <c r="DD47" s="3">
        <f>ROUND(5.0,2)</f>
        <v/>
      </c>
      <c r="DE47" s="3">
        <f>ROUND(0.0,2)</f>
        <v/>
      </c>
      <c r="DF47" s="3">
        <f>ROUND(0.0,2)</f>
        <v/>
      </c>
      <c r="DG47" s="3">
        <f>ROUND(0.0,2)</f>
        <v/>
      </c>
      <c r="DH47" s="3">
        <f>ROUND(0.0,2)</f>
        <v/>
      </c>
      <c r="DI47" s="3">
        <f>ROUND(0.0,2)</f>
        <v/>
      </c>
      <c r="DJ47" s="4">
        <f>IFERROR((DD47/DC47),0)</f>
        <v/>
      </c>
      <c r="DK47" s="4">
        <f>IFERROR(((0+DB11+DB12+DB13+DB14+DB15+DB16+DB17+DB19+DB20+DB21+DB22+DB23+DB24+DB25+DB27+DB28+DB29+DB30+DB31+DB32+DB33+DB35+DB36+DB37+DB38+DB39+DB40+DB41+DB43+DB44+DB45+DB46+DB47)/T2),0)</f>
        <v/>
      </c>
      <c r="DL47" s="5">
        <f>IFERROR(ROUND(DB47/DD47,2),0)</f>
        <v/>
      </c>
      <c r="DM47" s="5">
        <f>IFERROR(ROUND(DB47/DE47,2),0)</f>
        <v/>
      </c>
      <c r="DN47" s="2" t="inlineStr">
        <is>
          <t>2023-10-22</t>
        </is>
      </c>
      <c r="DO47" s="5">
        <f>ROUND(1.4,2)</f>
        <v/>
      </c>
      <c r="DP47" s="3">
        <f>ROUND(4663.0,2)</f>
        <v/>
      </c>
      <c r="DQ47" s="3">
        <f>ROUND(24.0,2)</f>
        <v/>
      </c>
      <c r="DR47" s="3">
        <f>ROUND(0.0,2)</f>
        <v/>
      </c>
      <c r="DS47" s="3">
        <f>ROUND(0.0,2)</f>
        <v/>
      </c>
      <c r="DT47" s="3">
        <f>ROUND(0.0,2)</f>
        <v/>
      </c>
      <c r="DU47" s="3">
        <f>ROUND(0.0,2)</f>
        <v/>
      </c>
      <c r="DV47" s="3">
        <f>ROUND(0.0,2)</f>
        <v/>
      </c>
      <c r="DW47" s="4">
        <f>IFERROR((DQ47/DP47),0)</f>
        <v/>
      </c>
      <c r="DX47" s="4">
        <f>IFERROR(((0+DO11+DO12+DO13+DO14+DO15+DO16+DO17+DO19+DO20+DO21+DO22+DO23+DO24+DO25+DO27+DO28+DO29+DO30+DO31+DO32+DO33+DO35+DO36+DO37+DO38+DO39+DO40+DO41+DO43+DO44+DO45+DO46+DO47)/T2),0)</f>
        <v/>
      </c>
      <c r="DY47" s="5">
        <f>IFERROR(ROUND(DO47/DQ47,2),0)</f>
        <v/>
      </c>
      <c r="DZ47" s="5">
        <f>IFERROR(ROUND(DO47/DR47,2),0)</f>
        <v/>
      </c>
      <c r="EA47" s="2" t="inlineStr">
        <is>
          <t>2023-10-22</t>
        </is>
      </c>
      <c r="EB47" s="5">
        <f>ROUND(0.5,2)</f>
        <v/>
      </c>
      <c r="EC47" s="3">
        <f>ROUND(1517.0,2)</f>
        <v/>
      </c>
      <c r="ED47" s="3">
        <f>ROUND(10.0,2)</f>
        <v/>
      </c>
      <c r="EE47" s="3">
        <f>ROUND(0.0,2)</f>
        <v/>
      </c>
      <c r="EF47" s="3">
        <f>ROUND(0.0,2)</f>
        <v/>
      </c>
      <c r="EG47" s="3">
        <f>ROUND(0.0,2)</f>
        <v/>
      </c>
      <c r="EH47" s="3">
        <f>ROUND(0.0,2)</f>
        <v/>
      </c>
      <c r="EI47" s="3">
        <f>ROUND(0.0,2)</f>
        <v/>
      </c>
      <c r="EJ47" s="4">
        <f>IFERROR((ED47/EC47),0)</f>
        <v/>
      </c>
      <c r="EK47" s="4">
        <f>IFERROR(((0+EB11+EB12+EB13+EB14+EB15+EB16+EB17+EB19+EB20+EB21+EB22+EB23+EB24+EB25+EB27+EB28+EB29+EB30+EB31+EB32+EB33+EB35+EB36+EB37+EB38+EB39+EB40+EB41+EB43+EB44+EB45+EB46+EB47)/T2),0)</f>
        <v/>
      </c>
      <c r="EL47" s="5">
        <f>IFERROR(ROUND(EB47/ED47,2),0)</f>
        <v/>
      </c>
      <c r="EM47" s="5">
        <f>IFERROR(ROUND(EB47/EE47,2),0)</f>
        <v/>
      </c>
    </row>
    <row r="48">
      <c r="A48" s="2" t="inlineStr">
        <is>
          <t>2023-10-23</t>
        </is>
      </c>
      <c r="B48" s="5">
        <f>ROUND(116.5,2)</f>
        <v/>
      </c>
      <c r="C48" s="3">
        <f>ROUND(222341.0,2)</f>
        <v/>
      </c>
      <c r="D48" s="3">
        <f>ROUND(27548.0,2)</f>
        <v/>
      </c>
      <c r="E48" s="3">
        <f>ROUND(16688.0,2)</f>
        <v/>
      </c>
      <c r="F48" s="3">
        <f>ROUND(14656.0,2)</f>
        <v/>
      </c>
      <c r="G48" s="3">
        <f>ROUND(11236.0,2)</f>
        <v/>
      </c>
      <c r="H48" s="3">
        <f>ROUND(9481.0,2)</f>
        <v/>
      </c>
      <c r="I48" s="3">
        <f>ROUND(8211.0,2)</f>
        <v/>
      </c>
      <c r="J48" s="4">
        <f>IFERROR((D48/C48),0)</f>
        <v/>
      </c>
      <c r="K48" s="4">
        <f>IFERROR(((0+B11+B12+B13+B14+B15+B16+B17+B19+B20+B21+B22+B23+B24+B25+B27+B28+B29+B30+B31+B32+B33+B35+B36+B37+B38+B39+B40+B41+B43+B44+B45+B46+B47+B48)/T2),0)</f>
        <v/>
      </c>
      <c r="L48" s="5">
        <f>IFERROR(ROUND(B48/D48,2),0)</f>
        <v/>
      </c>
      <c r="M48" s="5">
        <f>IFERROR(ROUND(B48/E48,2),0)</f>
        <v/>
      </c>
      <c r="N48" s="2" t="inlineStr">
        <is>
          <t>2023-10-23</t>
        </is>
      </c>
      <c r="O48" s="5">
        <f>ROUND(49.43000000000001,2)</f>
        <v/>
      </c>
      <c r="P48" s="3">
        <f>ROUND(95195.0,2)</f>
        <v/>
      </c>
      <c r="Q48" s="3">
        <f>ROUND(12865.0,2)</f>
        <v/>
      </c>
      <c r="R48" s="3">
        <f>ROUND(7407.0,2)</f>
        <v/>
      </c>
      <c r="S48" s="3">
        <f>ROUND(6762.0,2)</f>
        <v/>
      </c>
      <c r="T48" s="3">
        <f>ROUND(5258.0,2)</f>
        <v/>
      </c>
      <c r="U48" s="3">
        <f>ROUND(4396.0,2)</f>
        <v/>
      </c>
      <c r="V48" s="3">
        <f>ROUND(3986.0,2)</f>
        <v/>
      </c>
      <c r="W48" s="4">
        <f>IFERROR((Q48/P48),0)</f>
        <v/>
      </c>
      <c r="X48" s="4">
        <f>IFERROR(((0+O11+O12+O13+O14+O15+O16+O17+O19+O20+O21+O22+O23+O24+O25+O27+O28+O29+O30+O31+O32+O33+O35+O36+O37+O38+O39+O40+O41+O43+O44+O45+O46+O47+O48)/T2),0)</f>
        <v/>
      </c>
      <c r="Y48" s="5">
        <f>IFERROR(ROUND(O48/Q48,2),0)</f>
        <v/>
      </c>
      <c r="Z48" s="5">
        <f>IFERROR(ROUND(O48/R48,2),0)</f>
        <v/>
      </c>
      <c r="AA48" s="2" t="inlineStr">
        <is>
          <t>2023-10-23</t>
        </is>
      </c>
      <c r="AB48" s="5">
        <f>ROUND(41.129999999999995,2)</f>
        <v/>
      </c>
      <c r="AC48" s="3">
        <f>ROUND(71242.0,2)</f>
        <v/>
      </c>
      <c r="AD48" s="3">
        <f>ROUND(10870.0,2)</f>
        <v/>
      </c>
      <c r="AE48" s="3">
        <f>ROUND(6335.0,2)</f>
        <v/>
      </c>
      <c r="AF48" s="3">
        <f>ROUND(5473.0,2)</f>
        <v/>
      </c>
      <c r="AG48" s="3">
        <f>ROUND(4207.0,2)</f>
        <v/>
      </c>
      <c r="AH48" s="3">
        <f>ROUND(3607.0,2)</f>
        <v/>
      </c>
      <c r="AI48" s="3">
        <f>ROUND(3045.0,2)</f>
        <v/>
      </c>
      <c r="AJ48" s="4">
        <f>IFERROR((AD48/AC48),0)</f>
        <v/>
      </c>
      <c r="AK48" s="4">
        <f>IFERROR(((0+AB11+AB12+AB13+AB14+AB15+AB16+AB17+AB19+AB20+AB21+AB22+AB23+AB24+AB25+AB27+AB28+AB29+AB30+AB31+AB32+AB33+AB35+AB36+AB37+AB38+AB39+AB40+AB41+AB43+AB44+AB45+AB46+AB47+AB48)/T2),0)</f>
        <v/>
      </c>
      <c r="AL48" s="5">
        <f>IFERROR(ROUND(AB48/AD48,2),0)</f>
        <v/>
      </c>
      <c r="AM48" s="5">
        <f>IFERROR(ROUND(AB48/AE48,2),0)</f>
        <v/>
      </c>
      <c r="AN48" s="2" t="inlineStr">
        <is>
          <t>2023-10-23</t>
        </is>
      </c>
      <c r="AO48" s="5">
        <f>ROUND(12.9,2)</f>
        <v/>
      </c>
      <c r="AP48" s="3">
        <f>ROUND(22322.0,2)</f>
        <v/>
      </c>
      <c r="AQ48" s="3">
        <f>ROUND(2240.0,2)</f>
        <v/>
      </c>
      <c r="AR48" s="3">
        <f>ROUND(1612.0,2)</f>
        <v/>
      </c>
      <c r="AS48" s="3">
        <f>ROUND(1322.0,2)</f>
        <v/>
      </c>
      <c r="AT48" s="3">
        <f>ROUND(984.0,2)</f>
        <v/>
      </c>
      <c r="AU48" s="3">
        <f>ROUND(837.0,2)</f>
        <v/>
      </c>
      <c r="AV48" s="3">
        <f>ROUND(680.0,2)</f>
        <v/>
      </c>
      <c r="AW48" s="4">
        <f>IFERROR((AQ48/AP48),0)</f>
        <v/>
      </c>
      <c r="AX48" s="4">
        <f>IFERROR(((0+AO11+AO12+AO13+AO14+AO15+AO16+AO17+AO19+AO20+AO21+AO22+AO23+AO24+AO25+AO27+AO28+AO29+AO30+AO31+AO32+AO33+AO35+AO36+AO37+AO38+AO39+AO40+AO41+AO43+AO44+AO45+AO46+AO47+AO48)/T2),0)</f>
        <v/>
      </c>
      <c r="AY48" s="5">
        <f>IFERROR(ROUND(AO48/AQ48,2),0)</f>
        <v/>
      </c>
      <c r="AZ48" s="5">
        <f>IFERROR(ROUND(AO48/AR48,2),0)</f>
        <v/>
      </c>
      <c r="BA48" s="2" t="inlineStr">
        <is>
          <t>2023-10-23</t>
        </is>
      </c>
      <c r="BB48" s="5">
        <f>ROUND(8.46,2)</f>
        <v/>
      </c>
      <c r="BC48" s="3">
        <f>ROUND(20112.0,2)</f>
        <v/>
      </c>
      <c r="BD48" s="3">
        <f>ROUND(1521.0,2)</f>
        <v/>
      </c>
      <c r="BE48" s="3">
        <f>ROUND(1334.0,2)</f>
        <v/>
      </c>
      <c r="BF48" s="3">
        <f>ROUND(1099.0,2)</f>
        <v/>
      </c>
      <c r="BG48" s="3">
        <f>ROUND(787.0,2)</f>
        <v/>
      </c>
      <c r="BH48" s="3">
        <f>ROUND(641.0,2)</f>
        <v/>
      </c>
      <c r="BI48" s="3">
        <f>ROUND(500.0,2)</f>
        <v/>
      </c>
      <c r="BJ48" s="4">
        <f>IFERROR((BD48/BC48),0)</f>
        <v/>
      </c>
      <c r="BK48" s="4">
        <f>IFERROR(((0+BB11+BB12+BB13+BB14+BB15+BB16+BB17+BB19+BB20+BB21+BB22+BB23+BB24+BB25+BB27+BB28+BB29+BB30+BB31+BB32+BB33+BB35+BB36+BB37+BB38+BB39+BB40+BB41+BB43+BB44+BB45+BB46+BB47+BB48)/T2),0)</f>
        <v/>
      </c>
      <c r="BL48" s="5">
        <f>IFERROR(ROUND(BB48/BD48,2),0)</f>
        <v/>
      </c>
      <c r="BM48" s="5">
        <f>IFERROR(ROUND(BB48/BE48,2),0)</f>
        <v/>
      </c>
      <c r="BN48" s="2" t="inlineStr">
        <is>
          <t>2023-10-23</t>
        </is>
      </c>
      <c r="BO48" s="5">
        <f>ROUND(0.69,2)</f>
        <v/>
      </c>
      <c r="BP48" s="3">
        <f>ROUND(2049.0,2)</f>
        <v/>
      </c>
      <c r="BQ48" s="3">
        <f>ROUND(6.0,2)</f>
        <v/>
      </c>
      <c r="BR48" s="3">
        <f>ROUND(0.0,2)</f>
        <v/>
      </c>
      <c r="BS48" s="3">
        <f>ROUND(0.0,2)</f>
        <v/>
      </c>
      <c r="BT48" s="3">
        <f>ROUND(0.0,2)</f>
        <v/>
      </c>
      <c r="BU48" s="3">
        <f>ROUND(0.0,2)</f>
        <v/>
      </c>
      <c r="BV48" s="3">
        <f>ROUND(0.0,2)</f>
        <v/>
      </c>
      <c r="BW48" s="4">
        <f>IFERROR((BQ48/BP48),0)</f>
        <v/>
      </c>
      <c r="BX48" s="4">
        <f>IFERROR(((0+BO11+BO12+BO13+BO14+BO15+BO16+BO17+BO19+BO20+BO21+BO22+BO23+BO24+BO25+BO27+BO28+BO29+BO30+BO31+BO32+BO33+BO35+BO36+BO37+BO38+BO39+BO40+BO41+BO43+BO44+BO45+BO46+BO47+BO48)/T2),0)</f>
        <v/>
      </c>
      <c r="BY48" s="5">
        <f>IFERROR(ROUND(BO48/BQ48,2),0)</f>
        <v/>
      </c>
      <c r="BZ48" s="5">
        <f>IFERROR(ROUND(BO48/BR48,2),0)</f>
        <v/>
      </c>
      <c r="CA48" s="2" t="inlineStr">
        <is>
          <t>2023-10-23</t>
        </is>
      </c>
      <c r="CB48" s="5">
        <f>ROUND(1.04,2)</f>
        <v/>
      </c>
      <c r="CC48" s="3">
        <f>ROUND(3121.0,2)</f>
        <v/>
      </c>
      <c r="CD48" s="3">
        <f>ROUND(12.0,2)</f>
        <v/>
      </c>
      <c r="CE48" s="3">
        <f>ROUND(0.0,2)</f>
        <v/>
      </c>
      <c r="CF48" s="3">
        <f>ROUND(0.0,2)</f>
        <v/>
      </c>
      <c r="CG48" s="3">
        <f>ROUND(0.0,2)</f>
        <v/>
      </c>
      <c r="CH48" s="3">
        <f>ROUND(0.0,2)</f>
        <v/>
      </c>
      <c r="CI48" s="3">
        <f>ROUND(0.0,2)</f>
        <v/>
      </c>
      <c r="CJ48" s="4">
        <f>IFERROR((CD48/CC48),0)</f>
        <v/>
      </c>
      <c r="CK48" s="4">
        <f>IFERROR(((0+CB11+CB12+CB13+CB14+CB15+CB16+CB17+CB19+CB20+CB21+CB22+CB23+CB24+CB25+CB27+CB28+CB29+CB30+CB31+CB32+CB33+CB35+CB36+CB37+CB38+CB39+CB40+CB41+CB43+CB44+CB45+CB46+CB47+CB48)/T2),0)</f>
        <v/>
      </c>
      <c r="CL48" s="5">
        <f>IFERROR(ROUND(CB48/CD48,2),0)</f>
        <v/>
      </c>
      <c r="CM48" s="5">
        <f>IFERROR(ROUND(CB48/CE48,2),0)</f>
        <v/>
      </c>
      <c r="CN48" s="2" t="inlineStr">
        <is>
          <t>2023-10-23</t>
        </is>
      </c>
      <c r="CO48" s="5">
        <f>ROUND(1.09,2)</f>
        <v/>
      </c>
      <c r="CP48" s="3">
        <f>ROUND(2883.0,2)</f>
        <v/>
      </c>
      <c r="CQ48" s="3">
        <f>ROUND(12.0,2)</f>
        <v/>
      </c>
      <c r="CR48" s="3">
        <f>ROUND(0.0,2)</f>
        <v/>
      </c>
      <c r="CS48" s="3">
        <f>ROUND(0.0,2)</f>
        <v/>
      </c>
      <c r="CT48" s="3">
        <f>ROUND(0.0,2)</f>
        <v/>
      </c>
      <c r="CU48" s="3">
        <f>ROUND(0.0,2)</f>
        <v/>
      </c>
      <c r="CV48" s="3">
        <f>ROUND(0.0,2)</f>
        <v/>
      </c>
      <c r="CW48" s="4">
        <f>IFERROR((CQ48/CP48),0)</f>
        <v/>
      </c>
      <c r="CX48" s="4">
        <f>IFERROR(((0+CO11+CO12+CO13+CO14+CO15+CO16+CO17+CO19+CO20+CO21+CO22+CO23+CO24+CO25+CO27+CO28+CO29+CO30+CO31+CO32+CO33+CO35+CO36+CO37+CO38+CO39+CO40+CO41+CO43+CO44+CO45+CO46+CO47+CO48)/T2),0)</f>
        <v/>
      </c>
      <c r="CY48" s="5">
        <f>IFERROR(ROUND(CO48/CQ48,2),0)</f>
        <v/>
      </c>
      <c r="CZ48" s="5">
        <f>IFERROR(ROUND(CO48/CR48,2),0)</f>
        <v/>
      </c>
      <c r="DA48" s="2" t="inlineStr">
        <is>
          <t>2023-10-23</t>
        </is>
      </c>
      <c r="DB48" s="5">
        <f>ROUND(0.38,2)</f>
        <v/>
      </c>
      <c r="DC48" s="3">
        <f>ROUND(1102.0,2)</f>
        <v/>
      </c>
      <c r="DD48" s="3">
        <f>ROUND(4.0,2)</f>
        <v/>
      </c>
      <c r="DE48" s="3">
        <f>ROUND(0.0,2)</f>
        <v/>
      </c>
      <c r="DF48" s="3">
        <f>ROUND(0.0,2)</f>
        <v/>
      </c>
      <c r="DG48" s="3">
        <f>ROUND(0.0,2)</f>
        <v/>
      </c>
      <c r="DH48" s="3">
        <f>ROUND(0.0,2)</f>
        <v/>
      </c>
      <c r="DI48" s="3">
        <f>ROUND(0.0,2)</f>
        <v/>
      </c>
      <c r="DJ48" s="4">
        <f>IFERROR((DD48/DC48),0)</f>
        <v/>
      </c>
      <c r="DK48" s="4">
        <f>IFERROR(((0+DB11+DB12+DB13+DB14+DB15+DB16+DB17+DB19+DB20+DB21+DB22+DB23+DB24+DB25+DB27+DB28+DB29+DB30+DB31+DB32+DB33+DB35+DB36+DB37+DB38+DB39+DB40+DB41+DB43+DB44+DB45+DB46+DB47+DB48)/T2),0)</f>
        <v/>
      </c>
      <c r="DL48" s="5">
        <f>IFERROR(ROUND(DB48/DD48,2),0)</f>
        <v/>
      </c>
      <c r="DM48" s="5">
        <f>IFERROR(ROUND(DB48/DE48,2),0)</f>
        <v/>
      </c>
      <c r="DN48" s="2" t="inlineStr">
        <is>
          <t>2023-10-23</t>
        </is>
      </c>
      <c r="DO48" s="5">
        <f>ROUND(1.02,2)</f>
        <v/>
      </c>
      <c r="DP48" s="3">
        <f>ROUND(3038.0,2)</f>
        <v/>
      </c>
      <c r="DQ48" s="3">
        <f>ROUND(13.0,2)</f>
        <v/>
      </c>
      <c r="DR48" s="3">
        <f>ROUND(0.0,2)</f>
        <v/>
      </c>
      <c r="DS48" s="3">
        <f>ROUND(0.0,2)</f>
        <v/>
      </c>
      <c r="DT48" s="3">
        <f>ROUND(0.0,2)</f>
        <v/>
      </c>
      <c r="DU48" s="3">
        <f>ROUND(0.0,2)</f>
        <v/>
      </c>
      <c r="DV48" s="3">
        <f>ROUND(0.0,2)</f>
        <v/>
      </c>
      <c r="DW48" s="4">
        <f>IFERROR((DQ48/DP48),0)</f>
        <v/>
      </c>
      <c r="DX48" s="4">
        <f>IFERROR(((0+DO11+DO12+DO13+DO14+DO15+DO16+DO17+DO19+DO20+DO21+DO22+DO23+DO24+DO25+DO27+DO28+DO29+DO30+DO31+DO32+DO33+DO35+DO36+DO37+DO38+DO39+DO40+DO41+DO43+DO44+DO45+DO46+DO47+DO48)/T2),0)</f>
        <v/>
      </c>
      <c r="DY48" s="5">
        <f>IFERROR(ROUND(DO48/DQ48,2),0)</f>
        <v/>
      </c>
      <c r="DZ48" s="5">
        <f>IFERROR(ROUND(DO48/DR48,2),0)</f>
        <v/>
      </c>
      <c r="EA48" s="2" t="inlineStr">
        <is>
          <t>2023-10-23</t>
        </is>
      </c>
      <c r="EB48" s="5">
        <f>ROUND(0.36,2)</f>
        <v/>
      </c>
      <c r="EC48" s="3">
        <f>ROUND(1277.0,2)</f>
        <v/>
      </c>
      <c r="ED48" s="3">
        <f>ROUND(5.0,2)</f>
        <v/>
      </c>
      <c r="EE48" s="3">
        <f>ROUND(0.0,2)</f>
        <v/>
      </c>
      <c r="EF48" s="3">
        <f>ROUND(0.0,2)</f>
        <v/>
      </c>
      <c r="EG48" s="3">
        <f>ROUND(0.0,2)</f>
        <v/>
      </c>
      <c r="EH48" s="3">
        <f>ROUND(0.0,2)</f>
        <v/>
      </c>
      <c r="EI48" s="3">
        <f>ROUND(0.0,2)</f>
        <v/>
      </c>
      <c r="EJ48" s="4">
        <f>IFERROR((ED48/EC48),0)</f>
        <v/>
      </c>
      <c r="EK48" s="4">
        <f>IFERROR(((0+EB11+EB12+EB13+EB14+EB15+EB16+EB17+EB19+EB20+EB21+EB22+EB23+EB24+EB25+EB27+EB28+EB29+EB30+EB31+EB32+EB33+EB35+EB36+EB37+EB38+EB39+EB40+EB41+EB43+EB44+EB45+EB46+EB47+EB48)/T2),0)</f>
        <v/>
      </c>
      <c r="EL48" s="5">
        <f>IFERROR(ROUND(EB48/ED48,2),0)</f>
        <v/>
      </c>
      <c r="EM48" s="5">
        <f>IFERROR(ROUND(EB48/EE48,2),0)</f>
        <v/>
      </c>
    </row>
    <row r="49">
      <c r="A49" s="2" t="inlineStr">
        <is>
          <t>2023-10-24</t>
        </is>
      </c>
      <c r="B49" s="5">
        <f>ROUND(120.08999999999999,2)</f>
        <v/>
      </c>
      <c r="C49" s="3">
        <f>ROUND(229710.0,2)</f>
        <v/>
      </c>
      <c r="D49" s="3">
        <f>ROUND(27638.0,2)</f>
        <v/>
      </c>
      <c r="E49" s="3">
        <f>ROUND(16438.0,2)</f>
        <v/>
      </c>
      <c r="F49" s="3">
        <f>ROUND(14465.0,2)</f>
        <v/>
      </c>
      <c r="G49" s="3">
        <f>ROUND(11150.0,2)</f>
        <v/>
      </c>
      <c r="H49" s="3">
        <f>ROUND(9371.0,2)</f>
        <v/>
      </c>
      <c r="I49" s="3">
        <f>ROUND(8181.0,2)</f>
        <v/>
      </c>
      <c r="J49" s="4">
        <f>IFERROR((D49/C49),0)</f>
        <v/>
      </c>
      <c r="K49" s="4">
        <f>IFERROR(((0+B11+B12+B13+B14+B15+B16+B17+B19+B20+B21+B22+B23+B24+B25+B27+B28+B29+B30+B31+B32+B33+B35+B36+B37+B38+B39+B40+B41+B43+B44+B45+B46+B47+B48+B49)/T2),0)</f>
        <v/>
      </c>
      <c r="L49" s="5">
        <f>IFERROR(ROUND(B49/D49,2),0)</f>
        <v/>
      </c>
      <c r="M49" s="5">
        <f>IFERROR(ROUND(B49/E49,2),0)</f>
        <v/>
      </c>
      <c r="N49" s="2" t="inlineStr">
        <is>
          <t>2023-10-24</t>
        </is>
      </c>
      <c r="O49" s="5">
        <f>ROUND(64.56,2)</f>
        <v/>
      </c>
      <c r="P49" s="3">
        <f>ROUND(129395.0,2)</f>
        <v/>
      </c>
      <c r="Q49" s="3">
        <f>ROUND(16129.0,2)</f>
        <v/>
      </c>
      <c r="R49" s="3">
        <f>ROUND(8997.0,2)</f>
        <v/>
      </c>
      <c r="S49" s="3">
        <f>ROUND(8176.0,2)</f>
        <v/>
      </c>
      <c r="T49" s="3">
        <f>ROUND(6412.0,2)</f>
        <v/>
      </c>
      <c r="U49" s="3">
        <f>ROUND(5361.0,2)</f>
        <v/>
      </c>
      <c r="V49" s="3">
        <f>ROUND(4838.0,2)</f>
        <v/>
      </c>
      <c r="W49" s="4">
        <f>IFERROR((Q49/P49),0)</f>
        <v/>
      </c>
      <c r="X49" s="4">
        <f>IFERROR(((0+O11+O12+O13+O14+O15+O16+O17+O19+O20+O21+O22+O23+O24+O25+O27+O28+O29+O30+O31+O32+O33+O35+O36+O37+O38+O39+O40+O41+O43+O44+O45+O46+O47+O48+O49)/T2),0)</f>
        <v/>
      </c>
      <c r="Y49" s="5">
        <f>IFERROR(ROUND(O49/Q49,2),0)</f>
        <v/>
      </c>
      <c r="Z49" s="5">
        <f>IFERROR(ROUND(O49/R49,2),0)</f>
        <v/>
      </c>
      <c r="AA49" s="2" t="inlineStr">
        <is>
          <t>2023-10-24</t>
        </is>
      </c>
      <c r="AB49" s="5">
        <f>ROUND(28.849999999999998,2)</f>
        <v/>
      </c>
      <c r="AC49" s="3">
        <f>ROUND(49453.0,2)</f>
        <v/>
      </c>
      <c r="AD49" s="3">
        <f>ROUND(7421.0,2)</f>
        <v/>
      </c>
      <c r="AE49" s="3">
        <f>ROUND(4334.0,2)</f>
        <v/>
      </c>
      <c r="AF49" s="3">
        <f>ROUND(3720.0,2)</f>
        <v/>
      </c>
      <c r="AG49" s="3">
        <f>ROUND(2861.0,2)</f>
        <v/>
      </c>
      <c r="AH49" s="3">
        <f>ROUND(2460.0,2)</f>
        <v/>
      </c>
      <c r="AI49" s="3">
        <f>ROUND(2093.0,2)</f>
        <v/>
      </c>
      <c r="AJ49" s="4">
        <f>IFERROR((AD49/AC49),0)</f>
        <v/>
      </c>
      <c r="AK49" s="4">
        <f>IFERROR(((0+AB11+AB12+AB13+AB14+AB15+AB16+AB17+AB19+AB20+AB21+AB22+AB23+AB24+AB25+AB27+AB28+AB29+AB30+AB31+AB32+AB33+AB35+AB36+AB37+AB38+AB39+AB40+AB41+AB43+AB44+AB45+AB46+AB47+AB48+AB49)/T2),0)</f>
        <v/>
      </c>
      <c r="AL49" s="5">
        <f>IFERROR(ROUND(AB49/AD49,2),0)</f>
        <v/>
      </c>
      <c r="AM49" s="5">
        <f>IFERROR(ROUND(AB49/AE49,2),0)</f>
        <v/>
      </c>
      <c r="AN49" s="2" t="inlineStr">
        <is>
          <t>2023-10-24</t>
        </is>
      </c>
      <c r="AO49" s="5">
        <f>ROUND(17.439999999999998,2)</f>
        <v/>
      </c>
      <c r="AP49" s="3">
        <f>ROUND(26421.0,2)</f>
        <v/>
      </c>
      <c r="AQ49" s="3">
        <f>ROUND(2913.0,2)</f>
        <v/>
      </c>
      <c r="AR49" s="3">
        <f>ROUND(2021.0,2)</f>
        <v/>
      </c>
      <c r="AS49" s="3">
        <f>ROUND(1681.0,2)</f>
        <v/>
      </c>
      <c r="AT49" s="3">
        <f>ROUND(1275.0,2)</f>
        <v/>
      </c>
      <c r="AU49" s="3">
        <f>ROUND(1070.0,2)</f>
        <v/>
      </c>
      <c r="AV49" s="3">
        <f>ROUND(872.0,2)</f>
        <v/>
      </c>
      <c r="AW49" s="4">
        <f>IFERROR((AQ49/AP49),0)</f>
        <v/>
      </c>
      <c r="AX49" s="4">
        <f>IFERROR(((0+AO11+AO12+AO13+AO14+AO15+AO16+AO17+AO19+AO20+AO21+AO22+AO23+AO24+AO25+AO27+AO28+AO29+AO30+AO31+AO32+AO33+AO35+AO36+AO37+AO38+AO39+AO40+AO41+AO43+AO44+AO45+AO46+AO47+AO48+AO49)/T2),0)</f>
        <v/>
      </c>
      <c r="AY49" s="5">
        <f>IFERROR(ROUND(AO49/AQ49,2),0)</f>
        <v/>
      </c>
      <c r="AZ49" s="5">
        <f>IFERROR(ROUND(AO49/AR49,2),0)</f>
        <v/>
      </c>
      <c r="BA49" s="2" t="inlineStr">
        <is>
          <t>2023-10-24</t>
        </is>
      </c>
      <c r="BB49" s="5">
        <f>ROUND(6.609999999999999,2)</f>
        <v/>
      </c>
      <c r="BC49" s="3">
        <f>ROUND(15468.0,2)</f>
        <v/>
      </c>
      <c r="BD49" s="3">
        <f>ROUND(1135.0,2)</f>
        <v/>
      </c>
      <c r="BE49" s="3">
        <f>ROUND(1086.0,2)</f>
        <v/>
      </c>
      <c r="BF49" s="3">
        <f>ROUND(888.0,2)</f>
        <v/>
      </c>
      <c r="BG49" s="3">
        <f>ROUND(602.0,2)</f>
        <v/>
      </c>
      <c r="BH49" s="3">
        <f>ROUND(480.0,2)</f>
        <v/>
      </c>
      <c r="BI49" s="3">
        <f>ROUND(378.0,2)</f>
        <v/>
      </c>
      <c r="BJ49" s="4">
        <f>IFERROR((BD49/BC49),0)</f>
        <v/>
      </c>
      <c r="BK49" s="4">
        <f>IFERROR(((0+BB11+BB12+BB13+BB14+BB15+BB16+BB17+BB19+BB20+BB21+BB22+BB23+BB24+BB25+BB27+BB28+BB29+BB30+BB31+BB32+BB33+BB35+BB36+BB37+BB38+BB39+BB40+BB41+BB43+BB44+BB45+BB46+BB47+BB48+BB49)/T2),0)</f>
        <v/>
      </c>
      <c r="BL49" s="5">
        <f>IFERROR(ROUND(BB49/BD49,2),0)</f>
        <v/>
      </c>
      <c r="BM49" s="5">
        <f>IFERROR(ROUND(BB49/BE49,2),0)</f>
        <v/>
      </c>
      <c r="BN49" s="2" t="inlineStr">
        <is>
          <t>2023-10-24</t>
        </is>
      </c>
      <c r="BO49" s="5">
        <f>ROUND(0.38,2)</f>
        <v/>
      </c>
      <c r="BP49" s="3">
        <f>ROUND(1396.0,2)</f>
        <v/>
      </c>
      <c r="BQ49" s="3">
        <f>ROUND(9.0,2)</f>
        <v/>
      </c>
      <c r="BR49" s="3">
        <f>ROUND(0.0,2)</f>
        <v/>
      </c>
      <c r="BS49" s="3">
        <f>ROUND(0.0,2)</f>
        <v/>
      </c>
      <c r="BT49" s="3">
        <f>ROUND(0.0,2)</f>
        <v/>
      </c>
      <c r="BU49" s="3">
        <f>ROUND(0.0,2)</f>
        <v/>
      </c>
      <c r="BV49" s="3">
        <f>ROUND(0.0,2)</f>
        <v/>
      </c>
      <c r="BW49" s="4">
        <f>IFERROR((BQ49/BP49),0)</f>
        <v/>
      </c>
      <c r="BX49" s="4">
        <f>IFERROR(((0+BO11+BO12+BO13+BO14+BO15+BO16+BO17+BO19+BO20+BO21+BO22+BO23+BO24+BO25+BO27+BO28+BO29+BO30+BO31+BO32+BO33+BO35+BO36+BO37+BO38+BO39+BO40+BO41+BO43+BO44+BO45+BO46+BO47+BO48+BO49)/T2),0)</f>
        <v/>
      </c>
      <c r="BY49" s="5">
        <f>IFERROR(ROUND(BO49/BQ49,2),0)</f>
        <v/>
      </c>
      <c r="BZ49" s="5">
        <f>IFERROR(ROUND(BO49/BR49,2),0)</f>
        <v/>
      </c>
      <c r="CA49" s="2" t="inlineStr">
        <is>
          <t>2023-10-24</t>
        </is>
      </c>
      <c r="CB49" s="5">
        <f>ROUND(0.61,2)</f>
        <v/>
      </c>
      <c r="CC49" s="3">
        <f>ROUND(2030.0,2)</f>
        <v/>
      </c>
      <c r="CD49" s="3">
        <f>ROUND(5.0,2)</f>
        <v/>
      </c>
      <c r="CE49" s="3">
        <f>ROUND(0.0,2)</f>
        <v/>
      </c>
      <c r="CF49" s="3">
        <f>ROUND(0.0,2)</f>
        <v/>
      </c>
      <c r="CG49" s="3">
        <f>ROUND(0.0,2)</f>
        <v/>
      </c>
      <c r="CH49" s="3">
        <f>ROUND(0.0,2)</f>
        <v/>
      </c>
      <c r="CI49" s="3">
        <f>ROUND(0.0,2)</f>
        <v/>
      </c>
      <c r="CJ49" s="4">
        <f>IFERROR((CD49/CC49),0)</f>
        <v/>
      </c>
      <c r="CK49" s="4">
        <f>IFERROR(((0+CB11+CB12+CB13+CB14+CB15+CB16+CB17+CB19+CB20+CB21+CB22+CB23+CB24+CB25+CB27+CB28+CB29+CB30+CB31+CB32+CB33+CB35+CB36+CB37+CB38+CB39+CB40+CB41+CB43+CB44+CB45+CB46+CB47+CB48+CB49)/T2),0)</f>
        <v/>
      </c>
      <c r="CL49" s="5">
        <f>IFERROR(ROUND(CB49/CD49,2),0)</f>
        <v/>
      </c>
      <c r="CM49" s="5">
        <f>IFERROR(ROUND(CB49/CE49,2),0)</f>
        <v/>
      </c>
      <c r="CN49" s="2" t="inlineStr">
        <is>
          <t>2023-10-24</t>
        </is>
      </c>
      <c r="CO49" s="5">
        <f>ROUND(0.48,2)</f>
        <v/>
      </c>
      <c r="CP49" s="3">
        <f>ROUND(1799.0,2)</f>
        <v/>
      </c>
      <c r="CQ49" s="3">
        <f>ROUND(7.0,2)</f>
        <v/>
      </c>
      <c r="CR49" s="3">
        <f>ROUND(0.0,2)</f>
        <v/>
      </c>
      <c r="CS49" s="3">
        <f>ROUND(0.0,2)</f>
        <v/>
      </c>
      <c r="CT49" s="3">
        <f>ROUND(0.0,2)</f>
        <v/>
      </c>
      <c r="CU49" s="3">
        <f>ROUND(0.0,2)</f>
        <v/>
      </c>
      <c r="CV49" s="3">
        <f>ROUND(0.0,2)</f>
        <v/>
      </c>
      <c r="CW49" s="4">
        <f>IFERROR((CQ49/CP49),0)</f>
        <v/>
      </c>
      <c r="CX49" s="4">
        <f>IFERROR(((0+CO11+CO12+CO13+CO14+CO15+CO16+CO17+CO19+CO20+CO21+CO22+CO23+CO24+CO25+CO27+CO28+CO29+CO30+CO31+CO32+CO33+CO35+CO36+CO37+CO38+CO39+CO40+CO41+CO43+CO44+CO45+CO46+CO47+CO48+CO49)/T2),0)</f>
        <v/>
      </c>
      <c r="CY49" s="5">
        <f>IFERROR(ROUND(CO49/CQ49,2),0)</f>
        <v/>
      </c>
      <c r="CZ49" s="5">
        <f>IFERROR(ROUND(CO49/CR49,2),0)</f>
        <v/>
      </c>
      <c r="DA49" s="2" t="inlineStr">
        <is>
          <t>2023-10-24</t>
        </is>
      </c>
      <c r="DB49" s="5">
        <f>ROUND(0.22,2)</f>
        <v/>
      </c>
      <c r="DC49" s="3">
        <f>ROUND(729.0,2)</f>
        <v/>
      </c>
      <c r="DD49" s="3">
        <f>ROUND(4.0,2)</f>
        <v/>
      </c>
      <c r="DE49" s="3">
        <f>ROUND(0.0,2)</f>
        <v/>
      </c>
      <c r="DF49" s="3">
        <f>ROUND(0.0,2)</f>
        <v/>
      </c>
      <c r="DG49" s="3">
        <f>ROUND(0.0,2)</f>
        <v/>
      </c>
      <c r="DH49" s="3">
        <f>ROUND(0.0,2)</f>
        <v/>
      </c>
      <c r="DI49" s="3">
        <f>ROUND(0.0,2)</f>
        <v/>
      </c>
      <c r="DJ49" s="4">
        <f>IFERROR((DD49/DC49),0)</f>
        <v/>
      </c>
      <c r="DK49" s="4">
        <f>IFERROR(((0+DB11+DB12+DB13+DB14+DB15+DB16+DB17+DB19+DB20+DB21+DB22+DB23+DB24+DB25+DB27+DB28+DB29+DB30+DB31+DB32+DB33+DB35+DB36+DB37+DB38+DB39+DB40+DB41+DB43+DB44+DB45+DB46+DB47+DB48+DB49)/T2),0)</f>
        <v/>
      </c>
      <c r="DL49" s="5">
        <f>IFERROR(ROUND(DB49/DD49,2),0)</f>
        <v/>
      </c>
      <c r="DM49" s="5">
        <f>IFERROR(ROUND(DB49/DE49,2),0)</f>
        <v/>
      </c>
      <c r="DN49" s="2" t="inlineStr">
        <is>
          <t>2023-10-24</t>
        </is>
      </c>
      <c r="DO49" s="5">
        <f>ROUND(0.71,2)</f>
        <v/>
      </c>
      <c r="DP49" s="3">
        <f>ROUND(2068.0,2)</f>
        <v/>
      </c>
      <c r="DQ49" s="3">
        <f>ROUND(12.0,2)</f>
        <v/>
      </c>
      <c r="DR49" s="3">
        <f>ROUND(0.0,2)</f>
        <v/>
      </c>
      <c r="DS49" s="3">
        <f>ROUND(0.0,2)</f>
        <v/>
      </c>
      <c r="DT49" s="3">
        <f>ROUND(0.0,2)</f>
        <v/>
      </c>
      <c r="DU49" s="3">
        <f>ROUND(0.0,2)</f>
        <v/>
      </c>
      <c r="DV49" s="3">
        <f>ROUND(0.0,2)</f>
        <v/>
      </c>
      <c r="DW49" s="4">
        <f>IFERROR((DQ49/DP49),0)</f>
        <v/>
      </c>
      <c r="DX49" s="4">
        <f>IFERROR(((0+DO11+DO12+DO13+DO14+DO15+DO16+DO17+DO19+DO20+DO21+DO22+DO23+DO24+DO25+DO27+DO28+DO29+DO30+DO31+DO32+DO33+DO35+DO36+DO37+DO38+DO39+DO40+DO41+DO43+DO44+DO45+DO46+DO47+DO48+DO49)/T2),0)</f>
        <v/>
      </c>
      <c r="DY49" s="5">
        <f>IFERROR(ROUND(DO49/DQ49,2),0)</f>
        <v/>
      </c>
      <c r="DZ49" s="5">
        <f>IFERROR(ROUND(DO49/DR49,2),0)</f>
        <v/>
      </c>
      <c r="EA49" s="2" t="inlineStr">
        <is>
          <t>2023-10-24</t>
        </is>
      </c>
      <c r="EB49" s="5">
        <f>ROUND(0.23,2)</f>
        <v/>
      </c>
      <c r="EC49" s="3">
        <f>ROUND(951.0,2)</f>
        <v/>
      </c>
      <c r="ED49" s="3">
        <f>ROUND(3.0,2)</f>
        <v/>
      </c>
      <c r="EE49" s="3">
        <f>ROUND(0.0,2)</f>
        <v/>
      </c>
      <c r="EF49" s="3">
        <f>ROUND(0.0,2)</f>
        <v/>
      </c>
      <c r="EG49" s="3">
        <f>ROUND(0.0,2)</f>
        <v/>
      </c>
      <c r="EH49" s="3">
        <f>ROUND(0.0,2)</f>
        <v/>
      </c>
      <c r="EI49" s="3">
        <f>ROUND(0.0,2)</f>
        <v/>
      </c>
      <c r="EJ49" s="4">
        <f>IFERROR((ED49/EC49),0)</f>
        <v/>
      </c>
      <c r="EK49" s="4">
        <f>IFERROR(((0+EB11+EB12+EB13+EB14+EB15+EB16+EB17+EB19+EB20+EB21+EB22+EB23+EB24+EB25+EB27+EB28+EB29+EB30+EB31+EB32+EB33+EB35+EB36+EB37+EB38+EB39+EB40+EB41+EB43+EB44+EB45+EB46+EB47+EB48+EB49)/T2),0)</f>
        <v/>
      </c>
      <c r="EL49" s="5">
        <f>IFERROR(ROUND(EB49/ED49,2),0)</f>
        <v/>
      </c>
      <c r="EM49" s="5">
        <f>IFERROR(ROUND(EB49/EE49,2),0)</f>
        <v/>
      </c>
    </row>
    <row r="50">
      <c r="A50" s="2" t="inlineStr">
        <is>
          <t>5 Weekly Total</t>
        </is>
      </c>
      <c r="B50" s="5">
        <f>ROUND(590.92,2)</f>
        <v/>
      </c>
      <c r="C50" s="3">
        <f>ROUND(1076640.0,2)</f>
        <v/>
      </c>
      <c r="D50" s="3">
        <f>ROUND(125271.0,2)</f>
        <v/>
      </c>
      <c r="E50" s="3">
        <f>ROUND(79450.0,2)</f>
        <v/>
      </c>
      <c r="F50" s="3">
        <f>ROUND(69545.0,2)</f>
        <v/>
      </c>
      <c r="G50" s="3">
        <f>ROUND(52690.0,2)</f>
        <v/>
      </c>
      <c r="H50" s="3">
        <f>ROUND(44340.0,2)</f>
        <v/>
      </c>
      <c r="I50" s="3">
        <f>ROUND(37543.0,2)</f>
        <v/>
      </c>
      <c r="J50" s="4">
        <f>IFERROR((D50/C50),0)</f>
        <v/>
      </c>
      <c r="K50" s="4">
        <f>IFERROR(((0+B11+B12+B13+B14+B15+B16+B17+B19+B20+B21+B22+B23+B24+B25+B27+B28+B29+B30+B31+B32+B33+B35+B36+B37+B38+B39+B40+B41+B43+B44+B45+B46+B47+B48+B49)/T2),0)</f>
        <v/>
      </c>
      <c r="L50" s="5">
        <f>IFERROR(ROUND(B50/D50,2),0)</f>
        <v/>
      </c>
      <c r="M50" s="5">
        <f>IFERROR(ROUND(B50/E50,2),0)</f>
        <v/>
      </c>
      <c r="N50" s="2" t="inlineStr">
        <is>
          <t>5 Weekly Total</t>
        </is>
      </c>
      <c r="O50" s="5">
        <f>ROUND(160.01,2)</f>
        <v/>
      </c>
      <c r="P50" s="3">
        <f>ROUND(299996.0,2)</f>
        <v/>
      </c>
      <c r="Q50" s="3">
        <f>ROUND(37465.0,2)</f>
        <v/>
      </c>
      <c r="R50" s="3">
        <f>ROUND(22430.0,2)</f>
        <v/>
      </c>
      <c r="S50" s="3">
        <f>ROUND(20250.0,2)</f>
        <v/>
      </c>
      <c r="T50" s="3">
        <f>ROUND(15521.0,2)</f>
        <v/>
      </c>
      <c r="U50" s="3">
        <f>ROUND(12976.0,2)</f>
        <v/>
      </c>
      <c r="V50" s="3">
        <f>ROUND(11439.0,2)</f>
        <v/>
      </c>
      <c r="W50" s="4">
        <f>IFERROR((Q50/P50),0)</f>
        <v/>
      </c>
      <c r="X50" s="4">
        <f>IFERROR(((0+O11+O12+O13+O14+O15+O16+O17+O19+O20+O21+O22+O23+O24+O25+O27+O28+O29+O30+O31+O32+O33+O35+O36+O37+O38+O39+O40+O41+O43+O44+O45+O46+O47+O48+O49)/T2),0)</f>
        <v/>
      </c>
      <c r="Y50" s="5">
        <f>IFERROR(ROUND(O50/Q50,2),0)</f>
        <v/>
      </c>
      <c r="Z50" s="5">
        <f>IFERROR(ROUND(O50/R50,2),0)</f>
        <v/>
      </c>
      <c r="AA50" s="2" t="inlineStr">
        <is>
          <t>5 Weekly Total</t>
        </is>
      </c>
      <c r="AB50" s="5">
        <f>ROUND(155.11,2)</f>
        <v/>
      </c>
      <c r="AC50" s="3">
        <f>ROUND(264286.0,2)</f>
        <v/>
      </c>
      <c r="AD50" s="3">
        <f>ROUND(39019.0,2)</f>
        <v/>
      </c>
      <c r="AE50" s="3">
        <f>ROUND(22724.0,2)</f>
        <v/>
      </c>
      <c r="AF50" s="3">
        <f>ROUND(19713.0,2)</f>
        <v/>
      </c>
      <c r="AG50" s="3">
        <f>ROUND(15288.0,2)</f>
        <v/>
      </c>
      <c r="AH50" s="3">
        <f>ROUND(13067.0,2)</f>
        <v/>
      </c>
      <c r="AI50" s="3">
        <f>ROUND(11077.0,2)</f>
        <v/>
      </c>
      <c r="AJ50" s="4">
        <f>IFERROR((AD50/AC50),0)</f>
        <v/>
      </c>
      <c r="AK50" s="4">
        <f>IFERROR(((0+AB11+AB12+AB13+AB14+AB15+AB16+AB17+AB19+AB20+AB21+AB22+AB23+AB24+AB25+AB27+AB28+AB29+AB30+AB31+AB32+AB33+AB35+AB36+AB37+AB38+AB39+AB40+AB41+AB43+AB44+AB45+AB46+AB47+AB48+AB49)/T2),0)</f>
        <v/>
      </c>
      <c r="AL50" s="5">
        <f>IFERROR(ROUND(AB50/AD50,2),0)</f>
        <v/>
      </c>
      <c r="AM50" s="5">
        <f>IFERROR(ROUND(AB50/AE50,2),0)</f>
        <v/>
      </c>
      <c r="AN50" s="2" t="inlineStr">
        <is>
          <t>5 Weekly Total</t>
        </is>
      </c>
      <c r="AO50" s="5">
        <f>ROUND(74.61,2)</f>
        <v/>
      </c>
      <c r="AP50" s="3">
        <f>ROUND(121781.0,2)</f>
        <v/>
      </c>
      <c r="AQ50" s="3">
        <f>ROUND(12887.0,2)</f>
        <v/>
      </c>
      <c r="AR50" s="3">
        <f>ROUND(9434.0,2)</f>
        <v/>
      </c>
      <c r="AS50" s="3">
        <f>ROUND(7742.0,2)</f>
        <v/>
      </c>
      <c r="AT50" s="3">
        <f>ROUND(5770.0,2)</f>
        <v/>
      </c>
      <c r="AU50" s="3">
        <f>ROUND(4848.0,2)</f>
        <v/>
      </c>
      <c r="AV50" s="3">
        <f>ROUND(3923.0,2)</f>
        <v/>
      </c>
      <c r="AW50" s="4">
        <f>IFERROR((AQ50/AP50),0)</f>
        <v/>
      </c>
      <c r="AX50" s="4">
        <f>IFERROR(((0+AO11+AO12+AO13+AO14+AO15+AO16+AO17+AO19+AO20+AO21+AO22+AO23+AO24+AO25+AO27+AO28+AO29+AO30+AO31+AO32+AO33+AO35+AO36+AO37+AO38+AO39+AO40+AO41+AO43+AO44+AO45+AO46+AO47+AO48+AO49)/T2),0)</f>
        <v/>
      </c>
      <c r="AY50" s="5">
        <f>IFERROR(ROUND(AO50/AQ50,2),0)</f>
        <v/>
      </c>
      <c r="AZ50" s="5">
        <f>IFERROR(ROUND(AO50/AR50,2),0)</f>
        <v/>
      </c>
      <c r="BA50" s="2" t="inlineStr">
        <is>
          <t>5 Weekly Total</t>
        </is>
      </c>
      <c r="BB50" s="5">
        <f>ROUND(176.26,2)</f>
        <v/>
      </c>
      <c r="BC50" s="3">
        <f>ROUND(316616.0,2)</f>
        <v/>
      </c>
      <c r="BD50" s="3">
        <f>ROUND(35568.0,2)</f>
        <v/>
      </c>
      <c r="BE50" s="3">
        <f>ROUND(24862.0,2)</f>
        <v/>
      </c>
      <c r="BF50" s="3">
        <f>ROUND(21840.0,2)</f>
        <v/>
      </c>
      <c r="BG50" s="3">
        <f>ROUND(16111.0,2)</f>
        <v/>
      </c>
      <c r="BH50" s="3">
        <f>ROUND(13449.0,2)</f>
        <v/>
      </c>
      <c r="BI50" s="3">
        <f>ROUND(11104.0,2)</f>
        <v/>
      </c>
      <c r="BJ50" s="4">
        <f>IFERROR((BD50/BC50),0)</f>
        <v/>
      </c>
      <c r="BK50" s="4">
        <f>IFERROR(((0+BB11+BB12+BB13+BB14+BB15+BB16+BB17+BB19+BB20+BB21+BB22+BB23+BB24+BB25+BB27+BB28+BB29+BB30+BB31+BB32+BB33+BB35+BB36+BB37+BB38+BB39+BB40+BB41+BB43+BB44+BB45+BB46+BB47+BB48+BB49)/T2),0)</f>
        <v/>
      </c>
      <c r="BL50" s="5">
        <f>IFERROR(ROUND(BB50/BD50,2),0)</f>
        <v/>
      </c>
      <c r="BM50" s="5">
        <f>IFERROR(ROUND(BB50/BE50,2),0)</f>
        <v/>
      </c>
      <c r="BN50" s="2" t="inlineStr">
        <is>
          <t>5 Weekly Total</t>
        </is>
      </c>
      <c r="BO50" s="5">
        <f>ROUND(4.0,2)</f>
        <v/>
      </c>
      <c r="BP50" s="3">
        <f>ROUND(11194.0,2)</f>
        <v/>
      </c>
      <c r="BQ50" s="3">
        <f>ROUND(44.0,2)</f>
        <v/>
      </c>
      <c r="BR50" s="3">
        <f>ROUND(0.0,2)</f>
        <v/>
      </c>
      <c r="BS50" s="3">
        <f>ROUND(0.0,2)</f>
        <v/>
      </c>
      <c r="BT50" s="3">
        <f>ROUND(0.0,2)</f>
        <v/>
      </c>
      <c r="BU50" s="3">
        <f>ROUND(0.0,2)</f>
        <v/>
      </c>
      <c r="BV50" s="3">
        <f>ROUND(0.0,2)</f>
        <v/>
      </c>
      <c r="BW50" s="4">
        <f>IFERROR((BQ50/BP50),0)</f>
        <v/>
      </c>
      <c r="BX50" s="4">
        <f>IFERROR(((0+BO11+BO12+BO13+BO14+BO15+BO16+BO17+BO19+BO20+BO21+BO22+BO23+BO24+BO25+BO27+BO28+BO29+BO30+BO31+BO32+BO33+BO35+BO36+BO37+BO38+BO39+BO40+BO41+BO43+BO44+BO45+BO46+BO47+BO48+BO49)/T2),0)</f>
        <v/>
      </c>
      <c r="BY50" s="5">
        <f>IFERROR(ROUND(BO50/BQ50,2),0)</f>
        <v/>
      </c>
      <c r="BZ50" s="5">
        <f>IFERROR(ROUND(BO50/BR50,2),0)</f>
        <v/>
      </c>
      <c r="CA50" s="2" t="inlineStr">
        <is>
          <t>5 Weekly Total</t>
        </is>
      </c>
      <c r="CB50" s="5">
        <f>ROUND(5.36,2)</f>
        <v/>
      </c>
      <c r="CC50" s="3">
        <f>ROUND(16948.0,2)</f>
        <v/>
      </c>
      <c r="CD50" s="3">
        <f>ROUND(49.0,2)</f>
        <v/>
      </c>
      <c r="CE50" s="3">
        <f>ROUND(0.0,2)</f>
        <v/>
      </c>
      <c r="CF50" s="3">
        <f>ROUND(0.0,2)</f>
        <v/>
      </c>
      <c r="CG50" s="3">
        <f>ROUND(0.0,2)</f>
        <v/>
      </c>
      <c r="CH50" s="3">
        <f>ROUND(0.0,2)</f>
        <v/>
      </c>
      <c r="CI50" s="3">
        <f>ROUND(0.0,2)</f>
        <v/>
      </c>
      <c r="CJ50" s="4">
        <f>IFERROR((CD50/CC50),0)</f>
        <v/>
      </c>
      <c r="CK50" s="4">
        <f>IFERROR(((0+CB11+CB12+CB13+CB14+CB15+CB16+CB17+CB19+CB20+CB21+CB22+CB23+CB24+CB25+CB27+CB28+CB29+CB30+CB31+CB32+CB33+CB35+CB36+CB37+CB38+CB39+CB40+CB41+CB43+CB44+CB45+CB46+CB47+CB48+CB49)/T2),0)</f>
        <v/>
      </c>
      <c r="CL50" s="5">
        <f>IFERROR(ROUND(CB50/CD50,2),0)</f>
        <v/>
      </c>
      <c r="CM50" s="5">
        <f>IFERROR(ROUND(CB50/CE50,2),0)</f>
        <v/>
      </c>
      <c r="CN50" s="2" t="inlineStr">
        <is>
          <t>5 Weekly Total</t>
        </is>
      </c>
      <c r="CO50" s="5">
        <f>ROUND(5.6,2)</f>
        <v/>
      </c>
      <c r="CP50" s="3">
        <f>ROUND(16360.0,2)</f>
        <v/>
      </c>
      <c r="CQ50" s="3">
        <f>ROUND(71.0,2)</f>
        <v/>
      </c>
      <c r="CR50" s="3">
        <f>ROUND(0.0,2)</f>
        <v/>
      </c>
      <c r="CS50" s="3">
        <f>ROUND(0.0,2)</f>
        <v/>
      </c>
      <c r="CT50" s="3">
        <f>ROUND(0.0,2)</f>
        <v/>
      </c>
      <c r="CU50" s="3">
        <f>ROUND(0.0,2)</f>
        <v/>
      </c>
      <c r="CV50" s="3">
        <f>ROUND(0.0,2)</f>
        <v/>
      </c>
      <c r="CW50" s="4">
        <f>IFERROR((CQ50/CP50),0)</f>
        <v/>
      </c>
      <c r="CX50" s="4">
        <f>IFERROR(((0+CO11+CO12+CO13+CO14+CO15+CO16+CO17+CO19+CO20+CO21+CO22+CO23+CO24+CO25+CO27+CO28+CO29+CO30+CO31+CO32+CO33+CO35+CO36+CO37+CO38+CO39+CO40+CO41+CO43+CO44+CO45+CO46+CO47+CO48+CO49)/T2),0)</f>
        <v/>
      </c>
      <c r="CY50" s="5">
        <f>IFERROR(ROUND(CO50/CQ50,2),0)</f>
        <v/>
      </c>
      <c r="CZ50" s="5">
        <f>IFERROR(ROUND(CO50/CR50,2),0)</f>
        <v/>
      </c>
      <c r="DA50" s="2" t="inlineStr">
        <is>
          <t>5 Weekly Total</t>
        </is>
      </c>
      <c r="DB50" s="5">
        <f>ROUND(2.27,2)</f>
        <v/>
      </c>
      <c r="DC50" s="3">
        <f>ROUND(5885.0,2)</f>
        <v/>
      </c>
      <c r="DD50" s="3">
        <f>ROUND(30.0,2)</f>
        <v/>
      </c>
      <c r="DE50" s="3">
        <f>ROUND(0.0,2)</f>
        <v/>
      </c>
      <c r="DF50" s="3">
        <f>ROUND(0.0,2)</f>
        <v/>
      </c>
      <c r="DG50" s="3">
        <f>ROUND(0.0,2)</f>
        <v/>
      </c>
      <c r="DH50" s="3">
        <f>ROUND(0.0,2)</f>
        <v/>
      </c>
      <c r="DI50" s="3">
        <f>ROUND(0.0,2)</f>
        <v/>
      </c>
      <c r="DJ50" s="4">
        <f>IFERROR((DD50/DC50),0)</f>
        <v/>
      </c>
      <c r="DK50" s="4">
        <f>IFERROR(((0+DB11+DB12+DB13+DB14+DB15+DB16+DB17+DB19+DB20+DB21+DB22+DB23+DB24+DB25+DB27+DB28+DB29+DB30+DB31+DB32+DB33+DB35+DB36+DB37+DB38+DB39+DB40+DB41+DB43+DB44+DB45+DB46+DB47+DB48+DB49)/T2),0)</f>
        <v/>
      </c>
      <c r="DL50" s="5">
        <f>IFERROR(ROUND(DB50/DD50,2),0)</f>
        <v/>
      </c>
      <c r="DM50" s="5">
        <f>IFERROR(ROUND(DB50/DE50,2),0)</f>
        <v/>
      </c>
      <c r="DN50" s="2" t="inlineStr">
        <is>
          <t>5 Weekly Total</t>
        </is>
      </c>
      <c r="DO50" s="5">
        <f>ROUND(5.87,2)</f>
        <v/>
      </c>
      <c r="DP50" s="3">
        <f>ROUND(17505.0,2)</f>
        <v/>
      </c>
      <c r="DQ50" s="3">
        <f>ROUND(111.0,2)</f>
        <v/>
      </c>
      <c r="DR50" s="3">
        <f>ROUND(0.0,2)</f>
        <v/>
      </c>
      <c r="DS50" s="3">
        <f>ROUND(0.0,2)</f>
        <v/>
      </c>
      <c r="DT50" s="3">
        <f>ROUND(0.0,2)</f>
        <v/>
      </c>
      <c r="DU50" s="3">
        <f>ROUND(0.0,2)</f>
        <v/>
      </c>
      <c r="DV50" s="3">
        <f>ROUND(0.0,2)</f>
        <v/>
      </c>
      <c r="DW50" s="4">
        <f>IFERROR((DQ50/DP50),0)</f>
        <v/>
      </c>
      <c r="DX50" s="4">
        <f>IFERROR(((0+DO11+DO12+DO13+DO14+DO15+DO16+DO17+DO19+DO20+DO21+DO22+DO23+DO24+DO25+DO27+DO28+DO29+DO30+DO31+DO32+DO33+DO35+DO36+DO37+DO38+DO39+DO40+DO41+DO43+DO44+DO45+DO46+DO47+DO48+DO49)/T2),0)</f>
        <v/>
      </c>
      <c r="DY50" s="5">
        <f>IFERROR(ROUND(DO50/DQ50,2),0)</f>
        <v/>
      </c>
      <c r="DZ50" s="5">
        <f>IFERROR(ROUND(DO50/DR50,2),0)</f>
        <v/>
      </c>
      <c r="EA50" s="2" t="inlineStr">
        <is>
          <t>5 Weekly Total</t>
        </is>
      </c>
      <c r="EB50" s="5">
        <f>ROUND(1.83,2)</f>
        <v/>
      </c>
      <c r="EC50" s="3">
        <f>ROUND(6069.0,2)</f>
        <v/>
      </c>
      <c r="ED50" s="3">
        <f>ROUND(27.0,2)</f>
        <v/>
      </c>
      <c r="EE50" s="3">
        <f>ROUND(0.0,2)</f>
        <v/>
      </c>
      <c r="EF50" s="3">
        <f>ROUND(0.0,2)</f>
        <v/>
      </c>
      <c r="EG50" s="3">
        <f>ROUND(0.0,2)</f>
        <v/>
      </c>
      <c r="EH50" s="3">
        <f>ROUND(0.0,2)</f>
        <v/>
      </c>
      <c r="EI50" s="3">
        <f>ROUND(0.0,2)</f>
        <v/>
      </c>
      <c r="EJ50" s="4">
        <f>IFERROR((ED50/EC50),0)</f>
        <v/>
      </c>
      <c r="EK50" s="4">
        <f>IFERROR(((0+EB11+EB12+EB13+EB14+EB15+EB16+EB17+EB19+EB20+EB21+EB22+EB23+EB24+EB25+EB27+EB28+EB29+EB30+EB31+EB32+EB33+EB35+EB36+EB37+EB38+EB39+EB40+EB41+EB43+EB44+EB45+EB46+EB47+EB48+EB49)/T2),0)</f>
        <v/>
      </c>
      <c r="EL50" s="5">
        <f>IFERROR(ROUND(EB50/ED50,2),0)</f>
        <v/>
      </c>
      <c r="EM50" s="5">
        <f>IFERROR(ROUND(EB50/EE50,2),0)</f>
        <v/>
      </c>
    </row>
    <row r="51">
      <c r="A51" s="2" t="inlineStr">
        <is>
          <t>2023-10-25</t>
        </is>
      </c>
      <c r="B51" s="5">
        <f>ROUND(124.83000000000001,2)</f>
        <v/>
      </c>
      <c r="C51" s="3">
        <f>ROUND(222172.0,2)</f>
        <v/>
      </c>
      <c r="D51" s="3">
        <f>ROUND(27865.0,2)</f>
        <v/>
      </c>
      <c r="E51" s="3">
        <f>ROUND(16497.0,2)</f>
        <v/>
      </c>
      <c r="F51" s="3">
        <f>ROUND(14290.0,2)</f>
        <v/>
      </c>
      <c r="G51" s="3">
        <f>ROUND(10893.0,2)</f>
        <v/>
      </c>
      <c r="H51" s="3">
        <f>ROUND(9131.0,2)</f>
        <v/>
      </c>
      <c r="I51" s="3">
        <f>ROUND(7877.0,2)</f>
        <v/>
      </c>
      <c r="J51" s="4">
        <f>IFERROR((D51/C51),0)</f>
        <v/>
      </c>
      <c r="K51" s="4">
        <f>IFERROR(((0+B11+B12+B13+B14+B15+B16+B17+B19+B20+B21+B22+B23+B24+B25+B27+B28+B29+B30+B31+B32+B33+B35+B36+B37+B38+B39+B40+B41+B43+B44+B45+B46+B47+B48+B49+B51)/T2),0)</f>
        <v/>
      </c>
      <c r="L51" s="5">
        <f>IFERROR(ROUND(B51/D51,2),0)</f>
        <v/>
      </c>
      <c r="M51" s="5">
        <f>IFERROR(ROUND(B51/E51,2),0)</f>
        <v/>
      </c>
      <c r="N51" s="2" t="inlineStr">
        <is>
          <t>2023-10-25</t>
        </is>
      </c>
      <c r="O51" s="5">
        <f>ROUND(52.58,2)</f>
        <v/>
      </c>
      <c r="P51" s="3">
        <f>ROUND(100973.0,2)</f>
        <v/>
      </c>
      <c r="Q51" s="3">
        <f>ROUND(12667.0,2)</f>
        <v/>
      </c>
      <c r="R51" s="3">
        <f>ROUND(6905.0,2)</f>
        <v/>
      </c>
      <c r="S51" s="3">
        <f>ROUND(6254.0,2)</f>
        <v/>
      </c>
      <c r="T51" s="3">
        <f>ROUND(4895.0,2)</f>
        <v/>
      </c>
      <c r="U51" s="3">
        <f>ROUND(4104.0,2)</f>
        <v/>
      </c>
      <c r="V51" s="3">
        <f>ROUND(3702.0,2)</f>
        <v/>
      </c>
      <c r="W51" s="4">
        <f>IFERROR((Q51/P51),0)</f>
        <v/>
      </c>
      <c r="X51" s="4">
        <f>IFERROR(((0+O11+O12+O13+O14+O15+O16+O17+O19+O20+O21+O22+O23+O24+O25+O27+O28+O29+O30+O31+O32+O33+O35+O36+O37+O38+O39+O40+O41+O43+O44+O45+O46+O47+O48+O49+O51)/T2),0)</f>
        <v/>
      </c>
      <c r="Y51" s="5">
        <f>IFERROR(ROUND(O51/Q51,2),0)</f>
        <v/>
      </c>
      <c r="Z51" s="5">
        <f>IFERROR(ROUND(O51/R51,2),0)</f>
        <v/>
      </c>
      <c r="AA51" s="2" t="inlineStr">
        <is>
          <t>2023-10-25</t>
        </is>
      </c>
      <c r="AB51" s="5">
        <f>ROUND(46.190000000000005,2)</f>
        <v/>
      </c>
      <c r="AC51" s="3">
        <f>ROUND(70729.0,2)</f>
        <v/>
      </c>
      <c r="AD51" s="3">
        <f>ROUND(11438.0,2)</f>
        <v/>
      </c>
      <c r="AE51" s="3">
        <f>ROUND(6454.0,2)</f>
        <v/>
      </c>
      <c r="AF51" s="3">
        <f>ROUND(5531.0,2)</f>
        <v/>
      </c>
      <c r="AG51" s="3">
        <f>ROUND(4243.0,2)</f>
        <v/>
      </c>
      <c r="AH51" s="3">
        <f>ROUND(3553.0,2)</f>
        <v/>
      </c>
      <c r="AI51" s="3">
        <f>ROUND(2994.0,2)</f>
        <v/>
      </c>
      <c r="AJ51" s="4">
        <f>IFERROR((AD51/AC51),0)</f>
        <v/>
      </c>
      <c r="AK51" s="4">
        <f>IFERROR(((0+AB11+AB12+AB13+AB14+AB15+AB16+AB17+AB19+AB20+AB21+AB22+AB23+AB24+AB25+AB27+AB28+AB29+AB30+AB31+AB32+AB33+AB35+AB36+AB37+AB38+AB39+AB40+AB41+AB43+AB44+AB45+AB46+AB47+AB48+AB49+AB51)/T2),0)</f>
        <v/>
      </c>
      <c r="AL51" s="5">
        <f>IFERROR(ROUND(AB51/AD51,2),0)</f>
        <v/>
      </c>
      <c r="AM51" s="5">
        <f>IFERROR(ROUND(AB51/AE51,2),0)</f>
        <v/>
      </c>
      <c r="AN51" s="2" t="inlineStr">
        <is>
          <t>2023-10-25</t>
        </is>
      </c>
      <c r="AO51" s="5">
        <f>ROUND(18.330000000000002,2)</f>
        <v/>
      </c>
      <c r="AP51" s="3">
        <f>ROUND(29247.0,2)</f>
        <v/>
      </c>
      <c r="AQ51" s="3">
        <f>ROUND(2721.0,2)</f>
        <v/>
      </c>
      <c r="AR51" s="3">
        <f>ROUND(2150.0,2)</f>
        <v/>
      </c>
      <c r="AS51" s="3">
        <f>ROUND(1717.0,2)</f>
        <v/>
      </c>
      <c r="AT51" s="3">
        <f>ROUND(1224.0,2)</f>
        <v/>
      </c>
      <c r="AU51" s="3">
        <f>ROUND(1045.0,2)</f>
        <v/>
      </c>
      <c r="AV51" s="3">
        <f>ROUND(855.0,2)</f>
        <v/>
      </c>
      <c r="AW51" s="4">
        <f>IFERROR((AQ51/AP51),0)</f>
        <v/>
      </c>
      <c r="AX51" s="4">
        <f>IFERROR(((0+AO11+AO12+AO13+AO14+AO15+AO16+AO17+AO19+AO20+AO21+AO22+AO23+AO24+AO25+AO27+AO28+AO29+AO30+AO31+AO32+AO33+AO35+AO36+AO37+AO38+AO39+AO40+AO41+AO43+AO44+AO45+AO46+AO47+AO48+AO49+AO51)/T2),0)</f>
        <v/>
      </c>
      <c r="AY51" s="5">
        <f>IFERROR(ROUND(AO51/AQ51,2),0)</f>
        <v/>
      </c>
      <c r="AZ51" s="5">
        <f>IFERROR(ROUND(AO51/AR51,2),0)</f>
        <v/>
      </c>
      <c r="BA51" s="2" t="inlineStr">
        <is>
          <t>2023-10-25</t>
        </is>
      </c>
      <c r="BB51" s="5">
        <f>ROUND(5.53,2)</f>
        <v/>
      </c>
      <c r="BC51" s="3">
        <f>ROUND(13028.0,2)</f>
        <v/>
      </c>
      <c r="BD51" s="3">
        <f>ROUND(1017.0,2)</f>
        <v/>
      </c>
      <c r="BE51" s="3">
        <f>ROUND(988.0,2)</f>
        <v/>
      </c>
      <c r="BF51" s="3">
        <f>ROUND(788.0,2)</f>
        <v/>
      </c>
      <c r="BG51" s="3">
        <f>ROUND(531.0,2)</f>
        <v/>
      </c>
      <c r="BH51" s="3">
        <f>ROUND(429.0,2)</f>
        <v/>
      </c>
      <c r="BI51" s="3">
        <f>ROUND(326.0,2)</f>
        <v/>
      </c>
      <c r="BJ51" s="4">
        <f>IFERROR((BD51/BC51),0)</f>
        <v/>
      </c>
      <c r="BK51" s="4">
        <f>IFERROR(((0+BB11+BB12+BB13+BB14+BB15+BB16+BB17+BB19+BB20+BB21+BB22+BB23+BB24+BB25+BB27+BB28+BB29+BB30+BB31+BB32+BB33+BB35+BB36+BB37+BB38+BB39+BB40+BB41+BB43+BB44+BB45+BB46+BB47+BB48+BB49+BB51)/T2),0)</f>
        <v/>
      </c>
      <c r="BL51" s="5">
        <f>IFERROR(ROUND(BB51/BD51,2),0)</f>
        <v/>
      </c>
      <c r="BM51" s="5">
        <f>IFERROR(ROUND(BB51/BE51,2),0)</f>
        <v/>
      </c>
      <c r="BN51" s="2" t="inlineStr">
        <is>
          <t>2023-10-25</t>
        </is>
      </c>
      <c r="BO51" s="5">
        <f>ROUND(0.4,2)</f>
        <v/>
      </c>
      <c r="BP51" s="3">
        <f>ROUND(1342.0,2)</f>
        <v/>
      </c>
      <c r="BQ51" s="3">
        <f>ROUND(0.0,2)</f>
        <v/>
      </c>
      <c r="BR51" s="3">
        <f>ROUND(0.0,2)</f>
        <v/>
      </c>
      <c r="BS51" s="3">
        <f>ROUND(0.0,2)</f>
        <v/>
      </c>
      <c r="BT51" s="3">
        <f>ROUND(0.0,2)</f>
        <v/>
      </c>
      <c r="BU51" s="3">
        <f>ROUND(0.0,2)</f>
        <v/>
      </c>
      <c r="BV51" s="3">
        <f>ROUND(0.0,2)</f>
        <v/>
      </c>
      <c r="BW51" s="4">
        <f>IFERROR((BQ51/BP51),0)</f>
        <v/>
      </c>
      <c r="BX51" s="4">
        <f>IFERROR(((0+BO11+BO12+BO13+BO14+BO15+BO16+BO17+BO19+BO20+BO21+BO22+BO23+BO24+BO25+BO27+BO28+BO29+BO30+BO31+BO32+BO33+BO35+BO36+BO37+BO38+BO39+BO40+BO41+BO43+BO44+BO45+BO46+BO47+BO48+BO49+BO51)/T2),0)</f>
        <v/>
      </c>
      <c r="BY51" s="5">
        <f>IFERROR(ROUND(BO51/BQ51,2),0)</f>
        <v/>
      </c>
      <c r="BZ51" s="5">
        <f>IFERROR(ROUND(BO51/BR51,2),0)</f>
        <v/>
      </c>
      <c r="CA51" s="2" t="inlineStr">
        <is>
          <t>2023-10-25</t>
        </is>
      </c>
      <c r="CB51" s="5">
        <f>ROUND(0.54,2)</f>
        <v/>
      </c>
      <c r="CC51" s="3">
        <f>ROUND(1980.0,2)</f>
        <v/>
      </c>
      <c r="CD51" s="3">
        <f>ROUND(5.0,2)</f>
        <v/>
      </c>
      <c r="CE51" s="3">
        <f>ROUND(0.0,2)</f>
        <v/>
      </c>
      <c r="CF51" s="3">
        <f>ROUND(0.0,2)</f>
        <v/>
      </c>
      <c r="CG51" s="3">
        <f>ROUND(0.0,2)</f>
        <v/>
      </c>
      <c r="CH51" s="3">
        <f>ROUND(0.0,2)</f>
        <v/>
      </c>
      <c r="CI51" s="3">
        <f>ROUND(0.0,2)</f>
        <v/>
      </c>
      <c r="CJ51" s="4">
        <f>IFERROR((CD51/CC51),0)</f>
        <v/>
      </c>
      <c r="CK51" s="4">
        <f>IFERROR(((0+CB11+CB12+CB13+CB14+CB15+CB16+CB17+CB19+CB20+CB21+CB22+CB23+CB24+CB25+CB27+CB28+CB29+CB30+CB31+CB32+CB33+CB35+CB36+CB37+CB38+CB39+CB40+CB41+CB43+CB44+CB45+CB46+CB47+CB48+CB49+CB51)/T2),0)</f>
        <v/>
      </c>
      <c r="CL51" s="5">
        <f>IFERROR(ROUND(CB51/CD51,2),0)</f>
        <v/>
      </c>
      <c r="CM51" s="5">
        <f>IFERROR(ROUND(CB51/CE51,2),0)</f>
        <v/>
      </c>
      <c r="CN51" s="2" t="inlineStr">
        <is>
          <t>2023-10-25</t>
        </is>
      </c>
      <c r="CO51" s="5">
        <f>ROUND(0.38,2)</f>
        <v/>
      </c>
      <c r="CP51" s="3">
        <f>ROUND(1741.0,2)</f>
        <v/>
      </c>
      <c r="CQ51" s="3">
        <f>ROUND(5.0,2)</f>
        <v/>
      </c>
      <c r="CR51" s="3">
        <f>ROUND(0.0,2)</f>
        <v/>
      </c>
      <c r="CS51" s="3">
        <f>ROUND(0.0,2)</f>
        <v/>
      </c>
      <c r="CT51" s="3">
        <f>ROUND(0.0,2)</f>
        <v/>
      </c>
      <c r="CU51" s="3">
        <f>ROUND(0.0,2)</f>
        <v/>
      </c>
      <c r="CV51" s="3">
        <f>ROUND(0.0,2)</f>
        <v/>
      </c>
      <c r="CW51" s="4">
        <f>IFERROR((CQ51/CP51),0)</f>
        <v/>
      </c>
      <c r="CX51" s="4">
        <f>IFERROR(((0+CO11+CO12+CO13+CO14+CO15+CO16+CO17+CO19+CO20+CO21+CO22+CO23+CO24+CO25+CO27+CO28+CO29+CO30+CO31+CO32+CO33+CO35+CO36+CO37+CO38+CO39+CO40+CO41+CO43+CO44+CO45+CO46+CO47+CO48+CO49+CO51)/T2),0)</f>
        <v/>
      </c>
      <c r="CY51" s="5">
        <f>IFERROR(ROUND(CO51/CQ51,2),0)</f>
        <v/>
      </c>
      <c r="CZ51" s="5">
        <f>IFERROR(ROUND(CO51/CR51,2),0)</f>
        <v/>
      </c>
      <c r="DA51" s="2" t="inlineStr">
        <is>
          <t>2023-10-25</t>
        </is>
      </c>
      <c r="DB51" s="5">
        <f>ROUND(0.21,2)</f>
        <v/>
      </c>
      <c r="DC51" s="3">
        <f>ROUND(757.0,2)</f>
        <v/>
      </c>
      <c r="DD51" s="3">
        <f>ROUND(3.0,2)</f>
        <v/>
      </c>
      <c r="DE51" s="3">
        <f>ROUND(0.0,2)</f>
        <v/>
      </c>
      <c r="DF51" s="3">
        <f>ROUND(0.0,2)</f>
        <v/>
      </c>
      <c r="DG51" s="3">
        <f>ROUND(0.0,2)</f>
        <v/>
      </c>
      <c r="DH51" s="3">
        <f>ROUND(0.0,2)</f>
        <v/>
      </c>
      <c r="DI51" s="3">
        <f>ROUND(0.0,2)</f>
        <v/>
      </c>
      <c r="DJ51" s="4">
        <f>IFERROR((DD51/DC51),0)</f>
        <v/>
      </c>
      <c r="DK51" s="4">
        <f>IFERROR(((0+DB11+DB12+DB13+DB14+DB15+DB16+DB17+DB19+DB20+DB21+DB22+DB23+DB24+DB25+DB27+DB28+DB29+DB30+DB31+DB32+DB33+DB35+DB36+DB37+DB38+DB39+DB40+DB41+DB43+DB44+DB45+DB46+DB47+DB48+DB49+DB51)/T2),0)</f>
        <v/>
      </c>
      <c r="DL51" s="5">
        <f>IFERROR(ROUND(DB51/DD51,2),0)</f>
        <v/>
      </c>
      <c r="DM51" s="5">
        <f>IFERROR(ROUND(DB51/DE51,2),0)</f>
        <v/>
      </c>
      <c r="DN51" s="2" t="inlineStr">
        <is>
          <t>2023-10-25</t>
        </is>
      </c>
      <c r="DO51" s="5">
        <f>ROUND(0.46,2)</f>
        <v/>
      </c>
      <c r="DP51" s="3">
        <f>ROUND(1646.0,2)</f>
        <v/>
      </c>
      <c r="DQ51" s="3">
        <f>ROUND(6.0,2)</f>
        <v/>
      </c>
      <c r="DR51" s="3">
        <f>ROUND(0.0,2)</f>
        <v/>
      </c>
      <c r="DS51" s="3">
        <f>ROUND(0.0,2)</f>
        <v/>
      </c>
      <c r="DT51" s="3">
        <f>ROUND(0.0,2)</f>
        <v/>
      </c>
      <c r="DU51" s="3">
        <f>ROUND(0.0,2)</f>
        <v/>
      </c>
      <c r="DV51" s="3">
        <f>ROUND(0.0,2)</f>
        <v/>
      </c>
      <c r="DW51" s="4">
        <f>IFERROR((DQ51/DP51),0)</f>
        <v/>
      </c>
      <c r="DX51" s="4">
        <f>IFERROR(((0+DO11+DO12+DO13+DO14+DO15+DO16+DO17+DO19+DO20+DO21+DO22+DO23+DO24+DO25+DO27+DO28+DO29+DO30+DO31+DO32+DO33+DO35+DO36+DO37+DO38+DO39+DO40+DO41+DO43+DO44+DO45+DO46+DO47+DO48+DO49+DO51)/T2),0)</f>
        <v/>
      </c>
      <c r="DY51" s="5">
        <f>IFERROR(ROUND(DO51/DQ51,2),0)</f>
        <v/>
      </c>
      <c r="DZ51" s="5">
        <f>IFERROR(ROUND(DO51/DR51,2),0)</f>
        <v/>
      </c>
      <c r="EA51" s="2" t="inlineStr">
        <is>
          <t>2023-10-25</t>
        </is>
      </c>
      <c r="EB51" s="5">
        <f>ROUND(0.21,2)</f>
        <v/>
      </c>
      <c r="EC51" s="3">
        <f>ROUND(729.0,2)</f>
        <v/>
      </c>
      <c r="ED51" s="3">
        <f>ROUND(3.0,2)</f>
        <v/>
      </c>
      <c r="EE51" s="3">
        <f>ROUND(0.0,2)</f>
        <v/>
      </c>
      <c r="EF51" s="3">
        <f>ROUND(0.0,2)</f>
        <v/>
      </c>
      <c r="EG51" s="3">
        <f>ROUND(0.0,2)</f>
        <v/>
      </c>
      <c r="EH51" s="3">
        <f>ROUND(0.0,2)</f>
        <v/>
      </c>
      <c r="EI51" s="3">
        <f>ROUND(0.0,2)</f>
        <v/>
      </c>
      <c r="EJ51" s="4">
        <f>IFERROR((ED51/EC51),0)</f>
        <v/>
      </c>
      <c r="EK51" s="4">
        <f>IFERROR(((0+EB11+EB12+EB13+EB14+EB15+EB16+EB17+EB19+EB20+EB21+EB22+EB23+EB24+EB25+EB27+EB28+EB29+EB30+EB31+EB32+EB33+EB35+EB36+EB37+EB38+EB39+EB40+EB41+EB43+EB44+EB45+EB46+EB47+EB48+EB49+EB51)/T2),0)</f>
        <v/>
      </c>
      <c r="EL51" s="5">
        <f>IFERROR(ROUND(EB51/ED51,2),0)</f>
        <v/>
      </c>
      <c r="EM51" s="5">
        <f>IFERROR(ROUND(EB51/EE51,2),0)</f>
        <v/>
      </c>
    </row>
    <row r="52">
      <c r="A52" s="2" t="inlineStr">
        <is>
          <t>2023-10-26</t>
        </is>
      </c>
      <c r="B52" s="5">
        <f>ROUND(115.87,2)</f>
        <v/>
      </c>
      <c r="C52" s="3">
        <f>ROUND(205959.0,2)</f>
        <v/>
      </c>
      <c r="D52" s="3">
        <f>ROUND(26222.0,2)</f>
        <v/>
      </c>
      <c r="E52" s="3">
        <f>ROUND(15197.0,2)</f>
        <v/>
      </c>
      <c r="F52" s="3">
        <f>ROUND(13169.0,2)</f>
        <v/>
      </c>
      <c r="G52" s="3">
        <f>ROUND(9978.0,2)</f>
        <v/>
      </c>
      <c r="H52" s="3">
        <f>ROUND(8391.0,2)</f>
        <v/>
      </c>
      <c r="I52" s="3">
        <f>ROUND(7282.0,2)</f>
        <v/>
      </c>
      <c r="J52" s="4">
        <f>IFERROR((D52/C52),0)</f>
        <v/>
      </c>
      <c r="K52" s="4">
        <f>IFERROR(((0+B11+B12+B13+B14+B15+B16+B17+B19+B20+B21+B22+B23+B24+B25+B27+B28+B29+B30+B31+B32+B33+B35+B36+B37+B38+B39+B40+B41+B43+B44+B45+B46+B47+B48+B49+B51+B52)/T2),0)</f>
        <v/>
      </c>
      <c r="L52" s="5">
        <f>IFERROR(ROUND(B52/D52,2),0)</f>
        <v/>
      </c>
      <c r="M52" s="5">
        <f>IFERROR(ROUND(B52/E52,2),0)</f>
        <v/>
      </c>
      <c r="N52" s="2" t="inlineStr">
        <is>
          <t>2023-10-26</t>
        </is>
      </c>
      <c r="O52" s="5">
        <f>ROUND(55.32000000000001,2)</f>
        <v/>
      </c>
      <c r="P52" s="3">
        <f>ROUND(105574.0,2)</f>
        <v/>
      </c>
      <c r="Q52" s="3">
        <f>ROUND(13623.0,2)</f>
        <v/>
      </c>
      <c r="R52" s="3">
        <f>ROUND(7502.0,2)</f>
        <v/>
      </c>
      <c r="S52" s="3">
        <f>ROUND(6687.0,2)</f>
        <v/>
      </c>
      <c r="T52" s="3">
        <f>ROUND(5173.0,2)</f>
        <v/>
      </c>
      <c r="U52" s="3">
        <f>ROUND(4338.0,2)</f>
        <v/>
      </c>
      <c r="V52" s="3">
        <f>ROUND(3915.0,2)</f>
        <v/>
      </c>
      <c r="W52" s="4">
        <f>IFERROR((Q52/P52),0)</f>
        <v/>
      </c>
      <c r="X52" s="4">
        <f>IFERROR(((0+O11+O12+O13+O14+O15+O16+O17+O19+O20+O21+O22+O23+O24+O25+O27+O28+O29+O30+O31+O32+O33+O35+O36+O37+O38+O39+O40+O41+O43+O44+O45+O46+O47+O48+O49+O51+O52)/T2),0)</f>
        <v/>
      </c>
      <c r="Y52" s="5">
        <f>IFERROR(ROUND(O52/Q52,2),0)</f>
        <v/>
      </c>
      <c r="Z52" s="5">
        <f>IFERROR(ROUND(O52/R52,2),0)</f>
        <v/>
      </c>
      <c r="AA52" s="2" t="inlineStr">
        <is>
          <t>2023-10-26</t>
        </is>
      </c>
      <c r="AB52" s="5">
        <f>ROUND(40.550000000000004,2)</f>
        <v/>
      </c>
      <c r="AC52" s="3">
        <f>ROUND(64917.0,2)</f>
        <v/>
      </c>
      <c r="AD52" s="3">
        <f>ROUND(10275.0,2)</f>
        <v/>
      </c>
      <c r="AE52" s="3">
        <f>ROUND(5777.0,2)</f>
        <v/>
      </c>
      <c r="AF52" s="3">
        <f>ROUND(4963.0,2)</f>
        <v/>
      </c>
      <c r="AG52" s="3">
        <f>ROUND(3793.0,2)</f>
        <v/>
      </c>
      <c r="AH52" s="3">
        <f>ROUND(3199.0,2)</f>
        <v/>
      </c>
      <c r="AI52" s="3">
        <f>ROUND(2691.0,2)</f>
        <v/>
      </c>
      <c r="AJ52" s="4">
        <f>IFERROR((AD52/AC52),0)</f>
        <v/>
      </c>
      <c r="AK52" s="4">
        <f>IFERROR(((0+AB11+AB12+AB13+AB14+AB15+AB16+AB17+AB19+AB20+AB21+AB22+AB23+AB24+AB25+AB27+AB28+AB29+AB30+AB31+AB32+AB33+AB35+AB36+AB37+AB38+AB39+AB40+AB41+AB43+AB44+AB45+AB46+AB47+AB48+AB49+AB51+AB52)/T2),0)</f>
        <v/>
      </c>
      <c r="AL52" s="5">
        <f>IFERROR(ROUND(AB52/AD52,2),0)</f>
        <v/>
      </c>
      <c r="AM52" s="5">
        <f>IFERROR(ROUND(AB52/AE52,2),0)</f>
        <v/>
      </c>
      <c r="AN52" s="2" t="inlineStr">
        <is>
          <t>2023-10-26</t>
        </is>
      </c>
      <c r="AO52" s="5">
        <f>ROUND(13.85,2)</f>
        <v/>
      </c>
      <c r="AP52" s="3">
        <f>ROUND(19599.0,2)</f>
        <v/>
      </c>
      <c r="AQ52" s="3">
        <f>ROUND(1398.0,2)</f>
        <v/>
      </c>
      <c r="AR52" s="3">
        <f>ROUND(1243.0,2)</f>
        <v/>
      </c>
      <c r="AS52" s="3">
        <f>ROUND(945.0,2)</f>
        <v/>
      </c>
      <c r="AT52" s="3">
        <f>ROUND(643.0,2)</f>
        <v/>
      </c>
      <c r="AU52" s="3">
        <f>ROUND(543.0,2)</f>
        <v/>
      </c>
      <c r="AV52" s="3">
        <f>ROUND(424.0,2)</f>
        <v/>
      </c>
      <c r="AW52" s="4">
        <f>IFERROR((AQ52/AP52),0)</f>
        <v/>
      </c>
      <c r="AX52" s="4">
        <f>IFERROR(((0+AO11+AO12+AO13+AO14+AO15+AO16+AO17+AO19+AO20+AO21+AO22+AO23+AO24+AO25+AO27+AO28+AO29+AO30+AO31+AO32+AO33+AO35+AO36+AO37+AO38+AO39+AO40+AO41+AO43+AO44+AO45+AO46+AO47+AO48+AO49+AO51+AO52)/T2),0)</f>
        <v/>
      </c>
      <c r="AY52" s="5">
        <f>IFERROR(ROUND(AO52/AQ52,2),0)</f>
        <v/>
      </c>
      <c r="AZ52" s="5">
        <f>IFERROR(ROUND(AO52/AR52,2),0)</f>
        <v/>
      </c>
      <c r="BA52" s="2" t="inlineStr">
        <is>
          <t>2023-10-26</t>
        </is>
      </c>
      <c r="BB52" s="5">
        <f>ROUND(4.23,2)</f>
        <v/>
      </c>
      <c r="BC52" s="3">
        <f>ROUND(10111.0,2)</f>
        <v/>
      </c>
      <c r="BD52" s="3">
        <f>ROUND(910.0,2)</f>
        <v/>
      </c>
      <c r="BE52" s="3">
        <f>ROUND(675.0,2)</f>
        <v/>
      </c>
      <c r="BF52" s="3">
        <f>ROUND(574.0,2)</f>
        <v/>
      </c>
      <c r="BG52" s="3">
        <f>ROUND(369.0,2)</f>
        <v/>
      </c>
      <c r="BH52" s="3">
        <f>ROUND(311.0,2)</f>
        <v/>
      </c>
      <c r="BI52" s="3">
        <f>ROUND(252.0,2)</f>
        <v/>
      </c>
      <c r="BJ52" s="4">
        <f>IFERROR((BD52/BC52),0)</f>
        <v/>
      </c>
      <c r="BK52" s="4">
        <f>IFERROR(((0+BB11+BB12+BB13+BB14+BB15+BB16+BB17+BB19+BB20+BB21+BB22+BB23+BB24+BB25+BB27+BB28+BB29+BB30+BB31+BB32+BB33+BB35+BB36+BB37+BB38+BB39+BB40+BB41+BB43+BB44+BB45+BB46+BB47+BB48+BB49+BB51+BB52)/T2),0)</f>
        <v/>
      </c>
      <c r="BL52" s="5">
        <f>IFERROR(ROUND(BB52/BD52,2),0)</f>
        <v/>
      </c>
      <c r="BM52" s="5">
        <f>IFERROR(ROUND(BB52/BE52,2),0)</f>
        <v/>
      </c>
      <c r="BN52" s="2" t="inlineStr">
        <is>
          <t>2023-10-26</t>
        </is>
      </c>
      <c r="BO52" s="5">
        <f>ROUND(0.28,2)</f>
        <v/>
      </c>
      <c r="BP52" s="3">
        <f>ROUND(813.0,2)</f>
        <v/>
      </c>
      <c r="BQ52" s="3">
        <f>ROUND(3.0,2)</f>
        <v/>
      </c>
      <c r="BR52" s="3">
        <f>ROUND(0.0,2)</f>
        <v/>
      </c>
      <c r="BS52" s="3">
        <f>ROUND(0.0,2)</f>
        <v/>
      </c>
      <c r="BT52" s="3">
        <f>ROUND(0.0,2)</f>
        <v/>
      </c>
      <c r="BU52" s="3">
        <f>ROUND(0.0,2)</f>
        <v/>
      </c>
      <c r="BV52" s="3">
        <f>ROUND(0.0,2)</f>
        <v/>
      </c>
      <c r="BW52" s="4">
        <f>IFERROR((BQ52/BP52),0)</f>
        <v/>
      </c>
      <c r="BX52" s="4">
        <f>IFERROR(((0+BO11+BO12+BO13+BO14+BO15+BO16+BO17+BO19+BO20+BO21+BO22+BO23+BO24+BO25+BO27+BO28+BO29+BO30+BO31+BO32+BO33+BO35+BO36+BO37+BO38+BO39+BO40+BO41+BO43+BO44+BO45+BO46+BO47+BO48+BO49+BO51+BO52)/T2),0)</f>
        <v/>
      </c>
      <c r="BY52" s="5">
        <f>IFERROR(ROUND(BO52/BQ52,2),0)</f>
        <v/>
      </c>
      <c r="BZ52" s="5">
        <f>IFERROR(ROUND(BO52/BR52,2),0)</f>
        <v/>
      </c>
      <c r="CA52" s="2" t="inlineStr">
        <is>
          <t>2023-10-26</t>
        </is>
      </c>
      <c r="CB52" s="5">
        <f>ROUND(0.42,2)</f>
        <v/>
      </c>
      <c r="CC52" s="3">
        <f>ROUND(1575.0,2)</f>
        <v/>
      </c>
      <c r="CD52" s="3">
        <f>ROUND(2.0,2)</f>
        <v/>
      </c>
      <c r="CE52" s="3">
        <f>ROUND(0.0,2)</f>
        <v/>
      </c>
      <c r="CF52" s="3">
        <f>ROUND(0.0,2)</f>
        <v/>
      </c>
      <c r="CG52" s="3">
        <f>ROUND(0.0,2)</f>
        <v/>
      </c>
      <c r="CH52" s="3">
        <f>ROUND(0.0,2)</f>
        <v/>
      </c>
      <c r="CI52" s="3">
        <f>ROUND(0.0,2)</f>
        <v/>
      </c>
      <c r="CJ52" s="4">
        <f>IFERROR((CD52/CC52),0)</f>
        <v/>
      </c>
      <c r="CK52" s="4">
        <f>IFERROR(((0+CB11+CB12+CB13+CB14+CB15+CB16+CB17+CB19+CB20+CB21+CB22+CB23+CB24+CB25+CB27+CB28+CB29+CB30+CB31+CB32+CB33+CB35+CB36+CB37+CB38+CB39+CB40+CB41+CB43+CB44+CB45+CB46+CB47+CB48+CB49+CB51+CB52)/T2),0)</f>
        <v/>
      </c>
      <c r="CL52" s="5">
        <f>IFERROR(ROUND(CB52/CD52,2),0)</f>
        <v/>
      </c>
      <c r="CM52" s="5">
        <f>IFERROR(ROUND(CB52/CE52,2),0)</f>
        <v/>
      </c>
      <c r="CN52" s="2" t="inlineStr">
        <is>
          <t>2023-10-26</t>
        </is>
      </c>
      <c r="CO52" s="5">
        <f>ROUND(0.43,2)</f>
        <v/>
      </c>
      <c r="CP52" s="3">
        <f>ROUND(1160.0,2)</f>
        <v/>
      </c>
      <c r="CQ52" s="3">
        <f>ROUND(2.0,2)</f>
        <v/>
      </c>
      <c r="CR52" s="3">
        <f>ROUND(0.0,2)</f>
        <v/>
      </c>
      <c r="CS52" s="3">
        <f>ROUND(0.0,2)</f>
        <v/>
      </c>
      <c r="CT52" s="3">
        <f>ROUND(0.0,2)</f>
        <v/>
      </c>
      <c r="CU52" s="3">
        <f>ROUND(0.0,2)</f>
        <v/>
      </c>
      <c r="CV52" s="3">
        <f>ROUND(0.0,2)</f>
        <v/>
      </c>
      <c r="CW52" s="4">
        <f>IFERROR((CQ52/CP52),0)</f>
        <v/>
      </c>
      <c r="CX52" s="4">
        <f>IFERROR(((0+CO11+CO12+CO13+CO14+CO15+CO16+CO17+CO19+CO20+CO21+CO22+CO23+CO24+CO25+CO27+CO28+CO29+CO30+CO31+CO32+CO33+CO35+CO36+CO37+CO38+CO39+CO40+CO41+CO43+CO44+CO45+CO46+CO47+CO48+CO49+CO51+CO52)/T2),0)</f>
        <v/>
      </c>
      <c r="CY52" s="5">
        <f>IFERROR(ROUND(CO52/CQ52,2),0)</f>
        <v/>
      </c>
      <c r="CZ52" s="5">
        <f>IFERROR(ROUND(CO52/CR52,2),0)</f>
        <v/>
      </c>
      <c r="DA52" s="2" t="inlineStr">
        <is>
          <t>2023-10-26</t>
        </is>
      </c>
      <c r="DB52" s="5">
        <f>ROUND(0.15,2)</f>
        <v/>
      </c>
      <c r="DC52" s="3">
        <f>ROUND(473.0,2)</f>
        <v/>
      </c>
      <c r="DD52" s="3">
        <f>ROUND(0.0,2)</f>
        <v/>
      </c>
      <c r="DE52" s="3">
        <f>ROUND(0.0,2)</f>
        <v/>
      </c>
      <c r="DF52" s="3">
        <f>ROUND(0.0,2)</f>
        <v/>
      </c>
      <c r="DG52" s="3">
        <f>ROUND(0.0,2)</f>
        <v/>
      </c>
      <c r="DH52" s="3">
        <f>ROUND(0.0,2)</f>
        <v/>
      </c>
      <c r="DI52" s="3">
        <f>ROUND(0.0,2)</f>
        <v/>
      </c>
      <c r="DJ52" s="4">
        <f>IFERROR((DD52/DC52),0)</f>
        <v/>
      </c>
      <c r="DK52" s="4">
        <f>IFERROR(((0+DB11+DB12+DB13+DB14+DB15+DB16+DB17+DB19+DB20+DB21+DB22+DB23+DB24+DB25+DB27+DB28+DB29+DB30+DB31+DB32+DB33+DB35+DB36+DB37+DB38+DB39+DB40+DB41+DB43+DB44+DB45+DB46+DB47+DB48+DB49+DB51+DB52)/T2),0)</f>
        <v/>
      </c>
      <c r="DL52" s="5">
        <f>IFERROR(ROUND(DB52/DD52,2),0)</f>
        <v/>
      </c>
      <c r="DM52" s="5">
        <f>IFERROR(ROUND(DB52/DE52,2),0)</f>
        <v/>
      </c>
      <c r="DN52" s="2" t="inlineStr">
        <is>
          <t>2023-10-26</t>
        </is>
      </c>
      <c r="DO52" s="5">
        <f>ROUND(0.49,2)</f>
        <v/>
      </c>
      <c r="DP52" s="3">
        <f>ROUND(1219.0,2)</f>
        <v/>
      </c>
      <c r="DQ52" s="3">
        <f>ROUND(8.0,2)</f>
        <v/>
      </c>
      <c r="DR52" s="3">
        <f>ROUND(0.0,2)</f>
        <v/>
      </c>
      <c r="DS52" s="3">
        <f>ROUND(0.0,2)</f>
        <v/>
      </c>
      <c r="DT52" s="3">
        <f>ROUND(0.0,2)</f>
        <v/>
      </c>
      <c r="DU52" s="3">
        <f>ROUND(0.0,2)</f>
        <v/>
      </c>
      <c r="DV52" s="3">
        <f>ROUND(0.0,2)</f>
        <v/>
      </c>
      <c r="DW52" s="4">
        <f>IFERROR((DQ52/DP52),0)</f>
        <v/>
      </c>
      <c r="DX52" s="4">
        <f>IFERROR(((0+DO11+DO12+DO13+DO14+DO15+DO16+DO17+DO19+DO20+DO21+DO22+DO23+DO24+DO25+DO27+DO28+DO29+DO30+DO31+DO32+DO33+DO35+DO36+DO37+DO38+DO39+DO40+DO41+DO43+DO44+DO45+DO46+DO47+DO48+DO49+DO51+DO52)/T2),0)</f>
        <v/>
      </c>
      <c r="DY52" s="5">
        <f>IFERROR(ROUND(DO52/DQ52,2),0)</f>
        <v/>
      </c>
      <c r="DZ52" s="5">
        <f>IFERROR(ROUND(DO52/DR52,2),0)</f>
        <v/>
      </c>
      <c r="EA52" s="2" t="inlineStr">
        <is>
          <t>2023-10-26</t>
        </is>
      </c>
      <c r="EB52" s="5">
        <f>ROUND(0.15,2)</f>
        <v/>
      </c>
      <c r="EC52" s="3">
        <f>ROUND(518.0,2)</f>
        <v/>
      </c>
      <c r="ED52" s="3">
        <f>ROUND(1.0,2)</f>
        <v/>
      </c>
      <c r="EE52" s="3">
        <f>ROUND(0.0,2)</f>
        <v/>
      </c>
      <c r="EF52" s="3">
        <f>ROUND(0.0,2)</f>
        <v/>
      </c>
      <c r="EG52" s="3">
        <f>ROUND(0.0,2)</f>
        <v/>
      </c>
      <c r="EH52" s="3">
        <f>ROUND(0.0,2)</f>
        <v/>
      </c>
      <c r="EI52" s="3">
        <f>ROUND(0.0,2)</f>
        <v/>
      </c>
      <c r="EJ52" s="4">
        <f>IFERROR((ED52/EC52),0)</f>
        <v/>
      </c>
      <c r="EK52" s="4">
        <f>IFERROR(((0+EB11+EB12+EB13+EB14+EB15+EB16+EB17+EB19+EB20+EB21+EB22+EB23+EB24+EB25+EB27+EB28+EB29+EB30+EB31+EB32+EB33+EB35+EB36+EB37+EB38+EB39+EB40+EB41+EB43+EB44+EB45+EB46+EB47+EB48+EB49+EB51+EB52)/T2),0)</f>
        <v/>
      </c>
      <c r="EL52" s="5">
        <f>IFERROR(ROUND(EB52/ED52,2),0)</f>
        <v/>
      </c>
      <c r="EM52" s="5">
        <f>IFERROR(ROUND(EB52/EE52,2),0)</f>
        <v/>
      </c>
    </row>
    <row r="53">
      <c r="A53" s="2" t="inlineStr">
        <is>
          <t>2023-10-27</t>
        </is>
      </c>
      <c r="B53" s="5">
        <f>ROUND(118.03,2)</f>
        <v/>
      </c>
      <c r="C53" s="3">
        <f>ROUND(211761.0,2)</f>
        <v/>
      </c>
      <c r="D53" s="3">
        <f>ROUND(25530.0,2)</f>
        <v/>
      </c>
      <c r="E53" s="3">
        <f>ROUND(14897.0,2)</f>
        <v/>
      </c>
      <c r="F53" s="3">
        <f>ROUND(12853.0,2)</f>
        <v/>
      </c>
      <c r="G53" s="3">
        <f>ROUND(9683.0,2)</f>
        <v/>
      </c>
      <c r="H53" s="3">
        <f>ROUND(7998.0,2)</f>
        <v/>
      </c>
      <c r="I53" s="3">
        <f>ROUND(6945.0,2)</f>
        <v/>
      </c>
      <c r="J53" s="4">
        <f>IFERROR((D53/C53),0)</f>
        <v/>
      </c>
      <c r="K53" s="4">
        <f>IFERROR(((0+B11+B12+B13+B14+B15+B16+B17+B19+B20+B21+B22+B23+B24+B25+B27+B28+B29+B30+B31+B32+B33+B35+B36+B37+B38+B39+B40+B41+B43+B44+B45+B46+B47+B48+B49+B51+B52+B53)/T2),0)</f>
        <v/>
      </c>
      <c r="L53" s="5">
        <f>IFERROR(ROUND(B53/D53,2),0)</f>
        <v/>
      </c>
      <c r="M53" s="5">
        <f>IFERROR(ROUND(B53/E53,2),0)</f>
        <v/>
      </c>
      <c r="N53" s="2" t="inlineStr">
        <is>
          <t>2023-10-27</t>
        </is>
      </c>
      <c r="O53" s="5">
        <f>ROUND(67.1,2)</f>
        <v/>
      </c>
      <c r="P53" s="3">
        <f>ROUND(126027.0,2)</f>
        <v/>
      </c>
      <c r="Q53" s="3">
        <f>ROUND(15337.0,2)</f>
        <v/>
      </c>
      <c r="R53" s="3">
        <f>ROUND(8488.0,2)</f>
        <v/>
      </c>
      <c r="S53" s="3">
        <f>ROUND(7533.0,2)</f>
        <v/>
      </c>
      <c r="T53" s="3">
        <f>ROUND(5769.0,2)</f>
        <v/>
      </c>
      <c r="U53" s="3">
        <f>ROUND(4733.0,2)</f>
        <v/>
      </c>
      <c r="V53" s="3">
        <f>ROUND(4266.0,2)</f>
        <v/>
      </c>
      <c r="W53" s="4">
        <f>IFERROR((Q53/P53),0)</f>
        <v/>
      </c>
      <c r="X53" s="4">
        <f>IFERROR(((0+O11+O12+O13+O14+O15+O16+O17+O19+O20+O21+O22+O23+O24+O25+O27+O28+O29+O30+O31+O32+O33+O35+O36+O37+O38+O39+O40+O41+O43+O44+O45+O46+O47+O48+O49+O51+O52+O53)/T2),0)</f>
        <v/>
      </c>
      <c r="Y53" s="5">
        <f>IFERROR(ROUND(O53/Q53,2),0)</f>
        <v/>
      </c>
      <c r="Z53" s="5">
        <f>IFERROR(ROUND(O53/R53,2),0)</f>
        <v/>
      </c>
      <c r="AA53" s="2" t="inlineStr">
        <is>
          <t>2023-10-27</t>
        </is>
      </c>
      <c r="AB53" s="5">
        <f>ROUND(28.400000000000002,2)</f>
        <v/>
      </c>
      <c r="AC53" s="3">
        <f>ROUND(43096.0,2)</f>
        <v/>
      </c>
      <c r="AD53" s="3">
        <f>ROUND(6928.0,2)</f>
        <v/>
      </c>
      <c r="AE53" s="3">
        <f>ROUND(3762.0,2)</f>
        <v/>
      </c>
      <c r="AF53" s="3">
        <f>ROUND(3193.0,2)</f>
        <v/>
      </c>
      <c r="AG53" s="3">
        <f>ROUND(2429.0,2)</f>
        <v/>
      </c>
      <c r="AH53" s="3">
        <f>ROUND(2049.0,2)</f>
        <v/>
      </c>
      <c r="AI53" s="3">
        <f>ROUND(1702.0,2)</f>
        <v/>
      </c>
      <c r="AJ53" s="4">
        <f>IFERROR((AD53/AC53),0)</f>
        <v/>
      </c>
      <c r="AK53" s="4">
        <f>IFERROR(((0+AB11+AB12+AB13+AB14+AB15+AB16+AB17+AB19+AB20+AB21+AB22+AB23+AB24+AB25+AB27+AB28+AB29+AB30+AB31+AB32+AB33+AB35+AB36+AB37+AB38+AB39+AB40+AB41+AB43+AB44+AB45+AB46+AB47+AB48+AB49+AB51+AB52+AB53)/T2),0)</f>
        <v/>
      </c>
      <c r="AL53" s="5">
        <f>IFERROR(ROUND(AB53/AD53,2),0)</f>
        <v/>
      </c>
      <c r="AM53" s="5">
        <f>IFERROR(ROUND(AB53/AE53,2),0)</f>
        <v/>
      </c>
      <c r="AN53" s="2" t="inlineStr">
        <is>
          <t>2023-10-27</t>
        </is>
      </c>
      <c r="AO53" s="5">
        <f>ROUND(13.91,2)</f>
        <v/>
      </c>
      <c r="AP53" s="3">
        <f>ROUND(24159.0,2)</f>
        <v/>
      </c>
      <c r="AQ53" s="3">
        <f>ROUND(2225.0,2)</f>
        <v/>
      </c>
      <c r="AR53" s="3">
        <f>ROUND(1821.0,2)</f>
        <v/>
      </c>
      <c r="AS53" s="3">
        <f>ROUND(1461.0,2)</f>
        <v/>
      </c>
      <c r="AT53" s="3">
        <f>ROUND(1041.0,2)</f>
        <v/>
      </c>
      <c r="AU53" s="3">
        <f>ROUND(862.0,2)</f>
        <v/>
      </c>
      <c r="AV53" s="3">
        <f>ROUND(697.0,2)</f>
        <v/>
      </c>
      <c r="AW53" s="4">
        <f>IFERROR((AQ53/AP53),0)</f>
        <v/>
      </c>
      <c r="AX53" s="4">
        <f>IFERROR(((0+AO11+AO12+AO13+AO14+AO15+AO16+AO17+AO19+AO20+AO21+AO22+AO23+AO24+AO25+AO27+AO28+AO29+AO30+AO31+AO32+AO33+AO35+AO36+AO37+AO38+AO39+AO40+AO41+AO43+AO44+AO45+AO46+AO47+AO48+AO49+AO51+AO52+AO53)/T2),0)</f>
        <v/>
      </c>
      <c r="AY53" s="5">
        <f>IFERROR(ROUND(AO53/AQ53,2),0)</f>
        <v/>
      </c>
      <c r="AZ53" s="5">
        <f>IFERROR(ROUND(AO53/AR53,2),0)</f>
        <v/>
      </c>
      <c r="BA53" s="2" t="inlineStr">
        <is>
          <t>2023-10-27</t>
        </is>
      </c>
      <c r="BB53" s="5">
        <f>ROUND(6.1899999999999995,2)</f>
        <v/>
      </c>
      <c r="BC53" s="3">
        <f>ROUND(11643.0,2)</f>
        <v/>
      </c>
      <c r="BD53" s="3">
        <f>ROUND(1005.0,2)</f>
        <v/>
      </c>
      <c r="BE53" s="3">
        <f>ROUND(826.0,2)</f>
        <v/>
      </c>
      <c r="BF53" s="3">
        <f>ROUND(666.0,2)</f>
        <v/>
      </c>
      <c r="BG53" s="3">
        <f>ROUND(444.0,2)</f>
        <v/>
      </c>
      <c r="BH53" s="3">
        <f>ROUND(354.0,2)</f>
        <v/>
      </c>
      <c r="BI53" s="3">
        <f>ROUND(280.0,2)</f>
        <v/>
      </c>
      <c r="BJ53" s="4">
        <f>IFERROR((BD53/BC53),0)</f>
        <v/>
      </c>
      <c r="BK53" s="4">
        <f>IFERROR(((0+BB11+BB12+BB13+BB14+BB15+BB16+BB17+BB19+BB20+BB21+BB22+BB23+BB24+BB25+BB27+BB28+BB29+BB30+BB31+BB32+BB33+BB35+BB36+BB37+BB38+BB39+BB40+BB41+BB43+BB44+BB45+BB46+BB47+BB48+BB49+BB51+BB52+BB53)/T2),0)</f>
        <v/>
      </c>
      <c r="BL53" s="5">
        <f>IFERROR(ROUND(BB53/BD53,2),0)</f>
        <v/>
      </c>
      <c r="BM53" s="5">
        <f>IFERROR(ROUND(BB53/BE53,2),0)</f>
        <v/>
      </c>
      <c r="BN53" s="2" t="inlineStr">
        <is>
          <t>2023-10-27</t>
        </is>
      </c>
      <c r="BO53" s="5">
        <f>ROUND(0.27,2)</f>
        <v/>
      </c>
      <c r="BP53" s="3">
        <f>ROUND(887.0,2)</f>
        <v/>
      </c>
      <c r="BQ53" s="3">
        <f>ROUND(2.0,2)</f>
        <v/>
      </c>
      <c r="BR53" s="3">
        <f>ROUND(0.0,2)</f>
        <v/>
      </c>
      <c r="BS53" s="3">
        <f>ROUND(0.0,2)</f>
        <v/>
      </c>
      <c r="BT53" s="3">
        <f>ROUND(0.0,2)</f>
        <v/>
      </c>
      <c r="BU53" s="3">
        <f>ROUND(0.0,2)</f>
        <v/>
      </c>
      <c r="BV53" s="3">
        <f>ROUND(0.0,2)</f>
        <v/>
      </c>
      <c r="BW53" s="4">
        <f>IFERROR((BQ53/BP53),0)</f>
        <v/>
      </c>
      <c r="BX53" s="4">
        <f>IFERROR(((0+BO11+BO12+BO13+BO14+BO15+BO16+BO17+BO19+BO20+BO21+BO22+BO23+BO24+BO25+BO27+BO28+BO29+BO30+BO31+BO32+BO33+BO35+BO36+BO37+BO38+BO39+BO40+BO41+BO43+BO44+BO45+BO46+BO47+BO48+BO49+BO51+BO52+BO53)/T2),0)</f>
        <v/>
      </c>
      <c r="BY53" s="5">
        <f>IFERROR(ROUND(BO53/BQ53,2),0)</f>
        <v/>
      </c>
      <c r="BZ53" s="5">
        <f>IFERROR(ROUND(BO53/BR53,2),0)</f>
        <v/>
      </c>
      <c r="CA53" s="2" t="inlineStr">
        <is>
          <t>2023-10-27</t>
        </is>
      </c>
      <c r="CB53" s="5">
        <f>ROUND(0.72,2)</f>
        <v/>
      </c>
      <c r="CC53" s="3">
        <f>ROUND(2095.0,2)</f>
        <v/>
      </c>
      <c r="CD53" s="3">
        <f>ROUND(10.0,2)</f>
        <v/>
      </c>
      <c r="CE53" s="3">
        <f>ROUND(0.0,2)</f>
        <v/>
      </c>
      <c r="CF53" s="3">
        <f>ROUND(0.0,2)</f>
        <v/>
      </c>
      <c r="CG53" s="3">
        <f>ROUND(0.0,2)</f>
        <v/>
      </c>
      <c r="CH53" s="3">
        <f>ROUND(0.0,2)</f>
        <v/>
      </c>
      <c r="CI53" s="3">
        <f>ROUND(0.0,2)</f>
        <v/>
      </c>
      <c r="CJ53" s="4">
        <f>IFERROR((CD53/CC53),0)</f>
        <v/>
      </c>
      <c r="CK53" s="4">
        <f>IFERROR(((0+CB11+CB12+CB13+CB14+CB15+CB16+CB17+CB19+CB20+CB21+CB22+CB23+CB24+CB25+CB27+CB28+CB29+CB30+CB31+CB32+CB33+CB35+CB36+CB37+CB38+CB39+CB40+CB41+CB43+CB44+CB45+CB46+CB47+CB48+CB49+CB51+CB52+CB53)/T2),0)</f>
        <v/>
      </c>
      <c r="CL53" s="5">
        <f>IFERROR(ROUND(CB53/CD53,2),0)</f>
        <v/>
      </c>
      <c r="CM53" s="5">
        <f>IFERROR(ROUND(CB53/CE53,2),0)</f>
        <v/>
      </c>
      <c r="CN53" s="2" t="inlineStr">
        <is>
          <t>2023-10-27</t>
        </is>
      </c>
      <c r="CO53" s="5">
        <f>ROUND(0.28,2)</f>
        <v/>
      </c>
      <c r="CP53" s="3">
        <f>ROUND(1152.0,2)</f>
        <v/>
      </c>
      <c r="CQ53" s="3">
        <f>ROUND(8.0,2)</f>
        <v/>
      </c>
      <c r="CR53" s="3">
        <f>ROUND(0.0,2)</f>
        <v/>
      </c>
      <c r="CS53" s="3">
        <f>ROUND(0.0,2)</f>
        <v/>
      </c>
      <c r="CT53" s="3">
        <f>ROUND(0.0,2)</f>
        <v/>
      </c>
      <c r="CU53" s="3">
        <f>ROUND(0.0,2)</f>
        <v/>
      </c>
      <c r="CV53" s="3">
        <f>ROUND(0.0,2)</f>
        <v/>
      </c>
      <c r="CW53" s="4">
        <f>IFERROR((CQ53/CP53),0)</f>
        <v/>
      </c>
      <c r="CX53" s="4">
        <f>IFERROR(((0+CO11+CO12+CO13+CO14+CO15+CO16+CO17+CO19+CO20+CO21+CO22+CO23+CO24+CO25+CO27+CO28+CO29+CO30+CO31+CO32+CO33+CO35+CO36+CO37+CO38+CO39+CO40+CO41+CO43+CO44+CO45+CO46+CO47+CO48+CO49+CO51+CO52+CO53)/T2),0)</f>
        <v/>
      </c>
      <c r="CY53" s="5">
        <f>IFERROR(ROUND(CO53/CQ53,2),0)</f>
        <v/>
      </c>
      <c r="CZ53" s="5">
        <f>IFERROR(ROUND(CO53/CR53,2),0)</f>
        <v/>
      </c>
      <c r="DA53" s="2" t="inlineStr">
        <is>
          <t>2023-10-27</t>
        </is>
      </c>
      <c r="DB53" s="5">
        <f>ROUND(0.5,2)</f>
        <v/>
      </c>
      <c r="DC53" s="3">
        <f>ROUND(673.0,2)</f>
        <v/>
      </c>
      <c r="DD53" s="3">
        <f>ROUND(5.0,2)</f>
        <v/>
      </c>
      <c r="DE53" s="3">
        <f>ROUND(0.0,2)</f>
        <v/>
      </c>
      <c r="DF53" s="3">
        <f>ROUND(0.0,2)</f>
        <v/>
      </c>
      <c r="DG53" s="3">
        <f>ROUND(0.0,2)</f>
        <v/>
      </c>
      <c r="DH53" s="3">
        <f>ROUND(0.0,2)</f>
        <v/>
      </c>
      <c r="DI53" s="3">
        <f>ROUND(0.0,2)</f>
        <v/>
      </c>
      <c r="DJ53" s="4">
        <f>IFERROR((DD53/DC53),0)</f>
        <v/>
      </c>
      <c r="DK53" s="4">
        <f>IFERROR(((0+DB11+DB12+DB13+DB14+DB15+DB16+DB17+DB19+DB20+DB21+DB22+DB23+DB24+DB25+DB27+DB28+DB29+DB30+DB31+DB32+DB33+DB35+DB36+DB37+DB38+DB39+DB40+DB41+DB43+DB44+DB45+DB46+DB47+DB48+DB49+DB51+DB52+DB53)/T2),0)</f>
        <v/>
      </c>
      <c r="DL53" s="5">
        <f>IFERROR(ROUND(DB53/DD53,2),0)</f>
        <v/>
      </c>
      <c r="DM53" s="5">
        <f>IFERROR(ROUND(DB53/DE53,2),0)</f>
        <v/>
      </c>
      <c r="DN53" s="2" t="inlineStr">
        <is>
          <t>2023-10-27</t>
        </is>
      </c>
      <c r="DO53" s="5">
        <f>ROUND(0.48,2)</f>
        <v/>
      </c>
      <c r="DP53" s="3">
        <f>ROUND(1419.0,2)</f>
        <v/>
      </c>
      <c r="DQ53" s="3">
        <f>ROUND(7.0,2)</f>
        <v/>
      </c>
      <c r="DR53" s="3">
        <f>ROUND(0.0,2)</f>
        <v/>
      </c>
      <c r="DS53" s="3">
        <f>ROUND(0.0,2)</f>
        <v/>
      </c>
      <c r="DT53" s="3">
        <f>ROUND(0.0,2)</f>
        <v/>
      </c>
      <c r="DU53" s="3">
        <f>ROUND(0.0,2)</f>
        <v/>
      </c>
      <c r="DV53" s="3">
        <f>ROUND(0.0,2)</f>
        <v/>
      </c>
      <c r="DW53" s="4">
        <f>IFERROR((DQ53/DP53),0)</f>
        <v/>
      </c>
      <c r="DX53" s="4">
        <f>IFERROR(((0+DO11+DO12+DO13+DO14+DO15+DO16+DO17+DO19+DO20+DO21+DO22+DO23+DO24+DO25+DO27+DO28+DO29+DO30+DO31+DO32+DO33+DO35+DO36+DO37+DO38+DO39+DO40+DO41+DO43+DO44+DO45+DO46+DO47+DO48+DO49+DO51+DO52+DO53)/T2),0)</f>
        <v/>
      </c>
      <c r="DY53" s="5">
        <f>IFERROR(ROUND(DO53/DQ53,2),0)</f>
        <v/>
      </c>
      <c r="DZ53" s="5">
        <f>IFERROR(ROUND(DO53/DR53,2),0)</f>
        <v/>
      </c>
      <c r="EA53" s="2" t="inlineStr">
        <is>
          <t>2023-10-27</t>
        </is>
      </c>
      <c r="EB53" s="5">
        <f>ROUND(0.18,2)</f>
        <v/>
      </c>
      <c r="EC53" s="3">
        <f>ROUND(610.0,2)</f>
        <v/>
      </c>
      <c r="ED53" s="3">
        <f>ROUND(3.0,2)</f>
        <v/>
      </c>
      <c r="EE53" s="3">
        <f>ROUND(0.0,2)</f>
        <v/>
      </c>
      <c r="EF53" s="3">
        <f>ROUND(0.0,2)</f>
        <v/>
      </c>
      <c r="EG53" s="3">
        <f>ROUND(0.0,2)</f>
        <v/>
      </c>
      <c r="EH53" s="3">
        <f>ROUND(0.0,2)</f>
        <v/>
      </c>
      <c r="EI53" s="3">
        <f>ROUND(0.0,2)</f>
        <v/>
      </c>
      <c r="EJ53" s="4">
        <f>IFERROR((ED53/EC53),0)</f>
        <v/>
      </c>
      <c r="EK53" s="4">
        <f>IFERROR(((0+EB11+EB12+EB13+EB14+EB15+EB16+EB17+EB19+EB20+EB21+EB22+EB23+EB24+EB25+EB27+EB28+EB29+EB30+EB31+EB32+EB33+EB35+EB36+EB37+EB38+EB39+EB40+EB41+EB43+EB44+EB45+EB46+EB47+EB48+EB49+EB51+EB52+EB53)/T2),0)</f>
        <v/>
      </c>
      <c r="EL53" s="5">
        <f>IFERROR(ROUND(EB53/ED53,2),0)</f>
        <v/>
      </c>
      <c r="EM53" s="5">
        <f>IFERROR(ROUND(EB53/EE53,2),0)</f>
        <v/>
      </c>
    </row>
    <row r="54">
      <c r="A54" s="2" t="inlineStr">
        <is>
          <t>2023-10-28</t>
        </is>
      </c>
      <c r="B54" s="5">
        <f>ROUND(119.21,2)</f>
        <v/>
      </c>
      <c r="C54" s="3">
        <f>ROUND(223055.0,2)</f>
        <v/>
      </c>
      <c r="D54" s="3">
        <f>ROUND(26501.0,2)</f>
        <v/>
      </c>
      <c r="E54" s="3">
        <f>ROUND(15447.0,2)</f>
        <v/>
      </c>
      <c r="F54" s="3">
        <f>ROUND(13294.0,2)</f>
        <v/>
      </c>
      <c r="G54" s="3">
        <f>ROUND(9945.0,2)</f>
        <v/>
      </c>
      <c r="H54" s="3">
        <f>ROUND(8289.0,2)</f>
        <v/>
      </c>
      <c r="I54" s="3">
        <f>ROUND(7126.0,2)</f>
        <v/>
      </c>
      <c r="J54" s="4">
        <f>IFERROR((D54/C54),0)</f>
        <v/>
      </c>
      <c r="K54" s="4">
        <f>IFERROR(((0+B11+B12+B13+B14+B15+B16+B17+B19+B20+B21+B22+B23+B24+B25+B27+B28+B29+B30+B31+B32+B33+B35+B36+B37+B38+B39+B40+B41+B43+B44+B45+B46+B47+B48+B49+B51+B52+B53+B54)/T2),0)</f>
        <v/>
      </c>
      <c r="L54" s="5">
        <f>IFERROR(ROUND(B54/D54,2),0)</f>
        <v/>
      </c>
      <c r="M54" s="5">
        <f>IFERROR(ROUND(B54/E54,2),0)</f>
        <v/>
      </c>
      <c r="N54" s="2" t="inlineStr">
        <is>
          <t>2023-10-28</t>
        </is>
      </c>
      <c r="O54" s="5">
        <f>ROUND(52.839999999999996,2)</f>
        <v/>
      </c>
      <c r="P54" s="3">
        <f>ROUND(104834.0,2)</f>
        <v/>
      </c>
      <c r="Q54" s="3">
        <f>ROUND(12159.0,2)</f>
        <v/>
      </c>
      <c r="R54" s="3">
        <f>ROUND(6596.0,2)</f>
        <v/>
      </c>
      <c r="S54" s="3">
        <f>ROUND(5906.0,2)</f>
        <v/>
      </c>
      <c r="T54" s="3">
        <f>ROUND(4520.0,2)</f>
        <v/>
      </c>
      <c r="U54" s="3">
        <f>ROUND(3720.0,2)</f>
        <v/>
      </c>
      <c r="V54" s="3">
        <f>ROUND(3337.0,2)</f>
        <v/>
      </c>
      <c r="W54" s="4">
        <f>IFERROR((Q54/P54),0)</f>
        <v/>
      </c>
      <c r="X54" s="4">
        <f>IFERROR(((0+O11+O12+O13+O14+O15+O16+O17+O19+O20+O21+O22+O23+O24+O25+O27+O28+O29+O30+O31+O32+O33+O35+O36+O37+O38+O39+O40+O41+O43+O44+O45+O46+O47+O48+O49+O51+O52+O53+O54)/T2),0)</f>
        <v/>
      </c>
      <c r="Y54" s="5">
        <f>IFERROR(ROUND(O54/Q54,2),0)</f>
        <v/>
      </c>
      <c r="Z54" s="5">
        <f>IFERROR(ROUND(O54/R54,2),0)</f>
        <v/>
      </c>
      <c r="AA54" s="2" t="inlineStr">
        <is>
          <t>2023-10-28</t>
        </is>
      </c>
      <c r="AB54" s="5">
        <f>ROUND(48.01,2)</f>
        <v/>
      </c>
      <c r="AC54" s="3">
        <f>ROUND(76297.0,2)</f>
        <v/>
      </c>
      <c r="AD54" s="3">
        <f>ROUND(11440.0,2)</f>
        <v/>
      </c>
      <c r="AE54" s="3">
        <f>ROUND(6269.0,2)</f>
        <v/>
      </c>
      <c r="AF54" s="3">
        <f>ROUND(5296.0,2)</f>
        <v/>
      </c>
      <c r="AG54" s="3">
        <f>ROUND(3967.0,2)</f>
        <v/>
      </c>
      <c r="AH54" s="3">
        <f>ROUND(3351.0,2)</f>
        <v/>
      </c>
      <c r="AI54" s="3">
        <f>ROUND(2802.0,2)</f>
        <v/>
      </c>
      <c r="AJ54" s="4">
        <f>IFERROR((AD54/AC54),0)</f>
        <v/>
      </c>
      <c r="AK54" s="4">
        <f>IFERROR(((0+AB11+AB12+AB13+AB14+AB15+AB16+AB17+AB19+AB20+AB21+AB22+AB23+AB24+AB25+AB27+AB28+AB29+AB30+AB31+AB32+AB33+AB35+AB36+AB37+AB38+AB39+AB40+AB41+AB43+AB44+AB45+AB46+AB47+AB48+AB49+AB51+AB52+AB53+AB54)/T2),0)</f>
        <v/>
      </c>
      <c r="AL54" s="5">
        <f>IFERROR(ROUND(AB54/AD54,2),0)</f>
        <v/>
      </c>
      <c r="AM54" s="5">
        <f>IFERROR(ROUND(AB54/AE54,2),0)</f>
        <v/>
      </c>
      <c r="AN54" s="2" t="inlineStr">
        <is>
          <t>2023-10-28</t>
        </is>
      </c>
      <c r="AO54" s="5">
        <f>ROUND(9.91,2)</f>
        <v/>
      </c>
      <c r="AP54" s="3">
        <f>ROUND(20045.0,2)</f>
        <v/>
      </c>
      <c r="AQ54" s="3">
        <f>ROUND(1257.0,2)</f>
        <v/>
      </c>
      <c r="AR54" s="3">
        <f>ROUND(1320.0,2)</f>
        <v/>
      </c>
      <c r="AS54" s="3">
        <f>ROUND(1029.0,2)</f>
        <v/>
      </c>
      <c r="AT54" s="3">
        <f>ROUND(711.0,2)</f>
        <v/>
      </c>
      <c r="AU54" s="3">
        <f>ROUND(592.0,2)</f>
        <v/>
      </c>
      <c r="AV54" s="3">
        <f>ROUND(479.0,2)</f>
        <v/>
      </c>
      <c r="AW54" s="4">
        <f>IFERROR((AQ54/AP54),0)</f>
        <v/>
      </c>
      <c r="AX54" s="4">
        <f>IFERROR(((0+AO11+AO12+AO13+AO14+AO15+AO16+AO17+AO19+AO20+AO21+AO22+AO23+AO24+AO25+AO27+AO28+AO29+AO30+AO31+AO32+AO33+AO35+AO36+AO37+AO38+AO39+AO40+AO41+AO43+AO44+AO45+AO46+AO47+AO48+AO49+AO51+AO52+AO53+AO54)/T2),0)</f>
        <v/>
      </c>
      <c r="AY54" s="5">
        <f>IFERROR(ROUND(AO54/AQ54,2),0)</f>
        <v/>
      </c>
      <c r="AZ54" s="5">
        <f>IFERROR(ROUND(AO54/AR54,2),0)</f>
        <v/>
      </c>
      <c r="BA54" s="2" t="inlineStr">
        <is>
          <t>2023-10-28</t>
        </is>
      </c>
      <c r="BB54" s="5">
        <f>ROUND(7.23,2)</f>
        <v/>
      </c>
      <c r="BC54" s="3">
        <f>ROUND(15580.0,2)</f>
        <v/>
      </c>
      <c r="BD54" s="3">
        <f>ROUND(1620.0,2)</f>
        <v/>
      </c>
      <c r="BE54" s="3">
        <f>ROUND(1262.0,2)</f>
        <v/>
      </c>
      <c r="BF54" s="3">
        <f>ROUND(1063.0,2)</f>
        <v/>
      </c>
      <c r="BG54" s="3">
        <f>ROUND(747.0,2)</f>
        <v/>
      </c>
      <c r="BH54" s="3">
        <f>ROUND(626.0,2)</f>
        <v/>
      </c>
      <c r="BI54" s="3">
        <f>ROUND(508.0,2)</f>
        <v/>
      </c>
      <c r="BJ54" s="4">
        <f>IFERROR((BD54/BC54),0)</f>
        <v/>
      </c>
      <c r="BK54" s="4">
        <f>IFERROR(((0+BB11+BB12+BB13+BB14+BB15+BB16+BB17+BB19+BB20+BB21+BB22+BB23+BB24+BB25+BB27+BB28+BB29+BB30+BB31+BB32+BB33+BB35+BB36+BB37+BB38+BB39+BB40+BB41+BB43+BB44+BB45+BB46+BB47+BB48+BB49+BB51+BB52+BB53+BB54)/T2),0)</f>
        <v/>
      </c>
      <c r="BL54" s="5">
        <f>IFERROR(ROUND(BB54/BD54,2),0)</f>
        <v/>
      </c>
      <c r="BM54" s="5">
        <f>IFERROR(ROUND(BB54/BE54,2),0)</f>
        <v/>
      </c>
      <c r="BN54" s="2" t="inlineStr">
        <is>
          <t>2023-10-28</t>
        </is>
      </c>
      <c r="BO54" s="5">
        <f>ROUND(0.18,2)</f>
        <v/>
      </c>
      <c r="BP54" s="3">
        <f>ROUND(807.0,2)</f>
        <v/>
      </c>
      <c r="BQ54" s="3">
        <f>ROUND(3.0,2)</f>
        <v/>
      </c>
      <c r="BR54" s="3">
        <f>ROUND(0.0,2)</f>
        <v/>
      </c>
      <c r="BS54" s="3">
        <f>ROUND(0.0,2)</f>
        <v/>
      </c>
      <c r="BT54" s="3">
        <f>ROUND(0.0,2)</f>
        <v/>
      </c>
      <c r="BU54" s="3">
        <f>ROUND(0.0,2)</f>
        <v/>
      </c>
      <c r="BV54" s="3">
        <f>ROUND(0.0,2)</f>
        <v/>
      </c>
      <c r="BW54" s="4">
        <f>IFERROR((BQ54/BP54),0)</f>
        <v/>
      </c>
      <c r="BX54" s="4">
        <f>IFERROR(((0+BO11+BO12+BO13+BO14+BO15+BO16+BO17+BO19+BO20+BO21+BO22+BO23+BO24+BO25+BO27+BO28+BO29+BO30+BO31+BO32+BO33+BO35+BO36+BO37+BO38+BO39+BO40+BO41+BO43+BO44+BO45+BO46+BO47+BO48+BO49+BO51+BO52+BO53+BO54)/T2),0)</f>
        <v/>
      </c>
      <c r="BY54" s="5">
        <f>IFERROR(ROUND(BO54/BQ54,2),0)</f>
        <v/>
      </c>
      <c r="BZ54" s="5">
        <f>IFERROR(ROUND(BO54/BR54,2),0)</f>
        <v/>
      </c>
      <c r="CA54" s="2" t="inlineStr">
        <is>
          <t>2023-10-28</t>
        </is>
      </c>
      <c r="CB54" s="5">
        <f>ROUND(0.32,2)</f>
        <v/>
      </c>
      <c r="CC54" s="3">
        <f>ROUND(1860.0,2)</f>
        <v/>
      </c>
      <c r="CD54" s="3">
        <f>ROUND(3.0,2)</f>
        <v/>
      </c>
      <c r="CE54" s="3">
        <f>ROUND(0.0,2)</f>
        <v/>
      </c>
      <c r="CF54" s="3">
        <f>ROUND(0.0,2)</f>
        <v/>
      </c>
      <c r="CG54" s="3">
        <f>ROUND(0.0,2)</f>
        <v/>
      </c>
      <c r="CH54" s="3">
        <f>ROUND(0.0,2)</f>
        <v/>
      </c>
      <c r="CI54" s="3">
        <f>ROUND(0.0,2)</f>
        <v/>
      </c>
      <c r="CJ54" s="4">
        <f>IFERROR((CD54/CC54),0)</f>
        <v/>
      </c>
      <c r="CK54" s="4">
        <f>IFERROR(((0+CB11+CB12+CB13+CB14+CB15+CB16+CB17+CB19+CB20+CB21+CB22+CB23+CB24+CB25+CB27+CB28+CB29+CB30+CB31+CB32+CB33+CB35+CB36+CB37+CB38+CB39+CB40+CB41+CB43+CB44+CB45+CB46+CB47+CB48+CB49+CB51+CB52+CB53+CB54)/T2),0)</f>
        <v/>
      </c>
      <c r="CL54" s="5">
        <f>IFERROR(ROUND(CB54/CD54,2),0)</f>
        <v/>
      </c>
      <c r="CM54" s="5">
        <f>IFERROR(ROUND(CB54/CE54,2),0)</f>
        <v/>
      </c>
      <c r="CN54" s="2" t="inlineStr">
        <is>
          <t>2023-10-28</t>
        </is>
      </c>
      <c r="CO54" s="5">
        <f>ROUND(0.22,2)</f>
        <v/>
      </c>
      <c r="CP54" s="3">
        <f>ROUND(1298.0,2)</f>
        <v/>
      </c>
      <c r="CQ54" s="3">
        <f>ROUND(5.0,2)</f>
        <v/>
      </c>
      <c r="CR54" s="3">
        <f>ROUND(0.0,2)</f>
        <v/>
      </c>
      <c r="CS54" s="3">
        <f>ROUND(0.0,2)</f>
        <v/>
      </c>
      <c r="CT54" s="3">
        <f>ROUND(0.0,2)</f>
        <v/>
      </c>
      <c r="CU54" s="3">
        <f>ROUND(0.0,2)</f>
        <v/>
      </c>
      <c r="CV54" s="3">
        <f>ROUND(0.0,2)</f>
        <v/>
      </c>
      <c r="CW54" s="4">
        <f>IFERROR((CQ54/CP54),0)</f>
        <v/>
      </c>
      <c r="CX54" s="4">
        <f>IFERROR(((0+CO11+CO12+CO13+CO14+CO15+CO16+CO17+CO19+CO20+CO21+CO22+CO23+CO24+CO25+CO27+CO28+CO29+CO30+CO31+CO32+CO33+CO35+CO36+CO37+CO38+CO39+CO40+CO41+CO43+CO44+CO45+CO46+CO47+CO48+CO49+CO51+CO52+CO53+CO54)/T2),0)</f>
        <v/>
      </c>
      <c r="CY54" s="5">
        <f>IFERROR(ROUND(CO54/CQ54,2),0)</f>
        <v/>
      </c>
      <c r="CZ54" s="5">
        <f>IFERROR(ROUND(CO54/CR54,2),0)</f>
        <v/>
      </c>
      <c r="DA54" s="2" t="inlineStr">
        <is>
          <t>2023-10-28</t>
        </is>
      </c>
      <c r="DB54" s="5">
        <f>ROUND(0.15,2)</f>
        <v/>
      </c>
      <c r="DC54" s="3">
        <f>ROUND(608.0,2)</f>
        <v/>
      </c>
      <c r="DD54" s="3">
        <f>ROUND(4.0,2)</f>
        <v/>
      </c>
      <c r="DE54" s="3">
        <f>ROUND(0.0,2)</f>
        <v/>
      </c>
      <c r="DF54" s="3">
        <f>ROUND(0.0,2)</f>
        <v/>
      </c>
      <c r="DG54" s="3">
        <f>ROUND(0.0,2)</f>
        <v/>
      </c>
      <c r="DH54" s="3">
        <f>ROUND(0.0,2)</f>
        <v/>
      </c>
      <c r="DI54" s="3">
        <f>ROUND(0.0,2)</f>
        <v/>
      </c>
      <c r="DJ54" s="4">
        <f>IFERROR((DD54/DC54),0)</f>
        <v/>
      </c>
      <c r="DK54" s="4">
        <f>IFERROR(((0+DB11+DB12+DB13+DB14+DB15+DB16+DB17+DB19+DB20+DB21+DB22+DB23+DB24+DB25+DB27+DB28+DB29+DB30+DB31+DB32+DB33+DB35+DB36+DB37+DB38+DB39+DB40+DB41+DB43+DB44+DB45+DB46+DB47+DB48+DB49+DB51+DB52+DB53+DB54)/T2),0)</f>
        <v/>
      </c>
      <c r="DL54" s="5">
        <f>IFERROR(ROUND(DB54/DD54,2),0)</f>
        <v/>
      </c>
      <c r="DM54" s="5">
        <f>IFERROR(ROUND(DB54/DE54,2),0)</f>
        <v/>
      </c>
      <c r="DN54" s="2" t="inlineStr">
        <is>
          <t>2023-10-28</t>
        </is>
      </c>
      <c r="DO54" s="5">
        <f>ROUND(0.24,2)</f>
        <v/>
      </c>
      <c r="DP54" s="3">
        <f>ROUND(1312.0,2)</f>
        <v/>
      </c>
      <c r="DQ54" s="3">
        <f>ROUND(4.0,2)</f>
        <v/>
      </c>
      <c r="DR54" s="3">
        <f>ROUND(0.0,2)</f>
        <v/>
      </c>
      <c r="DS54" s="3">
        <f>ROUND(0.0,2)</f>
        <v/>
      </c>
      <c r="DT54" s="3">
        <f>ROUND(0.0,2)</f>
        <v/>
      </c>
      <c r="DU54" s="3">
        <f>ROUND(0.0,2)</f>
        <v/>
      </c>
      <c r="DV54" s="3">
        <f>ROUND(0.0,2)</f>
        <v/>
      </c>
      <c r="DW54" s="4">
        <f>IFERROR((DQ54/DP54),0)</f>
        <v/>
      </c>
      <c r="DX54" s="4">
        <f>IFERROR(((0+DO11+DO12+DO13+DO14+DO15+DO16+DO17+DO19+DO20+DO21+DO22+DO23+DO24+DO25+DO27+DO28+DO29+DO30+DO31+DO32+DO33+DO35+DO36+DO37+DO38+DO39+DO40+DO41+DO43+DO44+DO45+DO46+DO47+DO48+DO49+DO51+DO52+DO53+DO54)/T2),0)</f>
        <v/>
      </c>
      <c r="DY54" s="5">
        <f>IFERROR(ROUND(DO54/DQ54,2),0)</f>
        <v/>
      </c>
      <c r="DZ54" s="5">
        <f>IFERROR(ROUND(DO54/DR54,2),0)</f>
        <v/>
      </c>
      <c r="EA54" s="2" t="inlineStr">
        <is>
          <t>2023-10-28</t>
        </is>
      </c>
      <c r="EB54" s="5">
        <f>ROUND(0.11,2)</f>
        <v/>
      </c>
      <c r="EC54" s="3">
        <f>ROUND(414.0,2)</f>
        <v/>
      </c>
      <c r="ED54" s="3">
        <f>ROUND(6.0,2)</f>
        <v/>
      </c>
      <c r="EE54" s="3">
        <f>ROUND(0.0,2)</f>
        <v/>
      </c>
      <c r="EF54" s="3">
        <f>ROUND(0.0,2)</f>
        <v/>
      </c>
      <c r="EG54" s="3">
        <f>ROUND(0.0,2)</f>
        <v/>
      </c>
      <c r="EH54" s="3">
        <f>ROUND(0.0,2)</f>
        <v/>
      </c>
      <c r="EI54" s="3">
        <f>ROUND(0.0,2)</f>
        <v/>
      </c>
      <c r="EJ54" s="4">
        <f>IFERROR((ED54/EC54),0)</f>
        <v/>
      </c>
      <c r="EK54" s="4">
        <f>IFERROR(((0+EB11+EB12+EB13+EB14+EB15+EB16+EB17+EB19+EB20+EB21+EB22+EB23+EB24+EB25+EB27+EB28+EB29+EB30+EB31+EB32+EB33+EB35+EB36+EB37+EB38+EB39+EB40+EB41+EB43+EB44+EB45+EB46+EB47+EB48+EB49+EB51+EB52+EB53+EB54)/T2),0)</f>
        <v/>
      </c>
      <c r="EL54" s="5">
        <f>IFERROR(ROUND(EB54/ED54,2),0)</f>
        <v/>
      </c>
      <c r="EM54" s="5">
        <f>IFERROR(ROUND(EB54/EE54,2),0)</f>
        <v/>
      </c>
    </row>
    <row r="55">
      <c r="A55" s="2" t="inlineStr">
        <is>
          <t>2023-10-29</t>
        </is>
      </c>
      <c r="B55" s="5">
        <f>ROUND(121.46,2)</f>
        <v/>
      </c>
      <c r="C55" s="3">
        <f>ROUND(254419.0,2)</f>
        <v/>
      </c>
      <c r="D55" s="3">
        <f>ROUND(28756.0,2)</f>
        <v/>
      </c>
      <c r="E55" s="3">
        <f>ROUND(17411.0,2)</f>
        <v/>
      </c>
      <c r="F55" s="3">
        <f>ROUND(15077.0,2)</f>
        <v/>
      </c>
      <c r="G55" s="3">
        <f>ROUND(11369.0,2)</f>
        <v/>
      </c>
      <c r="H55" s="3">
        <f>ROUND(9460.0,2)</f>
        <v/>
      </c>
      <c r="I55" s="3">
        <f>ROUND(8168.0,2)</f>
        <v/>
      </c>
      <c r="J55" s="4">
        <f>IFERROR((D55/C55),0)</f>
        <v/>
      </c>
      <c r="K55" s="4">
        <f>IFERROR(((0+B11+B12+B13+B14+B15+B16+B17+B19+B20+B21+B22+B23+B24+B25+B27+B28+B29+B30+B31+B32+B33+B35+B36+B37+B38+B39+B40+B41+B43+B44+B45+B46+B47+B48+B49+B51+B52+B53+B54+B55)/T2),0)</f>
        <v/>
      </c>
      <c r="L55" s="5">
        <f>IFERROR(ROUND(B55/D55,2),0)</f>
        <v/>
      </c>
      <c r="M55" s="5">
        <f>IFERROR(ROUND(B55/E55,2),0)</f>
        <v/>
      </c>
      <c r="N55" s="2" t="inlineStr">
        <is>
          <t>2023-10-29</t>
        </is>
      </c>
      <c r="O55" s="5">
        <f>ROUND(55.01,2)</f>
        <v/>
      </c>
      <c r="P55" s="3">
        <f>ROUND(121830.0,2)</f>
        <v/>
      </c>
      <c r="Q55" s="3">
        <f>ROUND(13475.0,2)</f>
        <v/>
      </c>
      <c r="R55" s="3">
        <f>ROUND(7705.0,2)</f>
        <v/>
      </c>
      <c r="S55" s="3">
        <f>ROUND(6909.0,2)</f>
        <v/>
      </c>
      <c r="T55" s="3">
        <f>ROUND(5262.0,2)</f>
        <v/>
      </c>
      <c r="U55" s="3">
        <f>ROUND(4341.0,2)</f>
        <v/>
      </c>
      <c r="V55" s="3">
        <f>ROUND(3933.0,2)</f>
        <v/>
      </c>
      <c r="W55" s="4">
        <f>IFERROR((Q55/P55),0)</f>
        <v/>
      </c>
      <c r="X55" s="4">
        <f>IFERROR(((0+O11+O12+O13+O14+O15+O16+O17+O19+O20+O21+O22+O23+O24+O25+O27+O28+O29+O30+O31+O32+O33+O35+O36+O37+O38+O39+O40+O41+O43+O44+O45+O46+O47+O48+O49+O51+O52+O53+O54+O55)/T2),0)</f>
        <v/>
      </c>
      <c r="Y55" s="5">
        <f>IFERROR(ROUND(O55/Q55,2),0)</f>
        <v/>
      </c>
      <c r="Z55" s="5">
        <f>IFERROR(ROUND(O55/R55,2),0)</f>
        <v/>
      </c>
      <c r="AA55" s="2" t="inlineStr">
        <is>
          <t>2023-10-29</t>
        </is>
      </c>
      <c r="AB55" s="5">
        <f>ROUND(43.739999999999995,2)</f>
        <v/>
      </c>
      <c r="AC55" s="3">
        <f>ROUND(78273.0,2)</f>
        <v/>
      </c>
      <c r="AD55" s="3">
        <f>ROUND(10938.0,2)</f>
        <v/>
      </c>
      <c r="AE55" s="3">
        <f>ROUND(6092.0,2)</f>
        <v/>
      </c>
      <c r="AF55" s="3">
        <f>ROUND(5149.0,2)</f>
        <v/>
      </c>
      <c r="AG55" s="3">
        <f>ROUND(3986.0,2)</f>
        <v/>
      </c>
      <c r="AH55" s="3">
        <f>ROUND(3371.0,2)</f>
        <v/>
      </c>
      <c r="AI55" s="3">
        <f>ROUND(2818.0,2)</f>
        <v/>
      </c>
      <c r="AJ55" s="4">
        <f>IFERROR((AD55/AC55),0)</f>
        <v/>
      </c>
      <c r="AK55" s="4">
        <f>IFERROR(((0+AB11+AB12+AB13+AB14+AB15+AB16+AB17+AB19+AB20+AB21+AB22+AB23+AB24+AB25+AB27+AB28+AB29+AB30+AB31+AB32+AB33+AB35+AB36+AB37+AB38+AB39+AB40+AB41+AB43+AB44+AB45+AB46+AB47+AB48+AB49+AB51+AB52+AB53+AB54+AB55)/T2),0)</f>
        <v/>
      </c>
      <c r="AL55" s="5">
        <f>IFERROR(ROUND(AB55/AD55,2),0)</f>
        <v/>
      </c>
      <c r="AM55" s="5">
        <f>IFERROR(ROUND(AB55/AE55,2),0)</f>
        <v/>
      </c>
      <c r="AN55" s="2" t="inlineStr">
        <is>
          <t>2023-10-29</t>
        </is>
      </c>
      <c r="AO55" s="5">
        <f>ROUND(10.73,2)</f>
        <v/>
      </c>
      <c r="AP55" s="3">
        <f>ROUND(23652.0,2)</f>
        <v/>
      </c>
      <c r="AQ55" s="3">
        <f>ROUND(1577.0,2)</f>
        <v/>
      </c>
      <c r="AR55" s="3">
        <f>ROUND(1691.0,2)</f>
        <v/>
      </c>
      <c r="AS55" s="3">
        <f>ROUND(1361.0,2)</f>
        <v/>
      </c>
      <c r="AT55" s="3">
        <f>ROUND(961.0,2)</f>
        <v/>
      </c>
      <c r="AU55" s="3">
        <f>ROUND(811.0,2)</f>
        <v/>
      </c>
      <c r="AV55" s="3">
        <f>ROUND(648.0,2)</f>
        <v/>
      </c>
      <c r="AW55" s="4">
        <f>IFERROR((AQ55/AP55),0)</f>
        <v/>
      </c>
      <c r="AX55" s="4">
        <f>IFERROR(((0+AO11+AO12+AO13+AO14+AO15+AO16+AO17+AO19+AO20+AO21+AO22+AO23+AO24+AO25+AO27+AO28+AO29+AO30+AO31+AO32+AO33+AO35+AO36+AO37+AO38+AO39+AO40+AO41+AO43+AO44+AO45+AO46+AO47+AO48+AO49+AO51+AO52+AO53+AO54+AO55)/T2),0)</f>
        <v/>
      </c>
      <c r="AY55" s="5">
        <f>IFERROR(ROUND(AO55/AQ55,2),0)</f>
        <v/>
      </c>
      <c r="AZ55" s="5">
        <f>IFERROR(ROUND(AO55/AR55,2),0)</f>
        <v/>
      </c>
      <c r="BA55" s="2" t="inlineStr">
        <is>
          <t>2023-10-29</t>
        </is>
      </c>
      <c r="BB55" s="5">
        <f>ROUND(11.15,2)</f>
        <v/>
      </c>
      <c r="BC55" s="3">
        <f>ROUND(25615.0,2)</f>
        <v/>
      </c>
      <c r="BD55" s="3">
        <f>ROUND(2750.0,2)</f>
        <v/>
      </c>
      <c r="BE55" s="3">
        <f>ROUND(1923.0,2)</f>
        <v/>
      </c>
      <c r="BF55" s="3">
        <f>ROUND(1658.0,2)</f>
        <v/>
      </c>
      <c r="BG55" s="3">
        <f>ROUND(1160.0,2)</f>
        <v/>
      </c>
      <c r="BH55" s="3">
        <f>ROUND(937.0,2)</f>
        <v/>
      </c>
      <c r="BI55" s="3">
        <f>ROUND(769.0,2)</f>
        <v/>
      </c>
      <c r="BJ55" s="4">
        <f>IFERROR((BD55/BC55),0)</f>
        <v/>
      </c>
      <c r="BK55" s="4">
        <f>IFERROR(((0+BB11+BB12+BB13+BB14+BB15+BB16+BB17+BB19+BB20+BB21+BB22+BB23+BB24+BB25+BB27+BB28+BB29+BB30+BB31+BB32+BB33+BB35+BB36+BB37+BB38+BB39+BB40+BB41+BB43+BB44+BB45+BB46+BB47+BB48+BB49+BB51+BB52+BB53+BB54+BB55)/T2),0)</f>
        <v/>
      </c>
      <c r="BL55" s="5">
        <f>IFERROR(ROUND(BB55/BD55,2),0)</f>
        <v/>
      </c>
      <c r="BM55" s="5">
        <f>IFERROR(ROUND(BB55/BE55,2),0)</f>
        <v/>
      </c>
      <c r="BN55" s="2" t="inlineStr">
        <is>
          <t>2023-10-29</t>
        </is>
      </c>
      <c r="BO55" s="5">
        <f>ROUND(0.07,2)</f>
        <v/>
      </c>
      <c r="BP55" s="3">
        <f>ROUND(430.0,2)</f>
        <v/>
      </c>
      <c r="BQ55" s="3">
        <f>ROUND(4.0,2)</f>
        <v/>
      </c>
      <c r="BR55" s="3">
        <f>ROUND(0.0,2)</f>
        <v/>
      </c>
      <c r="BS55" s="3">
        <f>ROUND(0.0,2)</f>
        <v/>
      </c>
      <c r="BT55" s="3">
        <f>ROUND(0.0,2)</f>
        <v/>
      </c>
      <c r="BU55" s="3">
        <f>ROUND(0.0,2)</f>
        <v/>
      </c>
      <c r="BV55" s="3">
        <f>ROUND(0.0,2)</f>
        <v/>
      </c>
      <c r="BW55" s="4">
        <f>IFERROR((BQ55/BP55),0)</f>
        <v/>
      </c>
      <c r="BX55" s="4">
        <f>IFERROR(((0+BO11+BO12+BO13+BO14+BO15+BO16+BO17+BO19+BO20+BO21+BO22+BO23+BO24+BO25+BO27+BO28+BO29+BO30+BO31+BO32+BO33+BO35+BO36+BO37+BO38+BO39+BO40+BO41+BO43+BO44+BO45+BO46+BO47+BO48+BO49+BO51+BO52+BO53+BO54+BO55)/T2),0)</f>
        <v/>
      </c>
      <c r="BY55" s="5">
        <f>IFERROR(ROUND(BO55/BQ55,2),0)</f>
        <v/>
      </c>
      <c r="BZ55" s="5">
        <f>IFERROR(ROUND(BO55/BR55,2),0)</f>
        <v/>
      </c>
      <c r="CA55" s="2" t="inlineStr">
        <is>
          <t>2023-10-29</t>
        </is>
      </c>
      <c r="CB55" s="5">
        <f>ROUND(0.32,2)</f>
        <v/>
      </c>
      <c r="CC55" s="3">
        <f>ROUND(2008.0,2)</f>
        <v/>
      </c>
      <c r="CD55" s="3">
        <f>ROUND(4.0,2)</f>
        <v/>
      </c>
      <c r="CE55" s="3">
        <f>ROUND(0.0,2)</f>
        <v/>
      </c>
      <c r="CF55" s="3">
        <f>ROUND(0.0,2)</f>
        <v/>
      </c>
      <c r="CG55" s="3">
        <f>ROUND(0.0,2)</f>
        <v/>
      </c>
      <c r="CH55" s="3">
        <f>ROUND(0.0,2)</f>
        <v/>
      </c>
      <c r="CI55" s="3">
        <f>ROUND(0.0,2)</f>
        <v/>
      </c>
      <c r="CJ55" s="4">
        <f>IFERROR((CD55/CC55),0)</f>
        <v/>
      </c>
      <c r="CK55" s="4">
        <f>IFERROR(((0+CB11+CB12+CB13+CB14+CB15+CB16+CB17+CB19+CB20+CB21+CB22+CB23+CB24+CB25+CB27+CB28+CB29+CB30+CB31+CB32+CB33+CB35+CB36+CB37+CB38+CB39+CB40+CB41+CB43+CB44+CB45+CB46+CB47+CB48+CB49+CB51+CB52+CB53+CB54+CB55)/T2),0)</f>
        <v/>
      </c>
      <c r="CL55" s="5">
        <f>IFERROR(ROUND(CB55/CD55,2),0)</f>
        <v/>
      </c>
      <c r="CM55" s="5">
        <f>IFERROR(ROUND(CB55/CE55,2),0)</f>
        <v/>
      </c>
      <c r="CN55" s="2" t="inlineStr">
        <is>
          <t>2023-10-29</t>
        </is>
      </c>
      <c r="CO55" s="5">
        <f>ROUND(0.12,2)</f>
        <v/>
      </c>
      <c r="CP55" s="3">
        <f>ROUND(885.0,2)</f>
        <v/>
      </c>
      <c r="CQ55" s="3">
        <f>ROUND(1.0,2)</f>
        <v/>
      </c>
      <c r="CR55" s="3">
        <f>ROUND(0.0,2)</f>
        <v/>
      </c>
      <c r="CS55" s="3">
        <f>ROUND(0.0,2)</f>
        <v/>
      </c>
      <c r="CT55" s="3">
        <f>ROUND(0.0,2)</f>
        <v/>
      </c>
      <c r="CU55" s="3">
        <f>ROUND(0.0,2)</f>
        <v/>
      </c>
      <c r="CV55" s="3">
        <f>ROUND(0.0,2)</f>
        <v/>
      </c>
      <c r="CW55" s="4">
        <f>IFERROR((CQ55/CP55),0)</f>
        <v/>
      </c>
      <c r="CX55" s="4">
        <f>IFERROR(((0+CO11+CO12+CO13+CO14+CO15+CO16+CO17+CO19+CO20+CO21+CO22+CO23+CO24+CO25+CO27+CO28+CO29+CO30+CO31+CO32+CO33+CO35+CO36+CO37+CO38+CO39+CO40+CO41+CO43+CO44+CO45+CO46+CO47+CO48+CO49+CO51+CO52+CO53+CO54+CO55)/T2),0)</f>
        <v/>
      </c>
      <c r="CY55" s="5">
        <f>IFERROR(ROUND(CO55/CQ55,2),0)</f>
        <v/>
      </c>
      <c r="CZ55" s="5">
        <f>IFERROR(ROUND(CO55/CR55,2),0)</f>
        <v/>
      </c>
      <c r="DA55" s="2" t="inlineStr">
        <is>
          <t>2023-10-29</t>
        </is>
      </c>
      <c r="DB55" s="5">
        <f>ROUND(0.12,2)</f>
        <v/>
      </c>
      <c r="DC55" s="3">
        <f>ROUND(534.0,2)</f>
        <v/>
      </c>
      <c r="DD55" s="3">
        <f>ROUND(1.0,2)</f>
        <v/>
      </c>
      <c r="DE55" s="3">
        <f>ROUND(0.0,2)</f>
        <v/>
      </c>
      <c r="DF55" s="3">
        <f>ROUND(0.0,2)</f>
        <v/>
      </c>
      <c r="DG55" s="3">
        <f>ROUND(0.0,2)</f>
        <v/>
      </c>
      <c r="DH55" s="3">
        <f>ROUND(0.0,2)</f>
        <v/>
      </c>
      <c r="DI55" s="3">
        <f>ROUND(0.0,2)</f>
        <v/>
      </c>
      <c r="DJ55" s="4">
        <f>IFERROR((DD55/DC55),0)</f>
        <v/>
      </c>
      <c r="DK55" s="4">
        <f>IFERROR(((0+DB11+DB12+DB13+DB14+DB15+DB16+DB17+DB19+DB20+DB21+DB22+DB23+DB24+DB25+DB27+DB28+DB29+DB30+DB31+DB32+DB33+DB35+DB36+DB37+DB38+DB39+DB40+DB41+DB43+DB44+DB45+DB46+DB47+DB48+DB49+DB51+DB52+DB53+DB54+DB55)/T2),0)</f>
        <v/>
      </c>
      <c r="DL55" s="5">
        <f>IFERROR(ROUND(DB55/DD55,2),0)</f>
        <v/>
      </c>
      <c r="DM55" s="5">
        <f>IFERROR(ROUND(DB55/DE55,2),0)</f>
        <v/>
      </c>
      <c r="DN55" s="2" t="inlineStr">
        <is>
          <t>2023-10-29</t>
        </is>
      </c>
      <c r="DO55" s="5">
        <f>ROUND(0.16,2)</f>
        <v/>
      </c>
      <c r="DP55" s="3">
        <f>ROUND(975.0,2)</f>
        <v/>
      </c>
      <c r="DQ55" s="3">
        <f>ROUND(6.0,2)</f>
        <v/>
      </c>
      <c r="DR55" s="3">
        <f>ROUND(0.0,2)</f>
        <v/>
      </c>
      <c r="DS55" s="3">
        <f>ROUND(0.0,2)</f>
        <v/>
      </c>
      <c r="DT55" s="3">
        <f>ROUND(0.0,2)</f>
        <v/>
      </c>
      <c r="DU55" s="3">
        <f>ROUND(0.0,2)</f>
        <v/>
      </c>
      <c r="DV55" s="3">
        <f>ROUND(0.0,2)</f>
        <v/>
      </c>
      <c r="DW55" s="4">
        <f>IFERROR((DQ55/DP55),0)</f>
        <v/>
      </c>
      <c r="DX55" s="4">
        <f>IFERROR(((0+DO11+DO12+DO13+DO14+DO15+DO16+DO17+DO19+DO20+DO21+DO22+DO23+DO24+DO25+DO27+DO28+DO29+DO30+DO31+DO32+DO33+DO35+DO36+DO37+DO38+DO39+DO40+DO41+DO43+DO44+DO45+DO46+DO47+DO48+DO49+DO51+DO52+DO53+DO54+DO55)/T2),0)</f>
        <v/>
      </c>
      <c r="DY55" s="5">
        <f>IFERROR(ROUND(DO55/DQ55,2),0)</f>
        <v/>
      </c>
      <c r="DZ55" s="5">
        <f>IFERROR(ROUND(DO55/DR55,2),0)</f>
        <v/>
      </c>
      <c r="EA55" s="2" t="inlineStr">
        <is>
          <t>2023-10-29</t>
        </is>
      </c>
      <c r="EB55" s="5">
        <f>ROUND(0.04,2)</f>
        <v/>
      </c>
      <c r="EC55" s="3">
        <f>ROUND(217.0,2)</f>
        <v/>
      </c>
      <c r="ED55" s="3">
        <f>ROUND(0.0,2)</f>
        <v/>
      </c>
      <c r="EE55" s="3">
        <f>ROUND(0.0,2)</f>
        <v/>
      </c>
      <c r="EF55" s="3">
        <f>ROUND(0.0,2)</f>
        <v/>
      </c>
      <c r="EG55" s="3">
        <f>ROUND(0.0,2)</f>
        <v/>
      </c>
      <c r="EH55" s="3">
        <f>ROUND(0.0,2)</f>
        <v/>
      </c>
      <c r="EI55" s="3">
        <f>ROUND(0.0,2)</f>
        <v/>
      </c>
      <c r="EJ55" s="4">
        <f>IFERROR((ED55/EC55),0)</f>
        <v/>
      </c>
      <c r="EK55" s="4">
        <f>IFERROR(((0+EB11+EB12+EB13+EB14+EB15+EB16+EB17+EB19+EB20+EB21+EB22+EB23+EB24+EB25+EB27+EB28+EB29+EB30+EB31+EB32+EB33+EB35+EB36+EB37+EB38+EB39+EB40+EB41+EB43+EB44+EB45+EB46+EB47+EB48+EB49+EB51+EB52+EB53+EB54+EB55)/T2),0)</f>
        <v/>
      </c>
      <c r="EL55" s="5">
        <f>IFERROR(ROUND(EB55/ED55,2),0)</f>
        <v/>
      </c>
      <c r="EM55" s="5">
        <f>IFERROR(ROUND(EB55/EE55,2),0)</f>
        <v/>
      </c>
    </row>
    <row r="56">
      <c r="A56" s="6" t="inlineStr">
        <is>
          <t>Total</t>
        </is>
      </c>
      <c r="B56" s="7">
        <f>ROUND(1190.32,2)</f>
        <v/>
      </c>
      <c r="C56" s="8">
        <f>ROUND(2194006.0,2)</f>
        <v/>
      </c>
      <c r="D56" s="8">
        <f>ROUND(260145.0,2)</f>
        <v/>
      </c>
      <c r="E56" s="8">
        <f>ROUND(158899.0,2)</f>
        <v/>
      </c>
      <c r="F56" s="8">
        <f>ROUND(138228.0,2)</f>
        <v/>
      </c>
      <c r="G56" s="8">
        <f>ROUND(104558.0,2)</f>
        <v/>
      </c>
      <c r="H56" s="8">
        <f>ROUND(87609.0,2)</f>
        <v/>
      </c>
      <c r="I56" s="8">
        <f>ROUND(74941.0,2)</f>
        <v/>
      </c>
      <c r="J56" s="9">
        <f>IFERROR((D56/C56),0)</f>
        <v/>
      </c>
      <c r="K56" s="9">
        <f>IFERROR(((0+B56)/T2),0)</f>
        <v/>
      </c>
      <c r="L56" s="7">
        <f>IFERROR(B56/D56,0)</f>
        <v/>
      </c>
      <c r="M56" s="7">
        <f>IFERROR(ROUND(B56/E56,2),0)</f>
        <v/>
      </c>
      <c r="N56" s="6" t="inlineStr">
        <is>
          <t>Total</t>
        </is>
      </c>
      <c r="O56" s="7">
        <f>ROUND(442.86,2)</f>
        <v/>
      </c>
      <c r="P56" s="8">
        <f>ROUND(859234.0,2)</f>
        <v/>
      </c>
      <c r="Q56" s="8">
        <f>ROUND(104726.0,2)</f>
        <v/>
      </c>
      <c r="R56" s="8">
        <f>ROUND(59626.0,2)</f>
        <v/>
      </c>
      <c r="S56" s="8">
        <f>ROUND(53539.0,2)</f>
        <v/>
      </c>
      <c r="T56" s="8">
        <f>ROUND(41140.0,2)</f>
        <v/>
      </c>
      <c r="U56" s="8">
        <f>ROUND(34212.0,2)</f>
        <v/>
      </c>
      <c r="V56" s="8">
        <f>ROUND(30592.0,2)</f>
        <v/>
      </c>
      <c r="W56" s="9">
        <f>IFERROR((Q56/P56),0)</f>
        <v/>
      </c>
      <c r="X56" s="9">
        <f>IFERROR(((0+O56)/T2),0)</f>
        <v/>
      </c>
      <c r="Y56" s="7">
        <f>IFERROR(O56/Q56,0)</f>
        <v/>
      </c>
      <c r="Z56" s="7">
        <f>IFERROR(ROUND(O56/R56,2),0)</f>
        <v/>
      </c>
      <c r="AA56" s="6" t="inlineStr">
        <is>
          <t>Total</t>
        </is>
      </c>
      <c r="AB56" s="7">
        <f>ROUND(362.0,2)</f>
        <v/>
      </c>
      <c r="AC56" s="8">
        <f>ROUND(597598.0,2)</f>
        <v/>
      </c>
      <c r="AD56" s="8">
        <f>ROUND(90038.0,2)</f>
        <v/>
      </c>
      <c r="AE56" s="8">
        <f>ROUND(51078.0,2)</f>
        <v/>
      </c>
      <c r="AF56" s="8">
        <f>ROUND(43845.0,2)</f>
        <v/>
      </c>
      <c r="AG56" s="8">
        <f>ROUND(33706.0,2)</f>
        <v/>
      </c>
      <c r="AH56" s="8">
        <f>ROUND(28590.0,2)</f>
        <v/>
      </c>
      <c r="AI56" s="8">
        <f>ROUND(24084.0,2)</f>
        <v/>
      </c>
      <c r="AJ56" s="9">
        <f>IFERROR((AD56/AC56),0)</f>
        <v/>
      </c>
      <c r="AK56" s="9">
        <f>IFERROR(((0+AB56)/T2),0)</f>
        <v/>
      </c>
      <c r="AL56" s="7">
        <f>IFERROR(AB56/AD56,0)</f>
        <v/>
      </c>
      <c r="AM56" s="7">
        <f>IFERROR(ROUND(AB56/AE56,2),0)</f>
        <v/>
      </c>
      <c r="AN56" s="6" t="inlineStr">
        <is>
          <t>Total</t>
        </is>
      </c>
      <c r="AO56" s="7">
        <f>ROUND(141.34,2)</f>
        <v/>
      </c>
      <c r="AP56" s="8">
        <f>ROUND(238483.0,2)</f>
        <v/>
      </c>
      <c r="AQ56" s="8">
        <f>ROUND(22065.0,2)</f>
        <v/>
      </c>
      <c r="AR56" s="8">
        <f>ROUND(17659.0,2)</f>
        <v/>
      </c>
      <c r="AS56" s="8">
        <f>ROUND(14255.0,2)</f>
        <v/>
      </c>
      <c r="AT56" s="8">
        <f>ROUND(10350.0,2)</f>
        <v/>
      </c>
      <c r="AU56" s="8">
        <f>ROUND(8701.0,2)</f>
        <v/>
      </c>
      <c r="AV56" s="8">
        <f>ROUND(7026.0,2)</f>
        <v/>
      </c>
      <c r="AW56" s="9">
        <f>IFERROR((AQ56/AP56),0)</f>
        <v/>
      </c>
      <c r="AX56" s="9">
        <f>IFERROR(((0+AO56)/T2),0)</f>
        <v/>
      </c>
      <c r="AY56" s="7">
        <f>IFERROR(AO56/AQ56,0)</f>
        <v/>
      </c>
      <c r="AZ56" s="7">
        <f>IFERROR(ROUND(AO56/AR56,2),0)</f>
        <v/>
      </c>
      <c r="BA56" s="6" t="inlineStr">
        <is>
          <t>Total</t>
        </is>
      </c>
      <c r="BB56" s="7">
        <f>ROUND(210.58999999999997,2)</f>
        <v/>
      </c>
      <c r="BC56" s="8">
        <f>ROUND(392593.0,2)</f>
        <v/>
      </c>
      <c r="BD56" s="8">
        <f>ROUND(42870.0,2)</f>
        <v/>
      </c>
      <c r="BE56" s="8">
        <f>ROUND(30536.0,2)</f>
        <v/>
      </c>
      <c r="BF56" s="8">
        <f>ROUND(26589.0,2)</f>
        <v/>
      </c>
      <c r="BG56" s="8">
        <f>ROUND(19362.0,2)</f>
        <v/>
      </c>
      <c r="BH56" s="8">
        <f>ROUND(16106.0,2)</f>
        <v/>
      </c>
      <c r="BI56" s="8">
        <f>ROUND(13239.0,2)</f>
        <v/>
      </c>
      <c r="BJ56" s="9">
        <f>IFERROR((BD56/BC56),0)</f>
        <v/>
      </c>
      <c r="BK56" s="9">
        <f>IFERROR(((0+BB56)/T2),0)</f>
        <v/>
      </c>
      <c r="BL56" s="7">
        <f>IFERROR(BB56/BD56,0)</f>
        <v/>
      </c>
      <c r="BM56" s="7">
        <f>IFERROR(ROUND(BB56/BE56,2),0)</f>
        <v/>
      </c>
      <c r="BN56" s="6" t="inlineStr">
        <is>
          <t>Total</t>
        </is>
      </c>
      <c r="BO56" s="7">
        <f>ROUND(5.2,2)</f>
        <v/>
      </c>
      <c r="BP56" s="8">
        <f>ROUND(15473.0,2)</f>
        <v/>
      </c>
      <c r="BQ56" s="8">
        <f>ROUND(56.0,2)</f>
        <v/>
      </c>
      <c r="BR56" s="8">
        <f>ROUND(0.0,2)</f>
        <v/>
      </c>
      <c r="BS56" s="8">
        <f>ROUND(0.0,2)</f>
        <v/>
      </c>
      <c r="BT56" s="8">
        <f>ROUND(0.0,2)</f>
        <v/>
      </c>
      <c r="BU56" s="8">
        <f>ROUND(0.0,2)</f>
        <v/>
      </c>
      <c r="BV56" s="8">
        <f>ROUND(0.0,2)</f>
        <v/>
      </c>
      <c r="BW56" s="9">
        <f>IFERROR((BQ56/BP56),0)</f>
        <v/>
      </c>
      <c r="BX56" s="9">
        <f>IFERROR(((0+BO56)/T2),0)</f>
        <v/>
      </c>
      <c r="BY56" s="7">
        <f>IFERROR(BO56/BQ56,0)</f>
        <v/>
      </c>
      <c r="BZ56" s="7">
        <f>IFERROR(ROUND(BO56/BR56,2),0)</f>
        <v/>
      </c>
      <c r="CA56" s="6" t="inlineStr">
        <is>
          <t>Total</t>
        </is>
      </c>
      <c r="CB56" s="7">
        <f>ROUND(7.68,2)</f>
        <v/>
      </c>
      <c r="CC56" s="8">
        <f>ROUND(26466.0,2)</f>
        <v/>
      </c>
      <c r="CD56" s="8">
        <f>ROUND(73.0,2)</f>
        <v/>
      </c>
      <c r="CE56" s="8">
        <f>ROUND(0.0,2)</f>
        <v/>
      </c>
      <c r="CF56" s="8">
        <f>ROUND(0.0,2)</f>
        <v/>
      </c>
      <c r="CG56" s="8">
        <f>ROUND(0.0,2)</f>
        <v/>
      </c>
      <c r="CH56" s="8">
        <f>ROUND(0.0,2)</f>
        <v/>
      </c>
      <c r="CI56" s="8">
        <f>ROUND(0.0,2)</f>
        <v/>
      </c>
      <c r="CJ56" s="9">
        <f>IFERROR((CD56/CC56),0)</f>
        <v/>
      </c>
      <c r="CK56" s="9">
        <f>IFERROR(((0+CB56)/T2),0)</f>
        <v/>
      </c>
      <c r="CL56" s="7">
        <f>IFERROR(CB56/CD56,0)</f>
        <v/>
      </c>
      <c r="CM56" s="7">
        <f>IFERROR(ROUND(CB56/CE56,2),0)</f>
        <v/>
      </c>
      <c r="CN56" s="6" t="inlineStr">
        <is>
          <t>Total</t>
        </is>
      </c>
      <c r="CO56" s="7">
        <f>ROUND(7.029999999999999,2)</f>
        <v/>
      </c>
      <c r="CP56" s="8">
        <f>ROUND(22596.0,2)</f>
        <v/>
      </c>
      <c r="CQ56" s="8">
        <f>ROUND(92.0,2)</f>
        <v/>
      </c>
      <c r="CR56" s="8">
        <f>ROUND(0.0,2)</f>
        <v/>
      </c>
      <c r="CS56" s="8">
        <f>ROUND(0.0,2)</f>
        <v/>
      </c>
      <c r="CT56" s="8">
        <f>ROUND(0.0,2)</f>
        <v/>
      </c>
      <c r="CU56" s="8">
        <f>ROUND(0.0,2)</f>
        <v/>
      </c>
      <c r="CV56" s="8">
        <f>ROUND(0.0,2)</f>
        <v/>
      </c>
      <c r="CW56" s="9">
        <f>IFERROR((CQ56/CP56),0)</f>
        <v/>
      </c>
      <c r="CX56" s="9">
        <f>IFERROR(((0+CO56)/T2),0)</f>
        <v/>
      </c>
      <c r="CY56" s="7">
        <f>IFERROR(CO56/CQ56,0)</f>
        <v/>
      </c>
      <c r="CZ56" s="7">
        <f>IFERROR(ROUND(CO56/CR56,2),0)</f>
        <v/>
      </c>
      <c r="DA56" s="6" t="inlineStr">
        <is>
          <t>Total</t>
        </is>
      </c>
      <c r="DB56" s="7">
        <f>ROUND(3.4,2)</f>
        <v/>
      </c>
      <c r="DC56" s="8">
        <f>ROUND(8930.0,2)</f>
        <v/>
      </c>
      <c r="DD56" s="8">
        <f>ROUND(43.0,2)</f>
        <v/>
      </c>
      <c r="DE56" s="8">
        <f>ROUND(0.0,2)</f>
        <v/>
      </c>
      <c r="DF56" s="8">
        <f>ROUND(0.0,2)</f>
        <v/>
      </c>
      <c r="DG56" s="8">
        <f>ROUND(0.0,2)</f>
        <v/>
      </c>
      <c r="DH56" s="8">
        <f>ROUND(0.0,2)</f>
        <v/>
      </c>
      <c r="DI56" s="8">
        <f>ROUND(0.0,2)</f>
        <v/>
      </c>
      <c r="DJ56" s="9">
        <f>IFERROR((DD56/DC56),0)</f>
        <v/>
      </c>
      <c r="DK56" s="9">
        <f>IFERROR(((0+DB56)/T2),0)</f>
        <v/>
      </c>
      <c r="DL56" s="7">
        <f>IFERROR(DB56/DD56,0)</f>
        <v/>
      </c>
      <c r="DM56" s="7">
        <f>IFERROR(ROUND(DB56/DE56,2),0)</f>
        <v/>
      </c>
      <c r="DN56" s="6" t="inlineStr">
        <is>
          <t>Total</t>
        </is>
      </c>
      <c r="DO56" s="7">
        <f>ROUND(7.7,2)</f>
        <v/>
      </c>
      <c r="DP56" s="8">
        <f>ROUND(24076.0,2)</f>
        <v/>
      </c>
      <c r="DQ56" s="8">
        <f>ROUND(142.0,2)</f>
        <v/>
      </c>
      <c r="DR56" s="8">
        <f>ROUND(0.0,2)</f>
        <v/>
      </c>
      <c r="DS56" s="8">
        <f>ROUND(0.0,2)</f>
        <v/>
      </c>
      <c r="DT56" s="8">
        <f>ROUND(0.0,2)</f>
        <v/>
      </c>
      <c r="DU56" s="8">
        <f>ROUND(0.0,2)</f>
        <v/>
      </c>
      <c r="DV56" s="8">
        <f>ROUND(0.0,2)</f>
        <v/>
      </c>
      <c r="DW56" s="9">
        <f>IFERROR((DQ56/DP56),0)</f>
        <v/>
      </c>
      <c r="DX56" s="9">
        <f>IFERROR(((0+DO56)/T2),0)</f>
        <v/>
      </c>
      <c r="DY56" s="7">
        <f>IFERROR(DO56/DQ56,0)</f>
        <v/>
      </c>
      <c r="DZ56" s="7">
        <f>IFERROR(ROUND(DO56/DR56,2),0)</f>
        <v/>
      </c>
      <c r="EA56" s="6" t="inlineStr">
        <is>
          <t>Total</t>
        </is>
      </c>
      <c r="EB56" s="7">
        <f>ROUND(2.52,2)</f>
        <v/>
      </c>
      <c r="EC56" s="8">
        <f>ROUND(8557.0,2)</f>
        <v/>
      </c>
      <c r="ED56" s="8">
        <f>ROUND(40.0,2)</f>
        <v/>
      </c>
      <c r="EE56" s="8">
        <f>ROUND(0.0,2)</f>
        <v/>
      </c>
      <c r="EF56" s="8">
        <f>ROUND(0.0,2)</f>
        <v/>
      </c>
      <c r="EG56" s="8">
        <f>ROUND(0.0,2)</f>
        <v/>
      </c>
      <c r="EH56" s="8">
        <f>ROUND(0.0,2)</f>
        <v/>
      </c>
      <c r="EI56" s="8">
        <f>ROUND(0.0,2)</f>
        <v/>
      </c>
      <c r="EJ56" s="9">
        <f>IFERROR((ED56/EC56),0)</f>
        <v/>
      </c>
      <c r="EK56" s="9">
        <f>IFERROR(((0+EB56)/T2),0)</f>
        <v/>
      </c>
      <c r="EL56" s="7">
        <f>IFERROR(EB56/ED56,0)</f>
        <v/>
      </c>
      <c r="EM56" s="7">
        <f>IFERROR(ROUND(EB56/EE56,2),0)</f>
        <v/>
      </c>
    </row>
  </sheetData>
  <mergeCells count="10">
    <mergeCell ref="DN9:DZ9"/>
    <mergeCell ref="AA9:AM9"/>
    <mergeCell ref="N9:Z9"/>
    <mergeCell ref="BA9:BM9"/>
    <mergeCell ref="CA9:CM9"/>
    <mergeCell ref="BN9:BZ9"/>
    <mergeCell ref="AN9:AZ9"/>
    <mergeCell ref="EA9:EM9"/>
    <mergeCell ref="CN9:CZ9"/>
    <mergeCell ref="DA9:DM9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M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ROUND(0.0,2)</f>
        <v/>
      </c>
      <c r="C2" s="3">
        <f>ROUND(0.0,2)</f>
        <v/>
      </c>
      <c r="D2" s="3">
        <f>ROUND(0.0,2)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ROUND(0.0,2)</f>
        <v/>
      </c>
      <c r="C3" s="3">
        <f>ROUND(0.0,2)</f>
        <v/>
      </c>
      <c r="D3" s="3">
        <f>ROUND(0.0,2)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ROUND(0.0,2)</f>
        <v/>
      </c>
      <c r="C4" s="3">
        <f>ROUND(0.0,2)</f>
        <v/>
      </c>
      <c r="D4" s="3">
        <f>ROUND(0.0,2)</f>
        <v/>
      </c>
      <c r="E4" s="3">
        <f>ROUND(0.0,2)</f>
        <v/>
      </c>
      <c r="F4" s="3">
        <f>ROUND(0.0,2)</f>
        <v/>
      </c>
      <c r="G4" s="3">
        <f>ROUND(0.0,2)</f>
        <v/>
      </c>
      <c r="H4" s="3">
        <f>ROUND(0.0,2)</f>
        <v/>
      </c>
      <c r="I4" s="3">
        <f>ROUND(0.0,2)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ROUND(0.0,2)</f>
        <v/>
      </c>
      <c r="C5" s="3">
        <f>ROUND(0.0,2)</f>
        <v/>
      </c>
      <c r="D5" s="3">
        <f>ROUND(0.0,2)</f>
        <v/>
      </c>
      <c r="E5" s="3">
        <f>ROUND(0.0,2)</f>
        <v/>
      </c>
      <c r="F5" s="3">
        <f>ROUND(0.0,2)</f>
        <v/>
      </c>
      <c r="G5" s="3">
        <f>ROUND(0.0,2)</f>
        <v/>
      </c>
      <c r="H5" s="3">
        <f>ROUND(0.0,2)</f>
        <v/>
      </c>
      <c r="I5" s="3">
        <f>ROUND(0.0,2)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ROUND(107.05,2)</f>
        <v/>
      </c>
      <c r="C6" s="3">
        <f>ROUND(45141.0,2)</f>
        <v/>
      </c>
      <c r="D6" s="3">
        <f>ROUND(1171.0,2)</f>
        <v/>
      </c>
      <c r="E6" s="3">
        <f>ROUND(11178.0,2)</f>
        <v/>
      </c>
      <c r="F6" s="3">
        <f>ROUND(9201.0,2)</f>
        <v/>
      </c>
      <c r="G6" s="3">
        <f>ROUND(6832.0,2)</f>
        <v/>
      </c>
      <c r="H6" s="3">
        <f>ROUND(6204.0,2)</f>
        <v/>
      </c>
      <c r="I6" s="3">
        <f>ROUND(5275.0,2)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2" t="inlineStr">
        <is>
          <t>6</t>
        </is>
      </c>
      <c r="B7" s="3">
        <f>ROUND(105.36,2)</f>
        <v/>
      </c>
      <c r="C7" s="3">
        <f>ROUND(41243.0,2)</f>
        <v/>
      </c>
      <c r="D7" s="3">
        <f>ROUND(1111.0,2)</f>
        <v/>
      </c>
      <c r="E7" s="3">
        <f>ROUND(10428.0,2)</f>
        <v/>
      </c>
      <c r="F7" s="3">
        <f>ROUND(8660.0,2)</f>
        <v/>
      </c>
      <c r="G7" s="3">
        <f>ROUND(6730.0,2)</f>
        <v/>
      </c>
      <c r="H7" s="3">
        <f>ROUND(6175.0,2)</f>
        <v/>
      </c>
      <c r="I7" s="3">
        <f>ROUND(5316.0,2)</f>
        <v/>
      </c>
      <c r="J7" s="4">
        <f>IFERROR((D7/C7),0)</f>
        <v/>
      </c>
      <c r="K7" s="4">
        <f>IFERROR(((0+B2+B3+B4+B5+B6+B7)/T2),0)</f>
        <v/>
      </c>
      <c r="L7" s="5">
        <f>IFERROR(ROUND(B7/D7,2),0)</f>
        <v/>
      </c>
      <c r="M7" s="5">
        <f>IFERROR(ROUND(B7/E7,2),0)</f>
        <v/>
      </c>
    </row>
    <row r="8">
      <c r="A8" s="6" t="inlineStr">
        <is>
          <t>Total</t>
        </is>
      </c>
      <c r="B8" s="7">
        <f>ROUND(212.41,2)</f>
        <v/>
      </c>
      <c r="C8" s="8">
        <f>ROUND(86384.0,2)</f>
        <v/>
      </c>
      <c r="D8" s="8">
        <f>ROUND(2282.0,2)</f>
        <v/>
      </c>
      <c r="E8" s="8">
        <f>ROUND(21606.0,2)</f>
        <v/>
      </c>
      <c r="F8" s="8">
        <f>ROUND(17861.0,2)</f>
        <v/>
      </c>
      <c r="G8" s="8">
        <f>ROUND(13562.0,2)</f>
        <v/>
      </c>
      <c r="H8" s="8">
        <f>ROUND(12379.0,2)</f>
        <v/>
      </c>
      <c r="I8" s="8">
        <f>ROUND(10591.0,2)</f>
        <v/>
      </c>
      <c r="J8" s="9">
        <f>IFERROR((D8/C8),0)</f>
        <v/>
      </c>
      <c r="K8" s="9">
        <f>IFERROR(((0+B8)/T2),0)</f>
        <v/>
      </c>
      <c r="L8" s="7">
        <f>IFERROR(B8/D8,0)</f>
        <v/>
      </c>
      <c r="M8" s="7">
        <f>IFERROR(ROUND(B8/E8,2),0)</f>
        <v/>
      </c>
      <c r="N8" s="1" t="inlineStr">
        <is>
          <t>Static</t>
        </is>
      </c>
      <c r="AA8" s="1" t="inlineStr">
        <is>
          <t>Static</t>
        </is>
      </c>
      <c r="AN8" s="1" t="inlineStr">
        <is>
          <t>Static</t>
        </is>
      </c>
      <c r="BA8" s="1" t="inlineStr">
        <is>
          <t>Static</t>
        </is>
      </c>
      <c r="BN8" s="1" t="inlineStr">
        <is>
          <t>Static</t>
        </is>
      </c>
      <c r="CA8" s="1" t="inlineStr">
        <is>
          <t>Static</t>
        </is>
      </c>
      <c r="CN8" s="1" t="inlineStr">
        <is>
          <t>Video</t>
        </is>
      </c>
      <c r="DA8" s="1" t="inlineStr">
        <is>
          <t>Video</t>
        </is>
      </c>
      <c r="DN8" s="1" t="inlineStr">
        <is>
          <t>Video</t>
        </is>
      </c>
      <c r="EA8" s="1" t="inlineStr">
        <is>
          <t>Video</t>
        </is>
      </c>
    </row>
    <row r="9">
      <c r="N9" s="1" t="inlineStr">
        <is>
          <t xml:space="preserve">DW_OP01 (EN) </t>
        </is>
      </c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1" t="n"/>
      <c r="AA9" s="1" t="inlineStr">
        <is>
          <t xml:space="preserve">WM_OP01 (EN) </t>
        </is>
      </c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1" t="n"/>
      <c r="AN9" s="1" t="inlineStr">
        <is>
          <t xml:space="preserve">Ref_ThinQ_OP01 (EN) </t>
        </is>
      </c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1" t="n"/>
      <c r="BA9" s="1" t="inlineStr">
        <is>
          <t xml:space="preserve">Knock_OP01 (EN) </t>
        </is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 t="n"/>
      <c r="BK9" s="10" t="n"/>
      <c r="BL9" s="10" t="n"/>
      <c r="BM9" s="11" t="n"/>
      <c r="BN9" s="1" t="inlineStr">
        <is>
          <t xml:space="preserve">Oled_VO_OP01 (EN) </t>
        </is>
      </c>
      <c r="BO9" s="10" t="n"/>
      <c r="BP9" s="10" t="n"/>
      <c r="BQ9" s="10" t="n"/>
      <c r="BR9" s="10" t="n"/>
      <c r="BS9" s="10" t="n"/>
      <c r="BT9" s="10" t="n"/>
      <c r="BU9" s="10" t="n"/>
      <c r="BV9" s="10" t="n"/>
      <c r="BW9" s="10" t="n"/>
      <c r="BX9" s="10" t="n"/>
      <c r="BY9" s="10" t="n"/>
      <c r="BZ9" s="11" t="n"/>
      <c r="CA9" s="1" t="inlineStr">
        <is>
          <t xml:space="preserve">RAC_ThinQ_OP01 (EN) </t>
        </is>
      </c>
      <c r="CB9" s="10" t="n"/>
      <c r="CC9" s="10" t="n"/>
      <c r="CD9" s="10" t="n"/>
      <c r="CE9" s="10" t="n"/>
      <c r="CF9" s="10" t="n"/>
      <c r="CG9" s="10" t="n"/>
      <c r="CH9" s="10" t="n"/>
      <c r="CI9" s="10" t="n"/>
      <c r="CJ9" s="10" t="n"/>
      <c r="CK9" s="10" t="n"/>
      <c r="CL9" s="10" t="n"/>
      <c r="CM9" s="11" t="n"/>
      <c r="CN9" s="1" t="inlineStr">
        <is>
          <t xml:space="preserve">DW (EN) </t>
        </is>
      </c>
      <c r="CO9" s="10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 t="n"/>
      <c r="CY9" s="10" t="n"/>
      <c r="CZ9" s="11" t="n"/>
      <c r="DA9" s="1" t="inlineStr">
        <is>
          <t xml:space="preserve">Oled_VO (EN) </t>
        </is>
      </c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1" t="n"/>
      <c r="DN9" s="1" t="inlineStr">
        <is>
          <t xml:space="preserve">Knock (EN) </t>
        </is>
      </c>
      <c r="DO9" s="10" t="n"/>
      <c r="DP9" s="10" t="n"/>
      <c r="DQ9" s="10" t="n"/>
      <c r="DR9" s="10" t="n"/>
      <c r="DS9" s="10" t="n"/>
      <c r="DT9" s="10" t="n"/>
      <c r="DU9" s="10" t="n"/>
      <c r="DV9" s="10" t="n"/>
      <c r="DW9" s="10" t="n"/>
      <c r="DX9" s="10" t="n"/>
      <c r="DY9" s="10" t="n"/>
      <c r="DZ9" s="11" t="n"/>
      <c r="EA9" s="1" t="inlineStr">
        <is>
          <t xml:space="preserve">RAC_ThinQ (EN) </t>
        </is>
      </c>
      <c r="EB9" s="10" t="n"/>
      <c r="EC9" s="10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 t="n"/>
      <c r="EM9" s="11" t="n"/>
    </row>
    <row r="10">
      <c r="A10" s="1" t="inlineStr">
        <is>
          <t>date</t>
        </is>
      </c>
      <c r="B10" s="1" t="inlineStr">
        <is>
          <t>budget</t>
        </is>
      </c>
      <c r="C10" s="1" t="inlineStr">
        <is>
          <t>impressions</t>
        </is>
      </c>
      <c r="D10" s="1" t="inlineStr">
        <is>
          <t>clicks</t>
        </is>
      </c>
      <c r="E10" s="1" t="inlineStr">
        <is>
          <t>view</t>
        </is>
      </c>
      <c r="F10" s="1" t="inlineStr">
        <is>
          <t>percent_25</t>
        </is>
      </c>
      <c r="G10" s="1" t="inlineStr">
        <is>
          <t>percent_50</t>
        </is>
      </c>
      <c r="H10" s="1" t="inlineStr">
        <is>
          <t>percent_75</t>
        </is>
      </c>
      <c r="I10" s="1" t="inlineStr">
        <is>
          <t>percent_100</t>
        </is>
      </c>
      <c r="J10" s="1" t="inlineStr">
        <is>
          <t>CTR</t>
        </is>
      </c>
      <c r="K10" s="1" t="inlineStr">
        <is>
          <t>Spent Budget %</t>
        </is>
      </c>
      <c r="L10" s="1" t="inlineStr">
        <is>
          <t>CPC</t>
        </is>
      </c>
      <c r="M10" s="1" t="inlineStr">
        <is>
          <t>CPV</t>
        </is>
      </c>
      <c r="N10" s="1" t="inlineStr">
        <is>
          <t>date</t>
        </is>
      </c>
      <c r="O10" s="1" t="inlineStr">
        <is>
          <t>budget</t>
        </is>
      </c>
      <c r="P10" s="1" t="inlineStr">
        <is>
          <t>impressions</t>
        </is>
      </c>
      <c r="Q10" s="1" t="inlineStr">
        <is>
          <t>clicks</t>
        </is>
      </c>
      <c r="R10" s="1" t="inlineStr">
        <is>
          <t>view</t>
        </is>
      </c>
      <c r="S10" s="1" t="inlineStr">
        <is>
          <t>percent_25</t>
        </is>
      </c>
      <c r="T10" s="1" t="inlineStr">
        <is>
          <t>percent_50</t>
        </is>
      </c>
      <c r="U10" s="1" t="inlineStr">
        <is>
          <t>percent_75</t>
        </is>
      </c>
      <c r="V10" s="1" t="inlineStr">
        <is>
          <t>percent_100</t>
        </is>
      </c>
      <c r="W10" s="1" t="inlineStr">
        <is>
          <t>CTR</t>
        </is>
      </c>
      <c r="X10" s="1" t="inlineStr">
        <is>
          <t>Spent Budget %</t>
        </is>
      </c>
      <c r="Y10" s="1" t="inlineStr">
        <is>
          <t>CPC</t>
        </is>
      </c>
      <c r="Z10" s="1" t="inlineStr">
        <is>
          <t>CPV</t>
        </is>
      </c>
      <c r="AA10" s="1" t="inlineStr">
        <is>
          <t>date</t>
        </is>
      </c>
      <c r="AB10" s="1" t="inlineStr">
        <is>
          <t>budget</t>
        </is>
      </c>
      <c r="AC10" s="1" t="inlineStr">
        <is>
          <t>impressions</t>
        </is>
      </c>
      <c r="AD10" s="1" t="inlineStr">
        <is>
          <t>clicks</t>
        </is>
      </c>
      <c r="AE10" s="1" t="inlineStr">
        <is>
          <t>view</t>
        </is>
      </c>
      <c r="AF10" s="1" t="inlineStr">
        <is>
          <t>percent_25</t>
        </is>
      </c>
      <c r="AG10" s="1" t="inlineStr">
        <is>
          <t>percent_50</t>
        </is>
      </c>
      <c r="AH10" s="1" t="inlineStr">
        <is>
          <t>percent_75</t>
        </is>
      </c>
      <c r="AI10" s="1" t="inlineStr">
        <is>
          <t>percent_100</t>
        </is>
      </c>
      <c r="AJ10" s="1" t="inlineStr">
        <is>
          <t>CTR</t>
        </is>
      </c>
      <c r="AK10" s="1" t="inlineStr">
        <is>
          <t>Spent Budget %</t>
        </is>
      </c>
      <c r="AL10" s="1" t="inlineStr">
        <is>
          <t>CPC</t>
        </is>
      </c>
      <c r="AM10" s="1" t="inlineStr">
        <is>
          <t>CPV</t>
        </is>
      </c>
      <c r="AN10" s="1" t="inlineStr">
        <is>
          <t>date</t>
        </is>
      </c>
      <c r="AO10" s="1" t="inlineStr">
        <is>
          <t>budget</t>
        </is>
      </c>
      <c r="AP10" s="1" t="inlineStr">
        <is>
          <t>impressions</t>
        </is>
      </c>
      <c r="AQ10" s="1" t="inlineStr">
        <is>
          <t>clicks</t>
        </is>
      </c>
      <c r="AR10" s="1" t="inlineStr">
        <is>
          <t>view</t>
        </is>
      </c>
      <c r="AS10" s="1" t="inlineStr">
        <is>
          <t>percent_25</t>
        </is>
      </c>
      <c r="AT10" s="1" t="inlineStr">
        <is>
          <t>percent_50</t>
        </is>
      </c>
      <c r="AU10" s="1" t="inlineStr">
        <is>
          <t>percent_75</t>
        </is>
      </c>
      <c r="AV10" s="1" t="inlineStr">
        <is>
          <t>percent_100</t>
        </is>
      </c>
      <c r="AW10" s="1" t="inlineStr">
        <is>
          <t>CTR</t>
        </is>
      </c>
      <c r="AX10" s="1" t="inlineStr">
        <is>
          <t>Spent Budget %</t>
        </is>
      </c>
      <c r="AY10" s="1" t="inlineStr">
        <is>
          <t>CPC</t>
        </is>
      </c>
      <c r="AZ10" s="1" t="inlineStr">
        <is>
          <t>CPV</t>
        </is>
      </c>
      <c r="BA10" s="1" t="inlineStr">
        <is>
          <t>date</t>
        </is>
      </c>
      <c r="BB10" s="1" t="inlineStr">
        <is>
          <t>budget</t>
        </is>
      </c>
      <c r="BC10" s="1" t="inlineStr">
        <is>
          <t>impressions</t>
        </is>
      </c>
      <c r="BD10" s="1" t="inlineStr">
        <is>
          <t>clicks</t>
        </is>
      </c>
      <c r="BE10" s="1" t="inlineStr">
        <is>
          <t>view</t>
        </is>
      </c>
      <c r="BF10" s="1" t="inlineStr">
        <is>
          <t>percent_25</t>
        </is>
      </c>
      <c r="BG10" s="1" t="inlineStr">
        <is>
          <t>percent_50</t>
        </is>
      </c>
      <c r="BH10" s="1" t="inlineStr">
        <is>
          <t>percent_75</t>
        </is>
      </c>
      <c r="BI10" s="1" t="inlineStr">
        <is>
          <t>percent_100</t>
        </is>
      </c>
      <c r="BJ10" s="1" t="inlineStr">
        <is>
          <t>CTR</t>
        </is>
      </c>
      <c r="BK10" s="1" t="inlineStr">
        <is>
          <t>Spent Budget %</t>
        </is>
      </c>
      <c r="BL10" s="1" t="inlineStr">
        <is>
          <t>CPC</t>
        </is>
      </c>
      <c r="BM10" s="1" t="inlineStr">
        <is>
          <t>CPV</t>
        </is>
      </c>
      <c r="BN10" s="1" t="inlineStr">
        <is>
          <t>date</t>
        </is>
      </c>
      <c r="BO10" s="1" t="inlineStr">
        <is>
          <t>budget</t>
        </is>
      </c>
      <c r="BP10" s="1" t="inlineStr">
        <is>
          <t>impressions</t>
        </is>
      </c>
      <c r="BQ10" s="1" t="inlineStr">
        <is>
          <t>clicks</t>
        </is>
      </c>
      <c r="BR10" s="1" t="inlineStr">
        <is>
          <t>view</t>
        </is>
      </c>
      <c r="BS10" s="1" t="inlineStr">
        <is>
          <t>percent_25</t>
        </is>
      </c>
      <c r="BT10" s="1" t="inlineStr">
        <is>
          <t>percent_50</t>
        </is>
      </c>
      <c r="BU10" s="1" t="inlineStr">
        <is>
          <t>percent_75</t>
        </is>
      </c>
      <c r="BV10" s="1" t="inlineStr">
        <is>
          <t>percent_100</t>
        </is>
      </c>
      <c r="BW10" s="1" t="inlineStr">
        <is>
          <t>CTR</t>
        </is>
      </c>
      <c r="BX10" s="1" t="inlineStr">
        <is>
          <t>Spent Budget %</t>
        </is>
      </c>
      <c r="BY10" s="1" t="inlineStr">
        <is>
          <t>CPC</t>
        </is>
      </c>
      <c r="BZ10" s="1" t="inlineStr">
        <is>
          <t>CPV</t>
        </is>
      </c>
      <c r="CA10" s="1" t="inlineStr">
        <is>
          <t>date</t>
        </is>
      </c>
      <c r="CB10" s="1" t="inlineStr">
        <is>
          <t>budget</t>
        </is>
      </c>
      <c r="CC10" s="1" t="inlineStr">
        <is>
          <t>impressions</t>
        </is>
      </c>
      <c r="CD10" s="1" t="inlineStr">
        <is>
          <t>clicks</t>
        </is>
      </c>
      <c r="CE10" s="1" t="inlineStr">
        <is>
          <t>view</t>
        </is>
      </c>
      <c r="CF10" s="1" t="inlineStr">
        <is>
          <t>percent_25</t>
        </is>
      </c>
      <c r="CG10" s="1" t="inlineStr">
        <is>
          <t>percent_50</t>
        </is>
      </c>
      <c r="CH10" s="1" t="inlineStr">
        <is>
          <t>percent_75</t>
        </is>
      </c>
      <c r="CI10" s="1" t="inlineStr">
        <is>
          <t>percent_100</t>
        </is>
      </c>
      <c r="CJ10" s="1" t="inlineStr">
        <is>
          <t>CTR</t>
        </is>
      </c>
      <c r="CK10" s="1" t="inlineStr">
        <is>
          <t>Spent Budget %</t>
        </is>
      </c>
      <c r="CL10" s="1" t="inlineStr">
        <is>
          <t>CPC</t>
        </is>
      </c>
      <c r="CM10" s="1" t="inlineStr">
        <is>
          <t>CPV</t>
        </is>
      </c>
      <c r="CN10" s="1" t="inlineStr">
        <is>
          <t>date</t>
        </is>
      </c>
      <c r="CO10" s="1" t="inlineStr">
        <is>
          <t>budget</t>
        </is>
      </c>
      <c r="CP10" s="1" t="inlineStr">
        <is>
          <t>impressions</t>
        </is>
      </c>
      <c r="CQ10" s="1" t="inlineStr">
        <is>
          <t>clicks</t>
        </is>
      </c>
      <c r="CR10" s="1" t="inlineStr">
        <is>
          <t>view</t>
        </is>
      </c>
      <c r="CS10" s="1" t="inlineStr">
        <is>
          <t>percent_25</t>
        </is>
      </c>
      <c r="CT10" s="1" t="inlineStr">
        <is>
          <t>percent_50</t>
        </is>
      </c>
      <c r="CU10" s="1" t="inlineStr">
        <is>
          <t>percent_75</t>
        </is>
      </c>
      <c r="CV10" s="1" t="inlineStr">
        <is>
          <t>percent_100</t>
        </is>
      </c>
      <c r="CW10" s="1" t="inlineStr">
        <is>
          <t>CTR</t>
        </is>
      </c>
      <c r="CX10" s="1" t="inlineStr">
        <is>
          <t>Spent Budget %</t>
        </is>
      </c>
      <c r="CY10" s="1" t="inlineStr">
        <is>
          <t>CPC</t>
        </is>
      </c>
      <c r="CZ10" s="1" t="inlineStr">
        <is>
          <t>CPV</t>
        </is>
      </c>
      <c r="DA10" s="1" t="inlineStr">
        <is>
          <t>date</t>
        </is>
      </c>
      <c r="DB10" s="1" t="inlineStr">
        <is>
          <t>budget</t>
        </is>
      </c>
      <c r="DC10" s="1" t="inlineStr">
        <is>
          <t>impressions</t>
        </is>
      </c>
      <c r="DD10" s="1" t="inlineStr">
        <is>
          <t>clicks</t>
        </is>
      </c>
      <c r="DE10" s="1" t="inlineStr">
        <is>
          <t>view</t>
        </is>
      </c>
      <c r="DF10" s="1" t="inlineStr">
        <is>
          <t>percent_25</t>
        </is>
      </c>
      <c r="DG10" s="1" t="inlineStr">
        <is>
          <t>percent_50</t>
        </is>
      </c>
      <c r="DH10" s="1" t="inlineStr">
        <is>
          <t>percent_75</t>
        </is>
      </c>
      <c r="DI10" s="1" t="inlineStr">
        <is>
          <t>percent_100</t>
        </is>
      </c>
      <c r="DJ10" s="1" t="inlineStr">
        <is>
          <t>CTR</t>
        </is>
      </c>
      <c r="DK10" s="1" t="inlineStr">
        <is>
          <t>Spent Budget %</t>
        </is>
      </c>
      <c r="DL10" s="1" t="inlineStr">
        <is>
          <t>CPC</t>
        </is>
      </c>
      <c r="DM10" s="1" t="inlineStr">
        <is>
          <t>CPV</t>
        </is>
      </c>
      <c r="DN10" s="1" t="inlineStr">
        <is>
          <t>date</t>
        </is>
      </c>
      <c r="DO10" s="1" t="inlineStr">
        <is>
          <t>budget</t>
        </is>
      </c>
      <c r="DP10" s="1" t="inlineStr">
        <is>
          <t>impressions</t>
        </is>
      </c>
      <c r="DQ10" s="1" t="inlineStr">
        <is>
          <t>clicks</t>
        </is>
      </c>
      <c r="DR10" s="1" t="inlineStr">
        <is>
          <t>view</t>
        </is>
      </c>
      <c r="DS10" s="1" t="inlineStr">
        <is>
          <t>percent_25</t>
        </is>
      </c>
      <c r="DT10" s="1" t="inlineStr">
        <is>
          <t>percent_50</t>
        </is>
      </c>
      <c r="DU10" s="1" t="inlineStr">
        <is>
          <t>percent_75</t>
        </is>
      </c>
      <c r="DV10" s="1" t="inlineStr">
        <is>
          <t>percent_100</t>
        </is>
      </c>
      <c r="DW10" s="1" t="inlineStr">
        <is>
          <t>CTR</t>
        </is>
      </c>
      <c r="DX10" s="1" t="inlineStr">
        <is>
          <t>Spent Budget %</t>
        </is>
      </c>
      <c r="DY10" s="1" t="inlineStr">
        <is>
          <t>CPC</t>
        </is>
      </c>
      <c r="DZ10" s="1" t="inlineStr">
        <is>
          <t>CPV</t>
        </is>
      </c>
      <c r="EA10" s="1" t="inlineStr">
        <is>
          <t>date</t>
        </is>
      </c>
      <c r="EB10" s="1" t="inlineStr">
        <is>
          <t>budget</t>
        </is>
      </c>
      <c r="EC10" s="1" t="inlineStr">
        <is>
          <t>impressions</t>
        </is>
      </c>
      <c r="ED10" s="1" t="inlineStr">
        <is>
          <t>clicks</t>
        </is>
      </c>
      <c r="EE10" s="1" t="inlineStr">
        <is>
          <t>view</t>
        </is>
      </c>
      <c r="EF10" s="1" t="inlineStr">
        <is>
          <t>percent_25</t>
        </is>
      </c>
      <c r="EG10" s="1" t="inlineStr">
        <is>
          <t>percent_50</t>
        </is>
      </c>
      <c r="EH10" s="1" t="inlineStr">
        <is>
          <t>percent_75</t>
        </is>
      </c>
      <c r="EI10" s="1" t="inlineStr">
        <is>
          <t>percent_100</t>
        </is>
      </c>
      <c r="EJ10" s="1" t="inlineStr">
        <is>
          <t>CTR</t>
        </is>
      </c>
      <c r="EK10" s="1" t="inlineStr">
        <is>
          <t>Spent Budget %</t>
        </is>
      </c>
      <c r="EL10" s="1" t="inlineStr">
        <is>
          <t>CPC</t>
        </is>
      </c>
      <c r="EM10" s="1" t="inlineStr">
        <is>
          <t>CPV</t>
        </is>
      </c>
    </row>
    <row r="11">
      <c r="A11" s="2" t="inlineStr">
        <is>
          <t>2023-09-20</t>
        </is>
      </c>
      <c r="B11" s="5">
        <f>ROUND(0.0,2)</f>
        <v/>
      </c>
      <c r="C11" s="3">
        <f>ROUND(0.0,2)</f>
        <v/>
      </c>
      <c r="D11" s="3">
        <f>ROUND(0.0,2)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2023-09-20</t>
        </is>
      </c>
      <c r="O11" s="5">
        <f>ROUND(0.0,2)</f>
        <v/>
      </c>
      <c r="P11" s="3">
        <f>ROUND(0.0,2)</f>
        <v/>
      </c>
      <c r="Q11" s="3">
        <f>ROUND(0.0,2)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2023-09-20</t>
        </is>
      </c>
      <c r="AB11" s="5">
        <f>ROUND(0.0,2)</f>
        <v/>
      </c>
      <c r="AC11" s="3">
        <f>ROUND(0.0,2)</f>
        <v/>
      </c>
      <c r="AD11" s="3">
        <f>ROUND(0.0,2)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2023-09-20</t>
        </is>
      </c>
      <c r="AO11" s="5">
        <f>ROUND(0.0,2)</f>
        <v/>
      </c>
      <c r="AP11" s="3">
        <f>ROUND(0.0,2)</f>
        <v/>
      </c>
      <c r="AQ11" s="3">
        <f>ROUND(0.0,2)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2023-09-20</t>
        </is>
      </c>
      <c r="BB11" s="5">
        <f>ROUND(0.0,2)</f>
        <v/>
      </c>
      <c r="BC11" s="3">
        <f>ROUND(0.0,2)</f>
        <v/>
      </c>
      <c r="BD11" s="3">
        <f>ROUND(0.0,2)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2023-09-20</t>
        </is>
      </c>
      <c r="BO11" s="5">
        <f>ROUND(0.0,2)</f>
        <v/>
      </c>
      <c r="BP11" s="3">
        <f>ROUND(0.0,2)</f>
        <v/>
      </c>
      <c r="BQ11" s="3">
        <f>ROUND(0.0,2)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2023-09-20</t>
        </is>
      </c>
      <c r="CB11" s="5">
        <f>ROUND(0.0,2)</f>
        <v/>
      </c>
      <c r="CC11" s="3">
        <f>ROUND(0.0,2)</f>
        <v/>
      </c>
      <c r="CD11" s="3">
        <f>ROUND(0.0,2)</f>
        <v/>
      </c>
      <c r="CE11" s="3">
        <f>ROUND(0.0,2)</f>
        <v/>
      </c>
      <c r="CF11" s="3">
        <f>ROUND(0.0,2)</f>
        <v/>
      </c>
      <c r="CG11" s="3">
        <f>ROUND(0.0,2)</f>
        <v/>
      </c>
      <c r="CH11" s="3">
        <f>ROUND(0.0,2)</f>
        <v/>
      </c>
      <c r="CI11" s="3">
        <f>ROUND(0.0,2)</f>
        <v/>
      </c>
      <c r="CJ11" s="4">
        <f>IFERROR((CD11/CC11),0)</f>
        <v/>
      </c>
      <c r="CK11" s="4">
        <f>IFERROR(((0+CB11)/T2),0)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2023-09-20</t>
        </is>
      </c>
      <c r="CO11" s="5">
        <f>ROUND(0.0,2)</f>
        <v/>
      </c>
      <c r="CP11" s="3">
        <f>ROUND(0.0,2)</f>
        <v/>
      </c>
      <c r="CQ11" s="3">
        <f>ROUND(0.0,2)</f>
        <v/>
      </c>
      <c r="CR11" s="3">
        <f>ROUND(0.0,2)</f>
        <v/>
      </c>
      <c r="CS11" s="3">
        <f>ROUND(0.0,2)</f>
        <v/>
      </c>
      <c r="CT11" s="3">
        <f>ROUND(0.0,2)</f>
        <v/>
      </c>
      <c r="CU11" s="3">
        <f>ROUND(0.0,2)</f>
        <v/>
      </c>
      <c r="CV11" s="3">
        <f>ROUND(0.0,2)</f>
        <v/>
      </c>
      <c r="CW11" s="4">
        <f>IFERROR((CQ11/CP11),0)</f>
        <v/>
      </c>
      <c r="CX11" s="4">
        <f>IFERROR(((0+CO11)/T2),0)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2023-09-20</t>
        </is>
      </c>
      <c r="DB11" s="5">
        <f>ROUND(0.0,2)</f>
        <v/>
      </c>
      <c r="DC11" s="3">
        <f>ROUND(0.0,2)</f>
        <v/>
      </c>
      <c r="DD11" s="3">
        <f>ROUND(0.0,2)</f>
        <v/>
      </c>
      <c r="DE11" s="3">
        <f>ROUND(0.0,2)</f>
        <v/>
      </c>
      <c r="DF11" s="3">
        <f>ROUND(0.0,2)</f>
        <v/>
      </c>
      <c r="DG11" s="3">
        <f>ROUND(0.0,2)</f>
        <v/>
      </c>
      <c r="DH11" s="3">
        <f>ROUND(0.0,2)</f>
        <v/>
      </c>
      <c r="DI11" s="3">
        <f>ROUND(0.0,2)</f>
        <v/>
      </c>
      <c r="DJ11" s="4">
        <f>IFERROR((DD11/DC11),0)</f>
        <v/>
      </c>
      <c r="DK11" s="4">
        <f>IFERROR(((0+DB11)/T2),0)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2023-09-20</t>
        </is>
      </c>
      <c r="DO11" s="5">
        <f>ROUND(0.0,2)</f>
        <v/>
      </c>
      <c r="DP11" s="3">
        <f>ROUND(0.0,2)</f>
        <v/>
      </c>
      <c r="DQ11" s="3">
        <f>ROUND(0.0,2)</f>
        <v/>
      </c>
      <c r="DR11" s="3">
        <f>ROUND(0.0,2)</f>
        <v/>
      </c>
      <c r="DS11" s="3">
        <f>ROUND(0.0,2)</f>
        <v/>
      </c>
      <c r="DT11" s="3">
        <f>ROUND(0.0,2)</f>
        <v/>
      </c>
      <c r="DU11" s="3">
        <f>ROUND(0.0,2)</f>
        <v/>
      </c>
      <c r="DV11" s="3">
        <f>ROUND(0.0,2)</f>
        <v/>
      </c>
      <c r="DW11" s="4">
        <f>IFERROR((DQ11/DP11),0)</f>
        <v/>
      </c>
      <c r="DX11" s="4">
        <f>IFERROR(((0+DO11)/T2),0)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2023-09-20</t>
        </is>
      </c>
      <c r="EB11" s="5">
        <f>ROUND(0.0,2)</f>
        <v/>
      </c>
      <c r="EC11" s="3">
        <f>ROUND(0.0,2)</f>
        <v/>
      </c>
      <c r="ED11" s="3">
        <f>ROUND(0.0,2)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IFERROR(((0+EB11)/T2),0)</f>
        <v/>
      </c>
      <c r="EL11" s="5">
        <f>IFERROR(ROUND(EB11/ED11,2),0)</f>
        <v/>
      </c>
      <c r="EM11" s="5">
        <f>IFERROR(ROUND(EB11/EE11,2),0)</f>
        <v/>
      </c>
    </row>
    <row r="12">
      <c r="A12" s="2" t="inlineStr">
        <is>
          <t>2023-09-21</t>
        </is>
      </c>
      <c r="B12" s="5">
        <f>ROUND(0.0,2)</f>
        <v/>
      </c>
      <c r="C12" s="3">
        <f>ROUND(0.0,2)</f>
        <v/>
      </c>
      <c r="D12" s="3">
        <f>ROUND(0.0,2)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2023-09-21</t>
        </is>
      </c>
      <c r="O12" s="5">
        <f>ROUND(0.0,2)</f>
        <v/>
      </c>
      <c r="P12" s="3">
        <f>ROUND(0.0,2)</f>
        <v/>
      </c>
      <c r="Q12" s="3">
        <f>ROUND(0.0,2)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2023-09-21</t>
        </is>
      </c>
      <c r="AB12" s="5">
        <f>ROUND(0.0,2)</f>
        <v/>
      </c>
      <c r="AC12" s="3">
        <f>ROUND(0.0,2)</f>
        <v/>
      </c>
      <c r="AD12" s="3">
        <f>ROUND(0.0,2)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2023-09-21</t>
        </is>
      </c>
      <c r="AO12" s="5">
        <f>ROUND(0.0,2)</f>
        <v/>
      </c>
      <c r="AP12" s="3">
        <f>ROUND(0.0,2)</f>
        <v/>
      </c>
      <c r="AQ12" s="3">
        <f>ROUND(0.0,2)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2023-09-21</t>
        </is>
      </c>
      <c r="BB12" s="5">
        <f>ROUND(0.0,2)</f>
        <v/>
      </c>
      <c r="BC12" s="3">
        <f>ROUND(0.0,2)</f>
        <v/>
      </c>
      <c r="BD12" s="3">
        <f>ROUND(0.0,2)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2023-09-21</t>
        </is>
      </c>
      <c r="BO12" s="5">
        <f>ROUND(0.0,2)</f>
        <v/>
      </c>
      <c r="BP12" s="3">
        <f>ROUND(0.0,2)</f>
        <v/>
      </c>
      <c r="BQ12" s="3">
        <f>ROUND(0.0,2)</f>
        <v/>
      </c>
      <c r="BR12" s="3">
        <f>ROUND(0.0,2)</f>
        <v/>
      </c>
      <c r="BS12" s="3">
        <f>ROUND(0.0,2)</f>
        <v/>
      </c>
      <c r="BT12" s="3">
        <f>ROUND(0.0,2)</f>
        <v/>
      </c>
      <c r="BU12" s="3">
        <f>ROUND(0.0,2)</f>
        <v/>
      </c>
      <c r="BV12" s="3">
        <f>ROUND(0.0,2)</f>
        <v/>
      </c>
      <c r="BW12" s="4">
        <f>IFERROR((BQ12/BP12),0)</f>
        <v/>
      </c>
      <c r="BX12" s="4">
        <f>IFERROR(((0+BO11+BO12)/T2),0)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2023-09-21</t>
        </is>
      </c>
      <c r="CB12" s="5">
        <f>ROUND(0.0,2)</f>
        <v/>
      </c>
      <c r="CC12" s="3">
        <f>ROUND(0.0,2)</f>
        <v/>
      </c>
      <c r="CD12" s="3">
        <f>ROUND(0.0,2)</f>
        <v/>
      </c>
      <c r="CE12" s="3">
        <f>ROUND(0.0,2)</f>
        <v/>
      </c>
      <c r="CF12" s="3">
        <f>ROUND(0.0,2)</f>
        <v/>
      </c>
      <c r="CG12" s="3">
        <f>ROUND(0.0,2)</f>
        <v/>
      </c>
      <c r="CH12" s="3">
        <f>ROUND(0.0,2)</f>
        <v/>
      </c>
      <c r="CI12" s="3">
        <f>ROUND(0.0,2)</f>
        <v/>
      </c>
      <c r="CJ12" s="4">
        <f>IFERROR((CD12/CC12),0)</f>
        <v/>
      </c>
      <c r="CK12" s="4">
        <f>IFERROR(((0+CB11+CB12)/T2),0)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2023-09-21</t>
        </is>
      </c>
      <c r="CO12" s="5">
        <f>ROUND(0.0,2)</f>
        <v/>
      </c>
      <c r="CP12" s="3">
        <f>ROUND(0.0,2)</f>
        <v/>
      </c>
      <c r="CQ12" s="3">
        <f>ROUND(0.0,2)</f>
        <v/>
      </c>
      <c r="CR12" s="3">
        <f>ROUND(0.0,2)</f>
        <v/>
      </c>
      <c r="CS12" s="3">
        <f>ROUND(0.0,2)</f>
        <v/>
      </c>
      <c r="CT12" s="3">
        <f>ROUND(0.0,2)</f>
        <v/>
      </c>
      <c r="CU12" s="3">
        <f>ROUND(0.0,2)</f>
        <v/>
      </c>
      <c r="CV12" s="3">
        <f>ROUND(0.0,2)</f>
        <v/>
      </c>
      <c r="CW12" s="4">
        <f>IFERROR((CQ12/CP12),0)</f>
        <v/>
      </c>
      <c r="CX12" s="4">
        <f>IFERROR(((0+CO11+CO12)/T2),0)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2023-09-21</t>
        </is>
      </c>
      <c r="DB12" s="5">
        <f>ROUND(0.0,2)</f>
        <v/>
      </c>
      <c r="DC12" s="3">
        <f>ROUND(0.0,2)</f>
        <v/>
      </c>
      <c r="DD12" s="3">
        <f>ROUND(0.0,2)</f>
        <v/>
      </c>
      <c r="DE12" s="3">
        <f>ROUND(0.0,2)</f>
        <v/>
      </c>
      <c r="DF12" s="3">
        <f>ROUND(0.0,2)</f>
        <v/>
      </c>
      <c r="DG12" s="3">
        <f>ROUND(0.0,2)</f>
        <v/>
      </c>
      <c r="DH12" s="3">
        <f>ROUND(0.0,2)</f>
        <v/>
      </c>
      <c r="DI12" s="3">
        <f>ROUND(0.0,2)</f>
        <v/>
      </c>
      <c r="DJ12" s="4">
        <f>IFERROR((DD12/DC12),0)</f>
        <v/>
      </c>
      <c r="DK12" s="4">
        <f>IFERROR(((0+DB11+DB12)/T2),0)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2023-09-21</t>
        </is>
      </c>
      <c r="DO12" s="5">
        <f>ROUND(0.0,2)</f>
        <v/>
      </c>
      <c r="DP12" s="3">
        <f>ROUND(0.0,2)</f>
        <v/>
      </c>
      <c r="DQ12" s="3">
        <f>ROUND(0.0,2)</f>
        <v/>
      </c>
      <c r="DR12" s="3">
        <f>ROUND(0.0,2)</f>
        <v/>
      </c>
      <c r="DS12" s="3">
        <f>ROUND(0.0,2)</f>
        <v/>
      </c>
      <c r="DT12" s="3">
        <f>ROUND(0.0,2)</f>
        <v/>
      </c>
      <c r="DU12" s="3">
        <f>ROUND(0.0,2)</f>
        <v/>
      </c>
      <c r="DV12" s="3">
        <f>ROUND(0.0,2)</f>
        <v/>
      </c>
      <c r="DW12" s="4">
        <f>IFERROR((DQ12/DP12),0)</f>
        <v/>
      </c>
      <c r="DX12" s="4">
        <f>IFERROR(((0+DO11+DO12)/T2),0)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2023-09-21</t>
        </is>
      </c>
      <c r="EB12" s="5">
        <f>ROUND(0.0,2)</f>
        <v/>
      </c>
      <c r="EC12" s="3">
        <f>ROUND(0.0,2)</f>
        <v/>
      </c>
      <c r="ED12" s="3">
        <f>ROUND(0.0,2)</f>
        <v/>
      </c>
      <c r="EE12" s="3">
        <f>ROUND(0.0,2)</f>
        <v/>
      </c>
      <c r="EF12" s="3">
        <f>ROUND(0.0,2)</f>
        <v/>
      </c>
      <c r="EG12" s="3">
        <f>ROUND(0.0,2)</f>
        <v/>
      </c>
      <c r="EH12" s="3">
        <f>ROUND(0.0,2)</f>
        <v/>
      </c>
      <c r="EI12" s="3">
        <f>ROUND(0.0,2)</f>
        <v/>
      </c>
      <c r="EJ12" s="4">
        <f>IFERROR((ED12/EC12),0)</f>
        <v/>
      </c>
      <c r="EK12" s="4">
        <f>IFERROR(((0+EB11+EB12)/T2),0)</f>
        <v/>
      </c>
      <c r="EL12" s="5">
        <f>IFERROR(ROUND(EB12/ED12,2),0)</f>
        <v/>
      </c>
      <c r="EM12" s="5">
        <f>IFERROR(ROUND(EB12/EE12,2),0)</f>
        <v/>
      </c>
    </row>
    <row r="13">
      <c r="A13" s="2" t="inlineStr">
        <is>
          <t>2023-09-22</t>
        </is>
      </c>
      <c r="B13" s="5">
        <f>ROUND(0.0,2)</f>
        <v/>
      </c>
      <c r="C13" s="3">
        <f>ROUND(0.0,2)</f>
        <v/>
      </c>
      <c r="D13" s="3">
        <f>ROUND(0.0,2)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2023-09-22</t>
        </is>
      </c>
      <c r="O13" s="5">
        <f>ROUND(0.0,2)</f>
        <v/>
      </c>
      <c r="P13" s="3">
        <f>ROUND(0.0,2)</f>
        <v/>
      </c>
      <c r="Q13" s="3">
        <f>ROUND(0.0,2)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2023-09-22</t>
        </is>
      </c>
      <c r="AB13" s="5">
        <f>ROUND(0.0,2)</f>
        <v/>
      </c>
      <c r="AC13" s="3">
        <f>ROUND(0.0,2)</f>
        <v/>
      </c>
      <c r="AD13" s="3">
        <f>ROUND(0.0,2)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2023-09-22</t>
        </is>
      </c>
      <c r="AO13" s="5">
        <f>ROUND(0.0,2)</f>
        <v/>
      </c>
      <c r="AP13" s="3">
        <f>ROUND(0.0,2)</f>
        <v/>
      </c>
      <c r="AQ13" s="3">
        <f>ROUND(0.0,2)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2023-09-22</t>
        </is>
      </c>
      <c r="BB13" s="5">
        <f>ROUND(0.0,2)</f>
        <v/>
      </c>
      <c r="BC13" s="3">
        <f>ROUND(0.0,2)</f>
        <v/>
      </c>
      <c r="BD13" s="3">
        <f>ROUND(0.0,2)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2023-09-22</t>
        </is>
      </c>
      <c r="BO13" s="5">
        <f>ROUND(0.0,2)</f>
        <v/>
      </c>
      <c r="BP13" s="3">
        <f>ROUND(0.0,2)</f>
        <v/>
      </c>
      <c r="BQ13" s="3">
        <f>ROUND(0.0,2)</f>
        <v/>
      </c>
      <c r="BR13" s="3">
        <f>ROUND(0.0,2)</f>
        <v/>
      </c>
      <c r="BS13" s="3">
        <f>ROUND(0.0,2)</f>
        <v/>
      </c>
      <c r="BT13" s="3">
        <f>ROUND(0.0,2)</f>
        <v/>
      </c>
      <c r="BU13" s="3">
        <f>ROUND(0.0,2)</f>
        <v/>
      </c>
      <c r="BV13" s="3">
        <f>ROUND(0.0,2)</f>
        <v/>
      </c>
      <c r="BW13" s="4">
        <f>IFERROR((BQ13/BP13),0)</f>
        <v/>
      </c>
      <c r="BX13" s="4">
        <f>IFERROR(((0+BO11+BO12+BO13)/T2),0)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2023-09-22</t>
        </is>
      </c>
      <c r="CB13" s="5">
        <f>ROUND(0.0,2)</f>
        <v/>
      </c>
      <c r="CC13" s="3">
        <f>ROUND(0.0,2)</f>
        <v/>
      </c>
      <c r="CD13" s="3">
        <f>ROUND(0.0,2)</f>
        <v/>
      </c>
      <c r="CE13" s="3">
        <f>ROUND(0.0,2)</f>
        <v/>
      </c>
      <c r="CF13" s="3">
        <f>ROUND(0.0,2)</f>
        <v/>
      </c>
      <c r="CG13" s="3">
        <f>ROUND(0.0,2)</f>
        <v/>
      </c>
      <c r="CH13" s="3">
        <f>ROUND(0.0,2)</f>
        <v/>
      </c>
      <c r="CI13" s="3">
        <f>ROUND(0.0,2)</f>
        <v/>
      </c>
      <c r="CJ13" s="4">
        <f>IFERROR((CD13/CC13),0)</f>
        <v/>
      </c>
      <c r="CK13" s="4">
        <f>IFERROR(((0+CB11+CB12+CB13)/T2),0)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2023-09-22</t>
        </is>
      </c>
      <c r="CO13" s="5">
        <f>ROUND(0.0,2)</f>
        <v/>
      </c>
      <c r="CP13" s="3">
        <f>ROUND(0.0,2)</f>
        <v/>
      </c>
      <c r="CQ13" s="3">
        <f>ROUND(0.0,2)</f>
        <v/>
      </c>
      <c r="CR13" s="3">
        <f>ROUND(0.0,2)</f>
        <v/>
      </c>
      <c r="CS13" s="3">
        <f>ROUND(0.0,2)</f>
        <v/>
      </c>
      <c r="CT13" s="3">
        <f>ROUND(0.0,2)</f>
        <v/>
      </c>
      <c r="CU13" s="3">
        <f>ROUND(0.0,2)</f>
        <v/>
      </c>
      <c r="CV13" s="3">
        <f>ROUND(0.0,2)</f>
        <v/>
      </c>
      <c r="CW13" s="4">
        <f>IFERROR((CQ13/CP13),0)</f>
        <v/>
      </c>
      <c r="CX13" s="4">
        <f>IFERROR(((0+CO11+CO12+CO13)/T2),0)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2023-09-22</t>
        </is>
      </c>
      <c r="DB13" s="5">
        <f>ROUND(0.0,2)</f>
        <v/>
      </c>
      <c r="DC13" s="3">
        <f>ROUND(0.0,2)</f>
        <v/>
      </c>
      <c r="DD13" s="3">
        <f>ROUND(0.0,2)</f>
        <v/>
      </c>
      <c r="DE13" s="3">
        <f>ROUND(0.0,2)</f>
        <v/>
      </c>
      <c r="DF13" s="3">
        <f>ROUND(0.0,2)</f>
        <v/>
      </c>
      <c r="DG13" s="3">
        <f>ROUND(0.0,2)</f>
        <v/>
      </c>
      <c r="DH13" s="3">
        <f>ROUND(0.0,2)</f>
        <v/>
      </c>
      <c r="DI13" s="3">
        <f>ROUND(0.0,2)</f>
        <v/>
      </c>
      <c r="DJ13" s="4">
        <f>IFERROR((DD13/DC13),0)</f>
        <v/>
      </c>
      <c r="DK13" s="4">
        <f>IFERROR(((0+DB11+DB12+DB13)/T2),0)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2023-09-22</t>
        </is>
      </c>
      <c r="DO13" s="5">
        <f>ROUND(0.0,2)</f>
        <v/>
      </c>
      <c r="DP13" s="3">
        <f>ROUND(0.0,2)</f>
        <v/>
      </c>
      <c r="DQ13" s="3">
        <f>ROUND(0.0,2)</f>
        <v/>
      </c>
      <c r="DR13" s="3">
        <f>ROUND(0.0,2)</f>
        <v/>
      </c>
      <c r="DS13" s="3">
        <f>ROUND(0.0,2)</f>
        <v/>
      </c>
      <c r="DT13" s="3">
        <f>ROUND(0.0,2)</f>
        <v/>
      </c>
      <c r="DU13" s="3">
        <f>ROUND(0.0,2)</f>
        <v/>
      </c>
      <c r="DV13" s="3">
        <f>ROUND(0.0,2)</f>
        <v/>
      </c>
      <c r="DW13" s="4">
        <f>IFERROR((DQ13/DP13),0)</f>
        <v/>
      </c>
      <c r="DX13" s="4">
        <f>IFERROR(((0+DO11+DO12+DO13)/T2),0)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2023-09-22</t>
        </is>
      </c>
      <c r="EB13" s="5">
        <f>ROUND(0.0,2)</f>
        <v/>
      </c>
      <c r="EC13" s="3">
        <f>ROUND(0.0,2)</f>
        <v/>
      </c>
      <c r="ED13" s="3">
        <f>ROUND(0.0,2)</f>
        <v/>
      </c>
      <c r="EE13" s="3">
        <f>ROUND(0.0,2)</f>
        <v/>
      </c>
      <c r="EF13" s="3">
        <f>ROUND(0.0,2)</f>
        <v/>
      </c>
      <c r="EG13" s="3">
        <f>ROUND(0.0,2)</f>
        <v/>
      </c>
      <c r="EH13" s="3">
        <f>ROUND(0.0,2)</f>
        <v/>
      </c>
      <c r="EI13" s="3">
        <f>ROUND(0.0,2)</f>
        <v/>
      </c>
      <c r="EJ13" s="4">
        <f>IFERROR((ED13/EC13),0)</f>
        <v/>
      </c>
      <c r="EK13" s="4">
        <f>IFERROR(((0+EB11+EB12+EB13)/T2),0)</f>
        <v/>
      </c>
      <c r="EL13" s="5">
        <f>IFERROR(ROUND(EB13/ED13,2),0)</f>
        <v/>
      </c>
      <c r="EM13" s="5">
        <f>IFERROR(ROUND(EB13/EE13,2),0)</f>
        <v/>
      </c>
    </row>
    <row r="14">
      <c r="A14" s="2" t="inlineStr">
        <is>
          <t>2023-09-23</t>
        </is>
      </c>
      <c r="B14" s="5">
        <f>ROUND(0.0,2)</f>
        <v/>
      </c>
      <c r="C14" s="3">
        <f>ROUND(0.0,2)</f>
        <v/>
      </c>
      <c r="D14" s="3">
        <f>ROUND(0.0,2)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2023-09-23</t>
        </is>
      </c>
      <c r="O14" s="5">
        <f>ROUND(0.0,2)</f>
        <v/>
      </c>
      <c r="P14" s="3">
        <f>ROUND(0.0,2)</f>
        <v/>
      </c>
      <c r="Q14" s="3">
        <f>ROUND(0.0,2)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2023-09-23</t>
        </is>
      </c>
      <c r="AB14" s="5">
        <f>ROUND(0.0,2)</f>
        <v/>
      </c>
      <c r="AC14" s="3">
        <f>ROUND(0.0,2)</f>
        <v/>
      </c>
      <c r="AD14" s="3">
        <f>ROUND(0.0,2)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2023-09-23</t>
        </is>
      </c>
      <c r="AO14" s="5">
        <f>ROUND(0.0,2)</f>
        <v/>
      </c>
      <c r="AP14" s="3">
        <f>ROUND(0.0,2)</f>
        <v/>
      </c>
      <c r="AQ14" s="3">
        <f>ROUND(0.0,2)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2023-09-23</t>
        </is>
      </c>
      <c r="BB14" s="5">
        <f>ROUND(0.0,2)</f>
        <v/>
      </c>
      <c r="BC14" s="3">
        <f>ROUND(0.0,2)</f>
        <v/>
      </c>
      <c r="BD14" s="3">
        <f>ROUND(0.0,2)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2023-09-23</t>
        </is>
      </c>
      <c r="BO14" s="5">
        <f>ROUND(0.0,2)</f>
        <v/>
      </c>
      <c r="BP14" s="3">
        <f>ROUND(0.0,2)</f>
        <v/>
      </c>
      <c r="BQ14" s="3">
        <f>ROUND(0.0,2)</f>
        <v/>
      </c>
      <c r="BR14" s="3">
        <f>ROUND(0.0,2)</f>
        <v/>
      </c>
      <c r="BS14" s="3">
        <f>ROUND(0.0,2)</f>
        <v/>
      </c>
      <c r="BT14" s="3">
        <f>ROUND(0.0,2)</f>
        <v/>
      </c>
      <c r="BU14" s="3">
        <f>ROUND(0.0,2)</f>
        <v/>
      </c>
      <c r="BV14" s="3">
        <f>ROUND(0.0,2)</f>
        <v/>
      </c>
      <c r="BW14" s="4">
        <f>IFERROR((BQ14/BP14),0)</f>
        <v/>
      </c>
      <c r="BX14" s="4">
        <f>IFERROR(((0+BO11+BO12+BO13+BO14)/T2),0)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2023-09-23</t>
        </is>
      </c>
      <c r="CB14" s="5">
        <f>ROUND(0.0,2)</f>
        <v/>
      </c>
      <c r="CC14" s="3">
        <f>ROUND(0.0,2)</f>
        <v/>
      </c>
      <c r="CD14" s="3">
        <f>ROUND(0.0,2)</f>
        <v/>
      </c>
      <c r="CE14" s="3">
        <f>ROUND(0.0,2)</f>
        <v/>
      </c>
      <c r="CF14" s="3">
        <f>ROUND(0.0,2)</f>
        <v/>
      </c>
      <c r="CG14" s="3">
        <f>ROUND(0.0,2)</f>
        <v/>
      </c>
      <c r="CH14" s="3">
        <f>ROUND(0.0,2)</f>
        <v/>
      </c>
      <c r="CI14" s="3">
        <f>ROUND(0.0,2)</f>
        <v/>
      </c>
      <c r="CJ14" s="4">
        <f>IFERROR((CD14/CC14),0)</f>
        <v/>
      </c>
      <c r="CK14" s="4">
        <f>IFERROR(((0+CB11+CB12+CB13+CB14)/T2),0)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2023-09-23</t>
        </is>
      </c>
      <c r="CO14" s="5">
        <f>ROUND(0.0,2)</f>
        <v/>
      </c>
      <c r="CP14" s="3">
        <f>ROUND(0.0,2)</f>
        <v/>
      </c>
      <c r="CQ14" s="3">
        <f>ROUND(0.0,2)</f>
        <v/>
      </c>
      <c r="CR14" s="3">
        <f>ROUND(0.0,2)</f>
        <v/>
      </c>
      <c r="CS14" s="3">
        <f>ROUND(0.0,2)</f>
        <v/>
      </c>
      <c r="CT14" s="3">
        <f>ROUND(0.0,2)</f>
        <v/>
      </c>
      <c r="CU14" s="3">
        <f>ROUND(0.0,2)</f>
        <v/>
      </c>
      <c r="CV14" s="3">
        <f>ROUND(0.0,2)</f>
        <v/>
      </c>
      <c r="CW14" s="4">
        <f>IFERROR((CQ14/CP14),0)</f>
        <v/>
      </c>
      <c r="CX14" s="4">
        <f>IFERROR(((0+CO11+CO12+CO13+CO14)/T2),0)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2023-09-23</t>
        </is>
      </c>
      <c r="DB14" s="5">
        <f>ROUND(0.0,2)</f>
        <v/>
      </c>
      <c r="DC14" s="3">
        <f>ROUND(0.0,2)</f>
        <v/>
      </c>
      <c r="DD14" s="3">
        <f>ROUND(0.0,2)</f>
        <v/>
      </c>
      <c r="DE14" s="3">
        <f>ROUND(0.0,2)</f>
        <v/>
      </c>
      <c r="DF14" s="3">
        <f>ROUND(0.0,2)</f>
        <v/>
      </c>
      <c r="DG14" s="3">
        <f>ROUND(0.0,2)</f>
        <v/>
      </c>
      <c r="DH14" s="3">
        <f>ROUND(0.0,2)</f>
        <v/>
      </c>
      <c r="DI14" s="3">
        <f>ROUND(0.0,2)</f>
        <v/>
      </c>
      <c r="DJ14" s="4">
        <f>IFERROR((DD14/DC14),0)</f>
        <v/>
      </c>
      <c r="DK14" s="4">
        <f>IFERROR(((0+DB11+DB12+DB13+DB14)/T2),0)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2023-09-23</t>
        </is>
      </c>
      <c r="DO14" s="5">
        <f>ROUND(0.0,2)</f>
        <v/>
      </c>
      <c r="DP14" s="3">
        <f>ROUND(0.0,2)</f>
        <v/>
      </c>
      <c r="DQ14" s="3">
        <f>ROUND(0.0,2)</f>
        <v/>
      </c>
      <c r="DR14" s="3">
        <f>ROUND(0.0,2)</f>
        <v/>
      </c>
      <c r="DS14" s="3">
        <f>ROUND(0.0,2)</f>
        <v/>
      </c>
      <c r="DT14" s="3">
        <f>ROUND(0.0,2)</f>
        <v/>
      </c>
      <c r="DU14" s="3">
        <f>ROUND(0.0,2)</f>
        <v/>
      </c>
      <c r="DV14" s="3">
        <f>ROUND(0.0,2)</f>
        <v/>
      </c>
      <c r="DW14" s="4">
        <f>IFERROR((DQ14/DP14),0)</f>
        <v/>
      </c>
      <c r="DX14" s="4">
        <f>IFERROR(((0+DO11+DO12+DO13+DO14)/T2),0)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2023-09-23</t>
        </is>
      </c>
      <c r="EB14" s="5">
        <f>ROUND(0.0,2)</f>
        <v/>
      </c>
      <c r="EC14" s="3">
        <f>ROUND(0.0,2)</f>
        <v/>
      </c>
      <c r="ED14" s="3">
        <f>ROUND(0.0,2)</f>
        <v/>
      </c>
      <c r="EE14" s="3">
        <f>ROUND(0.0,2)</f>
        <v/>
      </c>
      <c r="EF14" s="3">
        <f>ROUND(0.0,2)</f>
        <v/>
      </c>
      <c r="EG14" s="3">
        <f>ROUND(0.0,2)</f>
        <v/>
      </c>
      <c r="EH14" s="3">
        <f>ROUND(0.0,2)</f>
        <v/>
      </c>
      <c r="EI14" s="3">
        <f>ROUND(0.0,2)</f>
        <v/>
      </c>
      <c r="EJ14" s="4">
        <f>IFERROR((ED14/EC14),0)</f>
        <v/>
      </c>
      <c r="EK14" s="4">
        <f>IFERROR(((0+EB11+EB12+EB13+EB14)/T2),0)</f>
        <v/>
      </c>
      <c r="EL14" s="5">
        <f>IFERROR(ROUND(EB14/ED14,2),0)</f>
        <v/>
      </c>
      <c r="EM14" s="5">
        <f>IFERROR(ROUND(EB14/EE14,2),0)</f>
        <v/>
      </c>
    </row>
    <row r="15">
      <c r="A15" s="2" t="inlineStr">
        <is>
          <t>2023-09-24</t>
        </is>
      </c>
      <c r="B15" s="5">
        <f>ROUND(0.0,2)</f>
        <v/>
      </c>
      <c r="C15" s="3">
        <f>ROUND(0.0,2)</f>
        <v/>
      </c>
      <c r="D15" s="3">
        <f>ROUND(0.0,2)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2023-09-24</t>
        </is>
      </c>
      <c r="O15" s="5">
        <f>ROUND(0.0,2)</f>
        <v/>
      </c>
      <c r="P15" s="3">
        <f>ROUND(0.0,2)</f>
        <v/>
      </c>
      <c r="Q15" s="3">
        <f>ROUND(0.0,2)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2023-09-24</t>
        </is>
      </c>
      <c r="AB15" s="5">
        <f>ROUND(0.0,2)</f>
        <v/>
      </c>
      <c r="AC15" s="3">
        <f>ROUND(0.0,2)</f>
        <v/>
      </c>
      <c r="AD15" s="3">
        <f>ROUND(0.0,2)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2023-09-24</t>
        </is>
      </c>
      <c r="AO15" s="5">
        <f>ROUND(0.0,2)</f>
        <v/>
      </c>
      <c r="AP15" s="3">
        <f>ROUND(0.0,2)</f>
        <v/>
      </c>
      <c r="AQ15" s="3">
        <f>ROUND(0.0,2)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2023-09-24</t>
        </is>
      </c>
      <c r="BB15" s="5">
        <f>ROUND(0.0,2)</f>
        <v/>
      </c>
      <c r="BC15" s="3">
        <f>ROUND(0.0,2)</f>
        <v/>
      </c>
      <c r="BD15" s="3">
        <f>ROUND(0.0,2)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2023-09-24</t>
        </is>
      </c>
      <c r="BO15" s="5">
        <f>ROUND(0.0,2)</f>
        <v/>
      </c>
      <c r="BP15" s="3">
        <f>ROUND(0.0,2)</f>
        <v/>
      </c>
      <c r="BQ15" s="3">
        <f>ROUND(0.0,2)</f>
        <v/>
      </c>
      <c r="BR15" s="3">
        <f>ROUND(0.0,2)</f>
        <v/>
      </c>
      <c r="BS15" s="3">
        <f>ROUND(0.0,2)</f>
        <v/>
      </c>
      <c r="BT15" s="3">
        <f>ROUND(0.0,2)</f>
        <v/>
      </c>
      <c r="BU15" s="3">
        <f>ROUND(0.0,2)</f>
        <v/>
      </c>
      <c r="BV15" s="3">
        <f>ROUND(0.0,2)</f>
        <v/>
      </c>
      <c r="BW15" s="4">
        <f>IFERROR((BQ15/BP15),0)</f>
        <v/>
      </c>
      <c r="BX15" s="4">
        <f>IFERROR(((0+BO11+BO12+BO13+BO14+BO15)/T2),0)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2023-09-24</t>
        </is>
      </c>
      <c r="CB15" s="5">
        <f>ROUND(0.0,2)</f>
        <v/>
      </c>
      <c r="CC15" s="3">
        <f>ROUND(0.0,2)</f>
        <v/>
      </c>
      <c r="CD15" s="3">
        <f>ROUND(0.0,2)</f>
        <v/>
      </c>
      <c r="CE15" s="3">
        <f>ROUND(0.0,2)</f>
        <v/>
      </c>
      <c r="CF15" s="3">
        <f>ROUND(0.0,2)</f>
        <v/>
      </c>
      <c r="CG15" s="3">
        <f>ROUND(0.0,2)</f>
        <v/>
      </c>
      <c r="CH15" s="3">
        <f>ROUND(0.0,2)</f>
        <v/>
      </c>
      <c r="CI15" s="3">
        <f>ROUND(0.0,2)</f>
        <v/>
      </c>
      <c r="CJ15" s="4">
        <f>IFERROR((CD15/CC15),0)</f>
        <v/>
      </c>
      <c r="CK15" s="4">
        <f>IFERROR(((0+CB11+CB12+CB13+CB14+CB15)/T2),0)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2023-09-24</t>
        </is>
      </c>
      <c r="CO15" s="5">
        <f>ROUND(0.0,2)</f>
        <v/>
      </c>
      <c r="CP15" s="3">
        <f>ROUND(0.0,2)</f>
        <v/>
      </c>
      <c r="CQ15" s="3">
        <f>ROUND(0.0,2)</f>
        <v/>
      </c>
      <c r="CR15" s="3">
        <f>ROUND(0.0,2)</f>
        <v/>
      </c>
      <c r="CS15" s="3">
        <f>ROUND(0.0,2)</f>
        <v/>
      </c>
      <c r="CT15" s="3">
        <f>ROUND(0.0,2)</f>
        <v/>
      </c>
      <c r="CU15" s="3">
        <f>ROUND(0.0,2)</f>
        <v/>
      </c>
      <c r="CV15" s="3">
        <f>ROUND(0.0,2)</f>
        <v/>
      </c>
      <c r="CW15" s="4">
        <f>IFERROR((CQ15/CP15),0)</f>
        <v/>
      </c>
      <c r="CX15" s="4">
        <f>IFERROR(((0+CO11+CO12+CO13+CO14+CO15)/T2),0)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2023-09-24</t>
        </is>
      </c>
      <c r="DB15" s="5">
        <f>ROUND(0.0,2)</f>
        <v/>
      </c>
      <c r="DC15" s="3">
        <f>ROUND(0.0,2)</f>
        <v/>
      </c>
      <c r="DD15" s="3">
        <f>ROUND(0.0,2)</f>
        <v/>
      </c>
      <c r="DE15" s="3">
        <f>ROUND(0.0,2)</f>
        <v/>
      </c>
      <c r="DF15" s="3">
        <f>ROUND(0.0,2)</f>
        <v/>
      </c>
      <c r="DG15" s="3">
        <f>ROUND(0.0,2)</f>
        <v/>
      </c>
      <c r="DH15" s="3">
        <f>ROUND(0.0,2)</f>
        <v/>
      </c>
      <c r="DI15" s="3">
        <f>ROUND(0.0,2)</f>
        <v/>
      </c>
      <c r="DJ15" s="4">
        <f>IFERROR((DD15/DC15),0)</f>
        <v/>
      </c>
      <c r="DK15" s="4">
        <f>IFERROR(((0+DB11+DB12+DB13+DB14+DB15)/T2),0)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2023-09-24</t>
        </is>
      </c>
      <c r="DO15" s="5">
        <f>ROUND(0.0,2)</f>
        <v/>
      </c>
      <c r="DP15" s="3">
        <f>ROUND(0.0,2)</f>
        <v/>
      </c>
      <c r="DQ15" s="3">
        <f>ROUND(0.0,2)</f>
        <v/>
      </c>
      <c r="DR15" s="3">
        <f>ROUND(0.0,2)</f>
        <v/>
      </c>
      <c r="DS15" s="3">
        <f>ROUND(0.0,2)</f>
        <v/>
      </c>
      <c r="DT15" s="3">
        <f>ROUND(0.0,2)</f>
        <v/>
      </c>
      <c r="DU15" s="3">
        <f>ROUND(0.0,2)</f>
        <v/>
      </c>
      <c r="DV15" s="3">
        <f>ROUND(0.0,2)</f>
        <v/>
      </c>
      <c r="DW15" s="4">
        <f>IFERROR((DQ15/DP15),0)</f>
        <v/>
      </c>
      <c r="DX15" s="4">
        <f>IFERROR(((0+DO11+DO12+DO13+DO14+DO15)/T2),0)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2023-09-24</t>
        </is>
      </c>
      <c r="EB15" s="5">
        <f>ROUND(0.0,2)</f>
        <v/>
      </c>
      <c r="EC15" s="3">
        <f>ROUND(0.0,2)</f>
        <v/>
      </c>
      <c r="ED15" s="3">
        <f>ROUND(0.0,2)</f>
        <v/>
      </c>
      <c r="EE15" s="3">
        <f>ROUND(0.0,2)</f>
        <v/>
      </c>
      <c r="EF15" s="3">
        <f>ROUND(0.0,2)</f>
        <v/>
      </c>
      <c r="EG15" s="3">
        <f>ROUND(0.0,2)</f>
        <v/>
      </c>
      <c r="EH15" s="3">
        <f>ROUND(0.0,2)</f>
        <v/>
      </c>
      <c r="EI15" s="3">
        <f>ROUND(0.0,2)</f>
        <v/>
      </c>
      <c r="EJ15" s="4">
        <f>IFERROR((ED15/EC15),0)</f>
        <v/>
      </c>
      <c r="EK15" s="4">
        <f>IFERROR(((0+EB11+EB12+EB13+EB14+EB15)/T2),0)</f>
        <v/>
      </c>
      <c r="EL15" s="5">
        <f>IFERROR(ROUND(EB15/ED15,2),0)</f>
        <v/>
      </c>
      <c r="EM15" s="5">
        <f>IFERROR(ROUND(EB15/EE15,2),0)</f>
        <v/>
      </c>
    </row>
    <row r="16">
      <c r="A16" s="2" t="inlineStr">
        <is>
          <t>2023-09-25</t>
        </is>
      </c>
      <c r="B16" s="5">
        <f>ROUND(0.0,2)</f>
        <v/>
      </c>
      <c r="C16" s="3">
        <f>ROUND(0.0,2)</f>
        <v/>
      </c>
      <c r="D16" s="3">
        <f>ROUND(0.0,2)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2023-09-25</t>
        </is>
      </c>
      <c r="O16" s="5">
        <f>ROUND(0.0,2)</f>
        <v/>
      </c>
      <c r="P16" s="3">
        <f>ROUND(0.0,2)</f>
        <v/>
      </c>
      <c r="Q16" s="3">
        <f>ROUND(0.0,2)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2023-09-25</t>
        </is>
      </c>
      <c r="AB16" s="5">
        <f>ROUND(0.0,2)</f>
        <v/>
      </c>
      <c r="AC16" s="3">
        <f>ROUND(0.0,2)</f>
        <v/>
      </c>
      <c r="AD16" s="3">
        <f>ROUND(0.0,2)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2023-09-25</t>
        </is>
      </c>
      <c r="AO16" s="5">
        <f>ROUND(0.0,2)</f>
        <v/>
      </c>
      <c r="AP16" s="3">
        <f>ROUND(0.0,2)</f>
        <v/>
      </c>
      <c r="AQ16" s="3">
        <f>ROUND(0.0,2)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2023-09-25</t>
        </is>
      </c>
      <c r="BB16" s="5">
        <f>ROUND(0.0,2)</f>
        <v/>
      </c>
      <c r="BC16" s="3">
        <f>ROUND(0.0,2)</f>
        <v/>
      </c>
      <c r="BD16" s="3">
        <f>ROUND(0.0,2)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2023-09-25</t>
        </is>
      </c>
      <c r="BO16" s="5">
        <f>ROUND(0.0,2)</f>
        <v/>
      </c>
      <c r="BP16" s="3">
        <f>ROUND(0.0,2)</f>
        <v/>
      </c>
      <c r="BQ16" s="3">
        <f>ROUND(0.0,2)</f>
        <v/>
      </c>
      <c r="BR16" s="3">
        <f>ROUND(0.0,2)</f>
        <v/>
      </c>
      <c r="BS16" s="3">
        <f>ROUND(0.0,2)</f>
        <v/>
      </c>
      <c r="BT16" s="3">
        <f>ROUND(0.0,2)</f>
        <v/>
      </c>
      <c r="BU16" s="3">
        <f>ROUND(0.0,2)</f>
        <v/>
      </c>
      <c r="BV16" s="3">
        <f>ROUND(0.0,2)</f>
        <v/>
      </c>
      <c r="BW16" s="4">
        <f>IFERROR((BQ16/BP16),0)</f>
        <v/>
      </c>
      <c r="BX16" s="4">
        <f>IFERROR(((0+BO11+BO12+BO13+BO14+BO15+BO16)/T2),0)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2023-09-25</t>
        </is>
      </c>
      <c r="CB16" s="5">
        <f>ROUND(0.0,2)</f>
        <v/>
      </c>
      <c r="CC16" s="3">
        <f>ROUND(0.0,2)</f>
        <v/>
      </c>
      <c r="CD16" s="3">
        <f>ROUND(0.0,2)</f>
        <v/>
      </c>
      <c r="CE16" s="3">
        <f>ROUND(0.0,2)</f>
        <v/>
      </c>
      <c r="CF16" s="3">
        <f>ROUND(0.0,2)</f>
        <v/>
      </c>
      <c r="CG16" s="3">
        <f>ROUND(0.0,2)</f>
        <v/>
      </c>
      <c r="CH16" s="3">
        <f>ROUND(0.0,2)</f>
        <v/>
      </c>
      <c r="CI16" s="3">
        <f>ROUND(0.0,2)</f>
        <v/>
      </c>
      <c r="CJ16" s="4">
        <f>IFERROR((CD16/CC16),0)</f>
        <v/>
      </c>
      <c r="CK16" s="4">
        <f>IFERROR(((0+CB11+CB12+CB13+CB14+CB15+CB16)/T2),0)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2023-09-25</t>
        </is>
      </c>
      <c r="CO16" s="5">
        <f>ROUND(0.0,2)</f>
        <v/>
      </c>
      <c r="CP16" s="3">
        <f>ROUND(0.0,2)</f>
        <v/>
      </c>
      <c r="CQ16" s="3">
        <f>ROUND(0.0,2)</f>
        <v/>
      </c>
      <c r="CR16" s="3">
        <f>ROUND(0.0,2)</f>
        <v/>
      </c>
      <c r="CS16" s="3">
        <f>ROUND(0.0,2)</f>
        <v/>
      </c>
      <c r="CT16" s="3">
        <f>ROUND(0.0,2)</f>
        <v/>
      </c>
      <c r="CU16" s="3">
        <f>ROUND(0.0,2)</f>
        <v/>
      </c>
      <c r="CV16" s="3">
        <f>ROUND(0.0,2)</f>
        <v/>
      </c>
      <c r="CW16" s="4">
        <f>IFERROR((CQ16/CP16),0)</f>
        <v/>
      </c>
      <c r="CX16" s="4">
        <f>IFERROR(((0+CO11+CO12+CO13+CO14+CO15+CO16)/T2),0)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2023-09-25</t>
        </is>
      </c>
      <c r="DB16" s="5">
        <f>ROUND(0.0,2)</f>
        <v/>
      </c>
      <c r="DC16" s="3">
        <f>ROUND(0.0,2)</f>
        <v/>
      </c>
      <c r="DD16" s="3">
        <f>ROUND(0.0,2)</f>
        <v/>
      </c>
      <c r="DE16" s="3">
        <f>ROUND(0.0,2)</f>
        <v/>
      </c>
      <c r="DF16" s="3">
        <f>ROUND(0.0,2)</f>
        <v/>
      </c>
      <c r="DG16" s="3">
        <f>ROUND(0.0,2)</f>
        <v/>
      </c>
      <c r="DH16" s="3">
        <f>ROUND(0.0,2)</f>
        <v/>
      </c>
      <c r="DI16" s="3">
        <f>ROUND(0.0,2)</f>
        <v/>
      </c>
      <c r="DJ16" s="4">
        <f>IFERROR((DD16/DC16),0)</f>
        <v/>
      </c>
      <c r="DK16" s="4">
        <f>IFERROR(((0+DB11+DB12+DB13+DB14+DB15+DB16)/T2),0)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2023-09-25</t>
        </is>
      </c>
      <c r="DO16" s="5">
        <f>ROUND(0.0,2)</f>
        <v/>
      </c>
      <c r="DP16" s="3">
        <f>ROUND(0.0,2)</f>
        <v/>
      </c>
      <c r="DQ16" s="3">
        <f>ROUND(0.0,2)</f>
        <v/>
      </c>
      <c r="DR16" s="3">
        <f>ROUND(0.0,2)</f>
        <v/>
      </c>
      <c r="DS16" s="3">
        <f>ROUND(0.0,2)</f>
        <v/>
      </c>
      <c r="DT16" s="3">
        <f>ROUND(0.0,2)</f>
        <v/>
      </c>
      <c r="DU16" s="3">
        <f>ROUND(0.0,2)</f>
        <v/>
      </c>
      <c r="DV16" s="3">
        <f>ROUND(0.0,2)</f>
        <v/>
      </c>
      <c r="DW16" s="4">
        <f>IFERROR((DQ16/DP16),0)</f>
        <v/>
      </c>
      <c r="DX16" s="4">
        <f>IFERROR(((0+DO11+DO12+DO13+DO14+DO15+DO16)/T2),0)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2023-09-25</t>
        </is>
      </c>
      <c r="EB16" s="5">
        <f>ROUND(0.0,2)</f>
        <v/>
      </c>
      <c r="EC16" s="3">
        <f>ROUND(0.0,2)</f>
        <v/>
      </c>
      <c r="ED16" s="3">
        <f>ROUND(0.0,2)</f>
        <v/>
      </c>
      <c r="EE16" s="3">
        <f>ROUND(0.0,2)</f>
        <v/>
      </c>
      <c r="EF16" s="3">
        <f>ROUND(0.0,2)</f>
        <v/>
      </c>
      <c r="EG16" s="3">
        <f>ROUND(0.0,2)</f>
        <v/>
      </c>
      <c r="EH16" s="3">
        <f>ROUND(0.0,2)</f>
        <v/>
      </c>
      <c r="EI16" s="3">
        <f>ROUND(0.0,2)</f>
        <v/>
      </c>
      <c r="EJ16" s="4">
        <f>IFERROR((ED16/EC16),0)</f>
        <v/>
      </c>
      <c r="EK16" s="4">
        <f>IFERROR(((0+EB11+EB12+EB13+EB14+EB15+EB16)/T2),0)</f>
        <v/>
      </c>
      <c r="EL16" s="5">
        <f>IFERROR(ROUND(EB16/ED16,2),0)</f>
        <v/>
      </c>
      <c r="EM16" s="5">
        <f>IFERROR(ROUND(EB16/EE16,2),0)</f>
        <v/>
      </c>
    </row>
    <row r="17">
      <c r="A17" s="2" t="inlineStr">
        <is>
          <t>2023-09-26</t>
        </is>
      </c>
      <c r="B17" s="5">
        <f>ROUND(0.0,2)</f>
        <v/>
      </c>
      <c r="C17" s="3">
        <f>ROUND(0.0,2)</f>
        <v/>
      </c>
      <c r="D17" s="3">
        <f>ROUND(0.0,2)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IFERROR(((0+B11+B12+B13+B14+B15+B16+B17)/T2),0)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2023-09-26</t>
        </is>
      </c>
      <c r="O17" s="5">
        <f>ROUND(0.0,2)</f>
        <v/>
      </c>
      <c r="P17" s="3">
        <f>ROUND(0.0,2)</f>
        <v/>
      </c>
      <c r="Q17" s="3">
        <f>ROUND(0.0,2)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IFERROR(((0+O11+O12+O13+O14+O15+O16+O17)/T2),0)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2023-09-26</t>
        </is>
      </c>
      <c r="AB17" s="5">
        <f>ROUND(0.0,2)</f>
        <v/>
      </c>
      <c r="AC17" s="3">
        <f>ROUND(0.0,2)</f>
        <v/>
      </c>
      <c r="AD17" s="3">
        <f>ROUND(0.0,2)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IFERROR(((0+AB11+AB12+AB13+AB14+AB15+AB16+AB17)/T2),0)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2023-09-26</t>
        </is>
      </c>
      <c r="AO17" s="5">
        <f>ROUND(0.0,2)</f>
        <v/>
      </c>
      <c r="AP17" s="3">
        <f>ROUND(0.0,2)</f>
        <v/>
      </c>
      <c r="AQ17" s="3">
        <f>ROUND(0.0,2)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IFERROR(((0+AO11+AO12+AO13+AO14+AO15+AO16+AO17)/T2),0)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2023-09-26</t>
        </is>
      </c>
      <c r="BB17" s="5">
        <f>ROUND(0.0,2)</f>
        <v/>
      </c>
      <c r="BC17" s="3">
        <f>ROUND(0.0,2)</f>
        <v/>
      </c>
      <c r="BD17" s="3">
        <f>ROUND(0.0,2)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IFERROR(((0+BB11+BB12+BB13+BB14+BB15+BB16+BB17)/T2),0)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2023-09-26</t>
        </is>
      </c>
      <c r="BO17" s="5">
        <f>ROUND(0.0,2)</f>
        <v/>
      </c>
      <c r="BP17" s="3">
        <f>ROUND(0.0,2)</f>
        <v/>
      </c>
      <c r="BQ17" s="3">
        <f>ROUND(0.0,2)</f>
        <v/>
      </c>
      <c r="BR17" s="3">
        <f>ROUND(0.0,2)</f>
        <v/>
      </c>
      <c r="BS17" s="3">
        <f>ROUND(0.0,2)</f>
        <v/>
      </c>
      <c r="BT17" s="3">
        <f>ROUND(0.0,2)</f>
        <v/>
      </c>
      <c r="BU17" s="3">
        <f>ROUND(0.0,2)</f>
        <v/>
      </c>
      <c r="BV17" s="3">
        <f>ROUND(0.0,2)</f>
        <v/>
      </c>
      <c r="BW17" s="4">
        <f>IFERROR((BQ17/BP17),0)</f>
        <v/>
      </c>
      <c r="BX17" s="4">
        <f>IFERROR(((0+BO11+BO12+BO13+BO14+BO15+BO16+BO17)/T2),0)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2023-09-26</t>
        </is>
      </c>
      <c r="CB17" s="5">
        <f>ROUND(0.0,2)</f>
        <v/>
      </c>
      <c r="CC17" s="3">
        <f>ROUND(0.0,2)</f>
        <v/>
      </c>
      <c r="CD17" s="3">
        <f>ROUND(0.0,2)</f>
        <v/>
      </c>
      <c r="CE17" s="3">
        <f>ROUND(0.0,2)</f>
        <v/>
      </c>
      <c r="CF17" s="3">
        <f>ROUND(0.0,2)</f>
        <v/>
      </c>
      <c r="CG17" s="3">
        <f>ROUND(0.0,2)</f>
        <v/>
      </c>
      <c r="CH17" s="3">
        <f>ROUND(0.0,2)</f>
        <v/>
      </c>
      <c r="CI17" s="3">
        <f>ROUND(0.0,2)</f>
        <v/>
      </c>
      <c r="CJ17" s="4">
        <f>IFERROR((CD17/CC17),0)</f>
        <v/>
      </c>
      <c r="CK17" s="4">
        <f>IFERROR(((0+CB11+CB12+CB13+CB14+CB15+CB16+CB17)/T2),0)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2023-09-26</t>
        </is>
      </c>
      <c r="CO17" s="5">
        <f>ROUND(0.0,2)</f>
        <v/>
      </c>
      <c r="CP17" s="3">
        <f>ROUND(0.0,2)</f>
        <v/>
      </c>
      <c r="CQ17" s="3">
        <f>ROUND(0.0,2)</f>
        <v/>
      </c>
      <c r="CR17" s="3">
        <f>ROUND(0.0,2)</f>
        <v/>
      </c>
      <c r="CS17" s="3">
        <f>ROUND(0.0,2)</f>
        <v/>
      </c>
      <c r="CT17" s="3">
        <f>ROUND(0.0,2)</f>
        <v/>
      </c>
      <c r="CU17" s="3">
        <f>ROUND(0.0,2)</f>
        <v/>
      </c>
      <c r="CV17" s="3">
        <f>ROUND(0.0,2)</f>
        <v/>
      </c>
      <c r="CW17" s="4">
        <f>IFERROR((CQ17/CP17),0)</f>
        <v/>
      </c>
      <c r="CX17" s="4">
        <f>IFERROR(((0+CO11+CO12+CO13+CO14+CO15+CO16+CO17)/T2),0)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2023-09-26</t>
        </is>
      </c>
      <c r="DB17" s="5">
        <f>ROUND(0.0,2)</f>
        <v/>
      </c>
      <c r="DC17" s="3">
        <f>ROUND(0.0,2)</f>
        <v/>
      </c>
      <c r="DD17" s="3">
        <f>ROUND(0.0,2)</f>
        <v/>
      </c>
      <c r="DE17" s="3">
        <f>ROUND(0.0,2)</f>
        <v/>
      </c>
      <c r="DF17" s="3">
        <f>ROUND(0.0,2)</f>
        <v/>
      </c>
      <c r="DG17" s="3">
        <f>ROUND(0.0,2)</f>
        <v/>
      </c>
      <c r="DH17" s="3">
        <f>ROUND(0.0,2)</f>
        <v/>
      </c>
      <c r="DI17" s="3">
        <f>ROUND(0.0,2)</f>
        <v/>
      </c>
      <c r="DJ17" s="4">
        <f>IFERROR((DD17/DC17),0)</f>
        <v/>
      </c>
      <c r="DK17" s="4">
        <f>IFERROR(((0+DB11+DB12+DB13+DB14+DB15+DB16+DB17)/T2),0)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2023-09-26</t>
        </is>
      </c>
      <c r="DO17" s="5">
        <f>ROUND(0.0,2)</f>
        <v/>
      </c>
      <c r="DP17" s="3">
        <f>ROUND(0.0,2)</f>
        <v/>
      </c>
      <c r="DQ17" s="3">
        <f>ROUND(0.0,2)</f>
        <v/>
      </c>
      <c r="DR17" s="3">
        <f>ROUND(0.0,2)</f>
        <v/>
      </c>
      <c r="DS17" s="3">
        <f>ROUND(0.0,2)</f>
        <v/>
      </c>
      <c r="DT17" s="3">
        <f>ROUND(0.0,2)</f>
        <v/>
      </c>
      <c r="DU17" s="3">
        <f>ROUND(0.0,2)</f>
        <v/>
      </c>
      <c r="DV17" s="3">
        <f>ROUND(0.0,2)</f>
        <v/>
      </c>
      <c r="DW17" s="4">
        <f>IFERROR((DQ17/DP17),0)</f>
        <v/>
      </c>
      <c r="DX17" s="4">
        <f>IFERROR(((0+DO11+DO12+DO13+DO14+DO15+DO16+DO17)/T2),0)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2023-09-26</t>
        </is>
      </c>
      <c r="EB17" s="5">
        <f>ROUND(0.0,2)</f>
        <v/>
      </c>
      <c r="EC17" s="3">
        <f>ROUND(0.0,2)</f>
        <v/>
      </c>
      <c r="ED17" s="3">
        <f>ROUND(0.0,2)</f>
        <v/>
      </c>
      <c r="EE17" s="3">
        <f>ROUND(0.0,2)</f>
        <v/>
      </c>
      <c r="EF17" s="3">
        <f>ROUND(0.0,2)</f>
        <v/>
      </c>
      <c r="EG17" s="3">
        <f>ROUND(0.0,2)</f>
        <v/>
      </c>
      <c r="EH17" s="3">
        <f>ROUND(0.0,2)</f>
        <v/>
      </c>
      <c r="EI17" s="3">
        <f>ROUND(0.0,2)</f>
        <v/>
      </c>
      <c r="EJ17" s="4">
        <f>IFERROR((ED17/EC17),0)</f>
        <v/>
      </c>
      <c r="EK17" s="4">
        <f>IFERROR(((0+EB11+EB12+EB13+EB14+EB15+EB16+EB17)/T2),0)</f>
        <v/>
      </c>
      <c r="EL17" s="5">
        <f>IFERROR(ROUND(EB17/ED17,2),0)</f>
        <v/>
      </c>
      <c r="EM17" s="5">
        <f>IFERROR(ROUND(EB17/EE17,2),0)</f>
        <v/>
      </c>
    </row>
    <row r="18">
      <c r="A18" s="2" t="inlineStr">
        <is>
          <t>1 Weekly Total</t>
        </is>
      </c>
      <c r="B18" s="5">
        <f>ROUND(0.0,2)</f>
        <v/>
      </c>
      <c r="C18" s="3">
        <f>ROUND(0.0,2)</f>
        <v/>
      </c>
      <c r="D18" s="3">
        <f>ROUND(0.0,2)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IFERROR(((0+B11+B12+B13+B14+B15+B16+B17)/T2),0)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1 Weekly Total</t>
        </is>
      </c>
      <c r="O18" s="5">
        <f>ROUND(0.0,2)</f>
        <v/>
      </c>
      <c r="P18" s="3">
        <f>ROUND(0.0,2)</f>
        <v/>
      </c>
      <c r="Q18" s="3">
        <f>ROUND(0.0,2)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IFERROR(((0+O11+O12+O13+O14+O15+O16+O17)/T2),0)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1 Weekly Total</t>
        </is>
      </c>
      <c r="AB18" s="5">
        <f>ROUND(0.0,2)</f>
        <v/>
      </c>
      <c r="AC18" s="3">
        <f>ROUND(0.0,2)</f>
        <v/>
      </c>
      <c r="AD18" s="3">
        <f>ROUND(0.0,2)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IFERROR(((0+AB11+AB12+AB13+AB14+AB15+AB16+AB17)/T2),0)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1 Weekly Total</t>
        </is>
      </c>
      <c r="AO18" s="5">
        <f>ROUND(0.0,2)</f>
        <v/>
      </c>
      <c r="AP18" s="3">
        <f>ROUND(0.0,2)</f>
        <v/>
      </c>
      <c r="AQ18" s="3">
        <f>ROUND(0.0,2)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IFERROR(((0+AO11+AO12+AO13+AO14+AO15+AO16+AO17)/T2),0)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1 Weekly Total</t>
        </is>
      </c>
      <c r="BB18" s="5">
        <f>ROUND(0.0,2)</f>
        <v/>
      </c>
      <c r="BC18" s="3">
        <f>ROUND(0.0,2)</f>
        <v/>
      </c>
      <c r="BD18" s="3">
        <f>ROUND(0.0,2)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IFERROR(((0+BB11+BB12+BB13+BB14+BB15+BB16+BB17)/T2),0)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1 Weekly Total</t>
        </is>
      </c>
      <c r="BO18" s="5">
        <f>ROUND(0.0,2)</f>
        <v/>
      </c>
      <c r="BP18" s="3">
        <f>ROUND(0.0,2)</f>
        <v/>
      </c>
      <c r="BQ18" s="3">
        <f>ROUND(0.0,2)</f>
        <v/>
      </c>
      <c r="BR18" s="3">
        <f>ROUND(0.0,2)</f>
        <v/>
      </c>
      <c r="BS18" s="3">
        <f>ROUND(0.0,2)</f>
        <v/>
      </c>
      <c r="BT18" s="3">
        <f>ROUND(0.0,2)</f>
        <v/>
      </c>
      <c r="BU18" s="3">
        <f>ROUND(0.0,2)</f>
        <v/>
      </c>
      <c r="BV18" s="3">
        <f>ROUND(0.0,2)</f>
        <v/>
      </c>
      <c r="BW18" s="4">
        <f>IFERROR((BQ18/BP18),0)</f>
        <v/>
      </c>
      <c r="BX18" s="4">
        <f>IFERROR(((0+BO11+BO12+BO13+BO14+BO15+BO16+BO17)/T2),0)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1 Weekly Total</t>
        </is>
      </c>
      <c r="CB18" s="5">
        <f>ROUND(0.0,2)</f>
        <v/>
      </c>
      <c r="CC18" s="3">
        <f>ROUND(0.0,2)</f>
        <v/>
      </c>
      <c r="CD18" s="3">
        <f>ROUND(0.0,2)</f>
        <v/>
      </c>
      <c r="CE18" s="3">
        <f>ROUND(0.0,2)</f>
        <v/>
      </c>
      <c r="CF18" s="3">
        <f>ROUND(0.0,2)</f>
        <v/>
      </c>
      <c r="CG18" s="3">
        <f>ROUND(0.0,2)</f>
        <v/>
      </c>
      <c r="CH18" s="3">
        <f>ROUND(0.0,2)</f>
        <v/>
      </c>
      <c r="CI18" s="3">
        <f>ROUND(0.0,2)</f>
        <v/>
      </c>
      <c r="CJ18" s="4">
        <f>IFERROR((CD18/CC18),0)</f>
        <v/>
      </c>
      <c r="CK18" s="4">
        <f>IFERROR(((0+CB11+CB12+CB13+CB14+CB15+CB16+CB17)/T2),0)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1 Weekly Total</t>
        </is>
      </c>
      <c r="CO18" s="5">
        <f>ROUND(0.0,2)</f>
        <v/>
      </c>
      <c r="CP18" s="3">
        <f>ROUND(0.0,2)</f>
        <v/>
      </c>
      <c r="CQ18" s="3">
        <f>ROUND(0.0,2)</f>
        <v/>
      </c>
      <c r="CR18" s="3">
        <f>ROUND(0.0,2)</f>
        <v/>
      </c>
      <c r="CS18" s="3">
        <f>ROUND(0.0,2)</f>
        <v/>
      </c>
      <c r="CT18" s="3">
        <f>ROUND(0.0,2)</f>
        <v/>
      </c>
      <c r="CU18" s="3">
        <f>ROUND(0.0,2)</f>
        <v/>
      </c>
      <c r="CV18" s="3">
        <f>ROUND(0.0,2)</f>
        <v/>
      </c>
      <c r="CW18" s="4">
        <f>IFERROR((CQ18/CP18),0)</f>
        <v/>
      </c>
      <c r="CX18" s="4">
        <f>IFERROR(((0+CO11+CO12+CO13+CO14+CO15+CO16+CO17)/T2),0)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1 Weekly Total</t>
        </is>
      </c>
      <c r="DB18" s="5">
        <f>ROUND(0.0,2)</f>
        <v/>
      </c>
      <c r="DC18" s="3">
        <f>ROUND(0.0,2)</f>
        <v/>
      </c>
      <c r="DD18" s="3">
        <f>ROUND(0.0,2)</f>
        <v/>
      </c>
      <c r="DE18" s="3">
        <f>ROUND(0.0,2)</f>
        <v/>
      </c>
      <c r="DF18" s="3">
        <f>ROUND(0.0,2)</f>
        <v/>
      </c>
      <c r="DG18" s="3">
        <f>ROUND(0.0,2)</f>
        <v/>
      </c>
      <c r="DH18" s="3">
        <f>ROUND(0.0,2)</f>
        <v/>
      </c>
      <c r="DI18" s="3">
        <f>ROUND(0.0,2)</f>
        <v/>
      </c>
      <c r="DJ18" s="4">
        <f>IFERROR((DD18/DC18),0)</f>
        <v/>
      </c>
      <c r="DK18" s="4">
        <f>IFERROR(((0+DB11+DB12+DB13+DB14+DB15+DB16+DB17)/T2),0)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1 Weekly Total</t>
        </is>
      </c>
      <c r="DO18" s="5">
        <f>ROUND(0.0,2)</f>
        <v/>
      </c>
      <c r="DP18" s="3">
        <f>ROUND(0.0,2)</f>
        <v/>
      </c>
      <c r="DQ18" s="3">
        <f>ROUND(0.0,2)</f>
        <v/>
      </c>
      <c r="DR18" s="3">
        <f>ROUND(0.0,2)</f>
        <v/>
      </c>
      <c r="DS18" s="3">
        <f>ROUND(0.0,2)</f>
        <v/>
      </c>
      <c r="DT18" s="3">
        <f>ROUND(0.0,2)</f>
        <v/>
      </c>
      <c r="DU18" s="3">
        <f>ROUND(0.0,2)</f>
        <v/>
      </c>
      <c r="DV18" s="3">
        <f>ROUND(0.0,2)</f>
        <v/>
      </c>
      <c r="DW18" s="4">
        <f>IFERROR((DQ18/DP18),0)</f>
        <v/>
      </c>
      <c r="DX18" s="4">
        <f>IFERROR(((0+DO11+DO12+DO13+DO14+DO15+DO16+DO17)/T2),0)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1 Weekly Total</t>
        </is>
      </c>
      <c r="EB18" s="5">
        <f>ROUND(0.0,2)</f>
        <v/>
      </c>
      <c r="EC18" s="3">
        <f>ROUND(0.0,2)</f>
        <v/>
      </c>
      <c r="ED18" s="3">
        <f>ROUND(0.0,2)</f>
        <v/>
      </c>
      <c r="EE18" s="3">
        <f>ROUND(0.0,2)</f>
        <v/>
      </c>
      <c r="EF18" s="3">
        <f>ROUND(0.0,2)</f>
        <v/>
      </c>
      <c r="EG18" s="3">
        <f>ROUND(0.0,2)</f>
        <v/>
      </c>
      <c r="EH18" s="3">
        <f>ROUND(0.0,2)</f>
        <v/>
      </c>
      <c r="EI18" s="3">
        <f>ROUND(0.0,2)</f>
        <v/>
      </c>
      <c r="EJ18" s="4">
        <f>IFERROR((ED18/EC18),0)</f>
        <v/>
      </c>
      <c r="EK18" s="4">
        <f>IFERROR(((0+EB11+EB12+EB13+EB14+EB15+EB16+EB17)/T2),0)</f>
        <v/>
      </c>
      <c r="EL18" s="5">
        <f>IFERROR(ROUND(EB18/ED18,2),0)</f>
        <v/>
      </c>
      <c r="EM18" s="5">
        <f>IFERROR(ROUND(EB18/EE18,2),0)</f>
        <v/>
      </c>
    </row>
    <row r="19">
      <c r="A19" s="2" t="inlineStr">
        <is>
          <t>2023-09-27</t>
        </is>
      </c>
      <c r="B19" s="5">
        <f>ROUND(0.0,2)</f>
        <v/>
      </c>
      <c r="C19" s="3">
        <f>ROUND(0.0,2)</f>
        <v/>
      </c>
      <c r="D19" s="3">
        <f>ROUND(0.0,2)</f>
        <v/>
      </c>
      <c r="E19" s="3">
        <f>ROUND(0.0,2)</f>
        <v/>
      </c>
      <c r="F19" s="3">
        <f>ROUND(0.0,2)</f>
        <v/>
      </c>
      <c r="G19" s="3">
        <f>ROUND(0.0,2)</f>
        <v/>
      </c>
      <c r="H19" s="3">
        <f>ROUND(0.0,2)</f>
        <v/>
      </c>
      <c r="I19" s="3">
        <f>ROUND(0.0,2)</f>
        <v/>
      </c>
      <c r="J19" s="4">
        <f>IFERROR((D19/C19),0)</f>
        <v/>
      </c>
      <c r="K19" s="4">
        <f>IFERROR(((0+B11+B12+B13+B14+B15+B16+B17+B19)/T2),0)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2023-09-27</t>
        </is>
      </c>
      <c r="O19" s="5">
        <f>ROUND(0.0,2)</f>
        <v/>
      </c>
      <c r="P19" s="3">
        <f>ROUND(0.0,2)</f>
        <v/>
      </c>
      <c r="Q19" s="3">
        <f>ROUND(0.0,2)</f>
        <v/>
      </c>
      <c r="R19" s="3">
        <f>ROUND(0.0,2)</f>
        <v/>
      </c>
      <c r="S19" s="3">
        <f>ROUND(0.0,2)</f>
        <v/>
      </c>
      <c r="T19" s="3">
        <f>ROUND(0.0,2)</f>
        <v/>
      </c>
      <c r="U19" s="3">
        <f>ROUND(0.0,2)</f>
        <v/>
      </c>
      <c r="V19" s="3">
        <f>ROUND(0.0,2)</f>
        <v/>
      </c>
      <c r="W19" s="4">
        <f>IFERROR((Q19/P19),0)</f>
        <v/>
      </c>
      <c r="X19" s="4">
        <f>IFERROR(((0+O11+O12+O13+O14+O15+O16+O17+O19)/T2),0)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2023-09-27</t>
        </is>
      </c>
      <c r="AB19" s="5">
        <f>ROUND(0.0,2)</f>
        <v/>
      </c>
      <c r="AC19" s="3">
        <f>ROUND(0.0,2)</f>
        <v/>
      </c>
      <c r="AD19" s="3">
        <f>ROUND(0.0,2)</f>
        <v/>
      </c>
      <c r="AE19" s="3">
        <f>ROUND(0.0,2)</f>
        <v/>
      </c>
      <c r="AF19" s="3">
        <f>ROUND(0.0,2)</f>
        <v/>
      </c>
      <c r="AG19" s="3">
        <f>ROUND(0.0,2)</f>
        <v/>
      </c>
      <c r="AH19" s="3">
        <f>ROUND(0.0,2)</f>
        <v/>
      </c>
      <c r="AI19" s="3">
        <f>ROUND(0.0,2)</f>
        <v/>
      </c>
      <c r="AJ19" s="4">
        <f>IFERROR((AD19/AC19),0)</f>
        <v/>
      </c>
      <c r="AK19" s="4">
        <f>IFERROR(((0+AB11+AB12+AB13+AB14+AB15+AB16+AB17+AB19)/T2),0)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2023-09-27</t>
        </is>
      </c>
      <c r="AO19" s="5">
        <f>ROUND(0.0,2)</f>
        <v/>
      </c>
      <c r="AP19" s="3">
        <f>ROUND(0.0,2)</f>
        <v/>
      </c>
      <c r="AQ19" s="3">
        <f>ROUND(0.0,2)</f>
        <v/>
      </c>
      <c r="AR19" s="3">
        <f>ROUND(0.0,2)</f>
        <v/>
      </c>
      <c r="AS19" s="3">
        <f>ROUND(0.0,2)</f>
        <v/>
      </c>
      <c r="AT19" s="3">
        <f>ROUND(0.0,2)</f>
        <v/>
      </c>
      <c r="AU19" s="3">
        <f>ROUND(0.0,2)</f>
        <v/>
      </c>
      <c r="AV19" s="3">
        <f>ROUND(0.0,2)</f>
        <v/>
      </c>
      <c r="AW19" s="4">
        <f>IFERROR((AQ19/AP19),0)</f>
        <v/>
      </c>
      <c r="AX19" s="4">
        <f>IFERROR(((0+AO11+AO12+AO13+AO14+AO15+AO16+AO17+AO19)/T2),0)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2023-09-27</t>
        </is>
      </c>
      <c r="BB19" s="5">
        <f>ROUND(0.0,2)</f>
        <v/>
      </c>
      <c r="BC19" s="3">
        <f>ROUND(0.0,2)</f>
        <v/>
      </c>
      <c r="BD19" s="3">
        <f>ROUND(0.0,2)</f>
        <v/>
      </c>
      <c r="BE19" s="3">
        <f>ROUND(0.0,2)</f>
        <v/>
      </c>
      <c r="BF19" s="3">
        <f>ROUND(0.0,2)</f>
        <v/>
      </c>
      <c r="BG19" s="3">
        <f>ROUND(0.0,2)</f>
        <v/>
      </c>
      <c r="BH19" s="3">
        <f>ROUND(0.0,2)</f>
        <v/>
      </c>
      <c r="BI19" s="3">
        <f>ROUND(0.0,2)</f>
        <v/>
      </c>
      <c r="BJ19" s="4">
        <f>IFERROR((BD19/BC19),0)</f>
        <v/>
      </c>
      <c r="BK19" s="4">
        <f>IFERROR(((0+BB11+BB12+BB13+BB14+BB15+BB16+BB17+BB19)/T2),0)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2023-09-27</t>
        </is>
      </c>
      <c r="BO19" s="5">
        <f>ROUND(0.0,2)</f>
        <v/>
      </c>
      <c r="BP19" s="3">
        <f>ROUND(0.0,2)</f>
        <v/>
      </c>
      <c r="BQ19" s="3">
        <f>ROUND(0.0,2)</f>
        <v/>
      </c>
      <c r="BR19" s="3">
        <f>ROUND(0.0,2)</f>
        <v/>
      </c>
      <c r="BS19" s="3">
        <f>ROUND(0.0,2)</f>
        <v/>
      </c>
      <c r="BT19" s="3">
        <f>ROUND(0.0,2)</f>
        <v/>
      </c>
      <c r="BU19" s="3">
        <f>ROUND(0.0,2)</f>
        <v/>
      </c>
      <c r="BV19" s="3">
        <f>ROUND(0.0,2)</f>
        <v/>
      </c>
      <c r="BW19" s="4">
        <f>IFERROR((BQ19/BP19),0)</f>
        <v/>
      </c>
      <c r="BX19" s="4">
        <f>IFERROR(((0+BO11+BO12+BO13+BO14+BO15+BO16+BO17+BO19)/T2),0)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2023-09-27</t>
        </is>
      </c>
      <c r="CB19" s="5">
        <f>ROUND(0.0,2)</f>
        <v/>
      </c>
      <c r="CC19" s="3">
        <f>ROUND(0.0,2)</f>
        <v/>
      </c>
      <c r="CD19" s="3">
        <f>ROUND(0.0,2)</f>
        <v/>
      </c>
      <c r="CE19" s="3">
        <f>ROUND(0.0,2)</f>
        <v/>
      </c>
      <c r="CF19" s="3">
        <f>ROUND(0.0,2)</f>
        <v/>
      </c>
      <c r="CG19" s="3">
        <f>ROUND(0.0,2)</f>
        <v/>
      </c>
      <c r="CH19" s="3">
        <f>ROUND(0.0,2)</f>
        <v/>
      </c>
      <c r="CI19" s="3">
        <f>ROUND(0.0,2)</f>
        <v/>
      </c>
      <c r="CJ19" s="4">
        <f>IFERROR((CD19/CC19),0)</f>
        <v/>
      </c>
      <c r="CK19" s="4">
        <f>IFERROR(((0+CB11+CB12+CB13+CB14+CB15+CB16+CB17+CB19)/T2),0)</f>
        <v/>
      </c>
      <c r="CL19" s="5">
        <f>IFERROR(ROUND(CB19/CD19,2),0)</f>
        <v/>
      </c>
      <c r="CM19" s="5">
        <f>IFERROR(ROUND(CB19/CE19,2),0)</f>
        <v/>
      </c>
      <c r="CN19" s="2" t="inlineStr">
        <is>
          <t>2023-09-27</t>
        </is>
      </c>
      <c r="CO19" s="5">
        <f>ROUND(0.0,2)</f>
        <v/>
      </c>
      <c r="CP19" s="3">
        <f>ROUND(0.0,2)</f>
        <v/>
      </c>
      <c r="CQ19" s="3">
        <f>ROUND(0.0,2)</f>
        <v/>
      </c>
      <c r="CR19" s="3">
        <f>ROUND(0.0,2)</f>
        <v/>
      </c>
      <c r="CS19" s="3">
        <f>ROUND(0.0,2)</f>
        <v/>
      </c>
      <c r="CT19" s="3">
        <f>ROUND(0.0,2)</f>
        <v/>
      </c>
      <c r="CU19" s="3">
        <f>ROUND(0.0,2)</f>
        <v/>
      </c>
      <c r="CV19" s="3">
        <f>ROUND(0.0,2)</f>
        <v/>
      </c>
      <c r="CW19" s="4">
        <f>IFERROR((CQ19/CP19),0)</f>
        <v/>
      </c>
      <c r="CX19" s="4">
        <f>IFERROR(((0+CO11+CO12+CO13+CO14+CO15+CO16+CO17+CO19)/T2),0)</f>
        <v/>
      </c>
      <c r="CY19" s="5">
        <f>IFERROR(ROUND(CO19/CQ19,2),0)</f>
        <v/>
      </c>
      <c r="CZ19" s="5">
        <f>IFERROR(ROUND(CO19/CR19,2),0)</f>
        <v/>
      </c>
      <c r="DA19" s="2" t="inlineStr">
        <is>
          <t>2023-09-27</t>
        </is>
      </c>
      <c r="DB19" s="5">
        <f>ROUND(0.0,2)</f>
        <v/>
      </c>
      <c r="DC19" s="3">
        <f>ROUND(0.0,2)</f>
        <v/>
      </c>
      <c r="DD19" s="3">
        <f>ROUND(0.0,2)</f>
        <v/>
      </c>
      <c r="DE19" s="3">
        <f>ROUND(0.0,2)</f>
        <v/>
      </c>
      <c r="DF19" s="3">
        <f>ROUND(0.0,2)</f>
        <v/>
      </c>
      <c r="DG19" s="3">
        <f>ROUND(0.0,2)</f>
        <v/>
      </c>
      <c r="DH19" s="3">
        <f>ROUND(0.0,2)</f>
        <v/>
      </c>
      <c r="DI19" s="3">
        <f>ROUND(0.0,2)</f>
        <v/>
      </c>
      <c r="DJ19" s="4">
        <f>IFERROR((DD19/DC19),0)</f>
        <v/>
      </c>
      <c r="DK19" s="4">
        <f>IFERROR(((0+DB11+DB12+DB13+DB14+DB15+DB16+DB17+DB19)/T2),0)</f>
        <v/>
      </c>
      <c r="DL19" s="5">
        <f>IFERROR(ROUND(DB19/DD19,2),0)</f>
        <v/>
      </c>
      <c r="DM19" s="5">
        <f>IFERROR(ROUND(DB19/DE19,2),0)</f>
        <v/>
      </c>
      <c r="DN19" s="2" t="inlineStr">
        <is>
          <t>2023-09-27</t>
        </is>
      </c>
      <c r="DO19" s="5">
        <f>ROUND(0.0,2)</f>
        <v/>
      </c>
      <c r="DP19" s="3">
        <f>ROUND(0.0,2)</f>
        <v/>
      </c>
      <c r="DQ19" s="3">
        <f>ROUND(0.0,2)</f>
        <v/>
      </c>
      <c r="DR19" s="3">
        <f>ROUND(0.0,2)</f>
        <v/>
      </c>
      <c r="DS19" s="3">
        <f>ROUND(0.0,2)</f>
        <v/>
      </c>
      <c r="DT19" s="3">
        <f>ROUND(0.0,2)</f>
        <v/>
      </c>
      <c r="DU19" s="3">
        <f>ROUND(0.0,2)</f>
        <v/>
      </c>
      <c r="DV19" s="3">
        <f>ROUND(0.0,2)</f>
        <v/>
      </c>
      <c r="DW19" s="4">
        <f>IFERROR((DQ19/DP19),0)</f>
        <v/>
      </c>
      <c r="DX19" s="4">
        <f>IFERROR(((0+DO11+DO12+DO13+DO14+DO15+DO16+DO17+DO19)/T2),0)</f>
        <v/>
      </c>
      <c r="DY19" s="5">
        <f>IFERROR(ROUND(DO19/DQ19,2),0)</f>
        <v/>
      </c>
      <c r="DZ19" s="5">
        <f>IFERROR(ROUND(DO19/DR19,2),0)</f>
        <v/>
      </c>
      <c r="EA19" s="2" t="inlineStr">
        <is>
          <t>2023-09-27</t>
        </is>
      </c>
      <c r="EB19" s="5">
        <f>ROUND(0.0,2)</f>
        <v/>
      </c>
      <c r="EC19" s="3">
        <f>ROUND(0.0,2)</f>
        <v/>
      </c>
      <c r="ED19" s="3">
        <f>ROUND(0.0,2)</f>
        <v/>
      </c>
      <c r="EE19" s="3">
        <f>ROUND(0.0,2)</f>
        <v/>
      </c>
      <c r="EF19" s="3">
        <f>ROUND(0.0,2)</f>
        <v/>
      </c>
      <c r="EG19" s="3">
        <f>ROUND(0.0,2)</f>
        <v/>
      </c>
      <c r="EH19" s="3">
        <f>ROUND(0.0,2)</f>
        <v/>
      </c>
      <c r="EI19" s="3">
        <f>ROUND(0.0,2)</f>
        <v/>
      </c>
      <c r="EJ19" s="4">
        <f>IFERROR((ED19/EC19),0)</f>
        <v/>
      </c>
      <c r="EK19" s="4">
        <f>IFERROR(((0+EB11+EB12+EB13+EB14+EB15+EB16+EB17+EB19)/T2),0)</f>
        <v/>
      </c>
      <c r="EL19" s="5">
        <f>IFERROR(ROUND(EB19/ED19,2),0)</f>
        <v/>
      </c>
      <c r="EM19" s="5">
        <f>IFERROR(ROUND(EB19/EE19,2),0)</f>
        <v/>
      </c>
    </row>
    <row r="20">
      <c r="A20" s="2" t="inlineStr">
        <is>
          <t>2023-09-28</t>
        </is>
      </c>
      <c r="B20" s="5">
        <f>ROUND(0.0,2)</f>
        <v/>
      </c>
      <c r="C20" s="3">
        <f>ROUND(0.0,2)</f>
        <v/>
      </c>
      <c r="D20" s="3">
        <f>ROUND(0.0,2)</f>
        <v/>
      </c>
      <c r="E20" s="3">
        <f>ROUND(0.0,2)</f>
        <v/>
      </c>
      <c r="F20" s="3">
        <f>ROUND(0.0,2)</f>
        <v/>
      </c>
      <c r="G20" s="3">
        <f>ROUND(0.0,2)</f>
        <v/>
      </c>
      <c r="H20" s="3">
        <f>ROUND(0.0,2)</f>
        <v/>
      </c>
      <c r="I20" s="3">
        <f>ROUND(0.0,2)</f>
        <v/>
      </c>
      <c r="J20" s="4">
        <f>IFERROR((D20/C20),0)</f>
        <v/>
      </c>
      <c r="K20" s="4">
        <f>IFERROR(((0+B11+B12+B13+B14+B15+B16+B17+B19+B20)/T2),0)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2023-09-28</t>
        </is>
      </c>
      <c r="O20" s="5">
        <f>ROUND(0.0,2)</f>
        <v/>
      </c>
      <c r="P20" s="3">
        <f>ROUND(0.0,2)</f>
        <v/>
      </c>
      <c r="Q20" s="3">
        <f>ROUND(0.0,2)</f>
        <v/>
      </c>
      <c r="R20" s="3">
        <f>ROUND(0.0,2)</f>
        <v/>
      </c>
      <c r="S20" s="3">
        <f>ROUND(0.0,2)</f>
        <v/>
      </c>
      <c r="T20" s="3">
        <f>ROUND(0.0,2)</f>
        <v/>
      </c>
      <c r="U20" s="3">
        <f>ROUND(0.0,2)</f>
        <v/>
      </c>
      <c r="V20" s="3">
        <f>ROUND(0.0,2)</f>
        <v/>
      </c>
      <c r="W20" s="4">
        <f>IFERROR((Q20/P20),0)</f>
        <v/>
      </c>
      <c r="X20" s="4">
        <f>IFERROR(((0+O11+O12+O13+O14+O15+O16+O17+O19+O20)/T2),0)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2023-09-28</t>
        </is>
      </c>
      <c r="AB20" s="5">
        <f>ROUND(0.0,2)</f>
        <v/>
      </c>
      <c r="AC20" s="3">
        <f>ROUND(0.0,2)</f>
        <v/>
      </c>
      <c r="AD20" s="3">
        <f>ROUND(0.0,2)</f>
        <v/>
      </c>
      <c r="AE20" s="3">
        <f>ROUND(0.0,2)</f>
        <v/>
      </c>
      <c r="AF20" s="3">
        <f>ROUND(0.0,2)</f>
        <v/>
      </c>
      <c r="AG20" s="3">
        <f>ROUND(0.0,2)</f>
        <v/>
      </c>
      <c r="AH20" s="3">
        <f>ROUND(0.0,2)</f>
        <v/>
      </c>
      <c r="AI20" s="3">
        <f>ROUND(0.0,2)</f>
        <v/>
      </c>
      <c r="AJ20" s="4">
        <f>IFERROR((AD20/AC20),0)</f>
        <v/>
      </c>
      <c r="AK20" s="4">
        <f>IFERROR(((0+AB11+AB12+AB13+AB14+AB15+AB16+AB17+AB19+AB20)/T2),0)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2023-09-28</t>
        </is>
      </c>
      <c r="AO20" s="5">
        <f>ROUND(0.0,2)</f>
        <v/>
      </c>
      <c r="AP20" s="3">
        <f>ROUND(0.0,2)</f>
        <v/>
      </c>
      <c r="AQ20" s="3">
        <f>ROUND(0.0,2)</f>
        <v/>
      </c>
      <c r="AR20" s="3">
        <f>ROUND(0.0,2)</f>
        <v/>
      </c>
      <c r="AS20" s="3">
        <f>ROUND(0.0,2)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IFERROR(((0+AO11+AO12+AO13+AO14+AO15+AO16+AO17+AO19+AO20)/T2),0)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2023-09-28</t>
        </is>
      </c>
      <c r="BB20" s="5">
        <f>ROUND(0.0,2)</f>
        <v/>
      </c>
      <c r="BC20" s="3">
        <f>ROUND(0.0,2)</f>
        <v/>
      </c>
      <c r="BD20" s="3">
        <f>ROUND(0.0,2)</f>
        <v/>
      </c>
      <c r="BE20" s="3">
        <f>ROUND(0.0,2)</f>
        <v/>
      </c>
      <c r="BF20" s="3">
        <f>ROUND(0.0,2)</f>
        <v/>
      </c>
      <c r="BG20" s="3">
        <f>ROUND(0.0,2)</f>
        <v/>
      </c>
      <c r="BH20" s="3">
        <f>ROUND(0.0,2)</f>
        <v/>
      </c>
      <c r="BI20" s="3">
        <f>ROUND(0.0,2)</f>
        <v/>
      </c>
      <c r="BJ20" s="4">
        <f>IFERROR((BD20/BC20),0)</f>
        <v/>
      </c>
      <c r="BK20" s="4">
        <f>IFERROR(((0+BB11+BB12+BB13+BB14+BB15+BB16+BB17+BB19+BB20)/T2),0)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2023-09-28</t>
        </is>
      </c>
      <c r="BO20" s="5">
        <f>ROUND(0.0,2)</f>
        <v/>
      </c>
      <c r="BP20" s="3">
        <f>ROUND(0.0,2)</f>
        <v/>
      </c>
      <c r="BQ20" s="3">
        <f>ROUND(0.0,2)</f>
        <v/>
      </c>
      <c r="BR20" s="3">
        <f>ROUND(0.0,2)</f>
        <v/>
      </c>
      <c r="BS20" s="3">
        <f>ROUND(0.0,2)</f>
        <v/>
      </c>
      <c r="BT20" s="3">
        <f>ROUND(0.0,2)</f>
        <v/>
      </c>
      <c r="BU20" s="3">
        <f>ROUND(0.0,2)</f>
        <v/>
      </c>
      <c r="BV20" s="3">
        <f>ROUND(0.0,2)</f>
        <v/>
      </c>
      <c r="BW20" s="4">
        <f>IFERROR((BQ20/BP20),0)</f>
        <v/>
      </c>
      <c r="BX20" s="4">
        <f>IFERROR(((0+BO11+BO12+BO13+BO14+BO15+BO16+BO17+BO19+BO20)/T2),0)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2023-09-28</t>
        </is>
      </c>
      <c r="CB20" s="5">
        <f>ROUND(0.0,2)</f>
        <v/>
      </c>
      <c r="CC20" s="3">
        <f>ROUND(0.0,2)</f>
        <v/>
      </c>
      <c r="CD20" s="3">
        <f>ROUND(0.0,2)</f>
        <v/>
      </c>
      <c r="CE20" s="3">
        <f>ROUND(0.0,2)</f>
        <v/>
      </c>
      <c r="CF20" s="3">
        <f>ROUND(0.0,2)</f>
        <v/>
      </c>
      <c r="CG20" s="3">
        <f>ROUND(0.0,2)</f>
        <v/>
      </c>
      <c r="CH20" s="3">
        <f>ROUND(0.0,2)</f>
        <v/>
      </c>
      <c r="CI20" s="3">
        <f>ROUND(0.0,2)</f>
        <v/>
      </c>
      <c r="CJ20" s="4">
        <f>IFERROR((CD20/CC20),0)</f>
        <v/>
      </c>
      <c r="CK20" s="4">
        <f>IFERROR(((0+CB11+CB12+CB13+CB14+CB15+CB16+CB17+CB19+CB20)/T2),0)</f>
        <v/>
      </c>
      <c r="CL20" s="5">
        <f>IFERROR(ROUND(CB20/CD20,2),0)</f>
        <v/>
      </c>
      <c r="CM20" s="5">
        <f>IFERROR(ROUND(CB20/CE20,2),0)</f>
        <v/>
      </c>
      <c r="CN20" s="2" t="inlineStr">
        <is>
          <t>2023-09-28</t>
        </is>
      </c>
      <c r="CO20" s="5">
        <f>ROUND(0.0,2)</f>
        <v/>
      </c>
      <c r="CP20" s="3">
        <f>ROUND(0.0,2)</f>
        <v/>
      </c>
      <c r="CQ20" s="3">
        <f>ROUND(0.0,2)</f>
        <v/>
      </c>
      <c r="CR20" s="3">
        <f>ROUND(0.0,2)</f>
        <v/>
      </c>
      <c r="CS20" s="3">
        <f>ROUND(0.0,2)</f>
        <v/>
      </c>
      <c r="CT20" s="3">
        <f>ROUND(0.0,2)</f>
        <v/>
      </c>
      <c r="CU20" s="3">
        <f>ROUND(0.0,2)</f>
        <v/>
      </c>
      <c r="CV20" s="3">
        <f>ROUND(0.0,2)</f>
        <v/>
      </c>
      <c r="CW20" s="4">
        <f>IFERROR((CQ20/CP20),0)</f>
        <v/>
      </c>
      <c r="CX20" s="4">
        <f>IFERROR(((0+CO11+CO12+CO13+CO14+CO15+CO16+CO17+CO19+CO20)/T2),0)</f>
        <v/>
      </c>
      <c r="CY20" s="5">
        <f>IFERROR(ROUND(CO20/CQ20,2),0)</f>
        <v/>
      </c>
      <c r="CZ20" s="5">
        <f>IFERROR(ROUND(CO20/CR20,2),0)</f>
        <v/>
      </c>
      <c r="DA20" s="2" t="inlineStr">
        <is>
          <t>2023-09-28</t>
        </is>
      </c>
      <c r="DB20" s="5">
        <f>ROUND(0.0,2)</f>
        <v/>
      </c>
      <c r="DC20" s="3">
        <f>ROUND(0.0,2)</f>
        <v/>
      </c>
      <c r="DD20" s="3">
        <f>ROUND(0.0,2)</f>
        <v/>
      </c>
      <c r="DE20" s="3">
        <f>ROUND(0.0,2)</f>
        <v/>
      </c>
      <c r="DF20" s="3">
        <f>ROUND(0.0,2)</f>
        <v/>
      </c>
      <c r="DG20" s="3">
        <f>ROUND(0.0,2)</f>
        <v/>
      </c>
      <c r="DH20" s="3">
        <f>ROUND(0.0,2)</f>
        <v/>
      </c>
      <c r="DI20" s="3">
        <f>ROUND(0.0,2)</f>
        <v/>
      </c>
      <c r="DJ20" s="4">
        <f>IFERROR((DD20/DC20),0)</f>
        <v/>
      </c>
      <c r="DK20" s="4">
        <f>IFERROR(((0+DB11+DB12+DB13+DB14+DB15+DB16+DB17+DB19+DB20)/T2),0)</f>
        <v/>
      </c>
      <c r="DL20" s="5">
        <f>IFERROR(ROUND(DB20/DD20,2),0)</f>
        <v/>
      </c>
      <c r="DM20" s="5">
        <f>IFERROR(ROUND(DB20/DE20,2),0)</f>
        <v/>
      </c>
      <c r="DN20" s="2" t="inlineStr">
        <is>
          <t>2023-09-28</t>
        </is>
      </c>
      <c r="DO20" s="5">
        <f>ROUND(0.0,2)</f>
        <v/>
      </c>
      <c r="DP20" s="3">
        <f>ROUND(0.0,2)</f>
        <v/>
      </c>
      <c r="DQ20" s="3">
        <f>ROUND(0.0,2)</f>
        <v/>
      </c>
      <c r="DR20" s="3">
        <f>ROUND(0.0,2)</f>
        <v/>
      </c>
      <c r="DS20" s="3">
        <f>ROUND(0.0,2)</f>
        <v/>
      </c>
      <c r="DT20" s="3">
        <f>ROUND(0.0,2)</f>
        <v/>
      </c>
      <c r="DU20" s="3">
        <f>ROUND(0.0,2)</f>
        <v/>
      </c>
      <c r="DV20" s="3">
        <f>ROUND(0.0,2)</f>
        <v/>
      </c>
      <c r="DW20" s="4">
        <f>IFERROR((DQ20/DP20),0)</f>
        <v/>
      </c>
      <c r="DX20" s="4">
        <f>IFERROR(((0+DO11+DO12+DO13+DO14+DO15+DO16+DO17+DO19+DO20)/T2),0)</f>
        <v/>
      </c>
      <c r="DY20" s="5">
        <f>IFERROR(ROUND(DO20/DQ20,2),0)</f>
        <v/>
      </c>
      <c r="DZ20" s="5">
        <f>IFERROR(ROUND(DO20/DR20,2),0)</f>
        <v/>
      </c>
      <c r="EA20" s="2" t="inlineStr">
        <is>
          <t>2023-09-28</t>
        </is>
      </c>
      <c r="EB20" s="5">
        <f>ROUND(0.0,2)</f>
        <v/>
      </c>
      <c r="EC20" s="3">
        <f>ROUND(0.0,2)</f>
        <v/>
      </c>
      <c r="ED20" s="3">
        <f>ROUND(0.0,2)</f>
        <v/>
      </c>
      <c r="EE20" s="3">
        <f>ROUND(0.0,2)</f>
        <v/>
      </c>
      <c r="EF20" s="3">
        <f>ROUND(0.0,2)</f>
        <v/>
      </c>
      <c r="EG20" s="3">
        <f>ROUND(0.0,2)</f>
        <v/>
      </c>
      <c r="EH20" s="3">
        <f>ROUND(0.0,2)</f>
        <v/>
      </c>
      <c r="EI20" s="3">
        <f>ROUND(0.0,2)</f>
        <v/>
      </c>
      <c r="EJ20" s="4">
        <f>IFERROR((ED20/EC20),0)</f>
        <v/>
      </c>
      <c r="EK20" s="4">
        <f>IFERROR(((0+EB11+EB12+EB13+EB14+EB15+EB16+EB17+EB19+EB20)/T2),0)</f>
        <v/>
      </c>
      <c r="EL20" s="5">
        <f>IFERROR(ROUND(EB20/ED20,2),0)</f>
        <v/>
      </c>
      <c r="EM20" s="5">
        <f>IFERROR(ROUND(EB20/EE20,2),0)</f>
        <v/>
      </c>
    </row>
    <row r="21">
      <c r="A21" s="2" t="inlineStr">
        <is>
          <t>2023-09-29</t>
        </is>
      </c>
      <c r="B21" s="5">
        <f>ROUND(0.0,2)</f>
        <v/>
      </c>
      <c r="C21" s="3">
        <f>ROUND(0.0,2)</f>
        <v/>
      </c>
      <c r="D21" s="3">
        <f>ROUND(0.0,2)</f>
        <v/>
      </c>
      <c r="E21" s="3">
        <f>ROUND(0.0,2)</f>
        <v/>
      </c>
      <c r="F21" s="3">
        <f>ROUND(0.0,2)</f>
        <v/>
      </c>
      <c r="G21" s="3">
        <f>ROUND(0.0,2)</f>
        <v/>
      </c>
      <c r="H21" s="3">
        <f>ROUND(0.0,2)</f>
        <v/>
      </c>
      <c r="I21" s="3">
        <f>ROUND(0.0,2)</f>
        <v/>
      </c>
      <c r="J21" s="4">
        <f>IFERROR((D21/C21),0)</f>
        <v/>
      </c>
      <c r="K21" s="4">
        <f>IFERROR(((0+B11+B12+B13+B14+B15+B16+B17+B19+B20+B21)/T2),0)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2023-09-29</t>
        </is>
      </c>
      <c r="O21" s="5">
        <f>ROUND(0.0,2)</f>
        <v/>
      </c>
      <c r="P21" s="3">
        <f>ROUND(0.0,2)</f>
        <v/>
      </c>
      <c r="Q21" s="3">
        <f>ROUND(0.0,2)</f>
        <v/>
      </c>
      <c r="R21" s="3">
        <f>ROUND(0.0,2)</f>
        <v/>
      </c>
      <c r="S21" s="3">
        <f>ROUND(0.0,2)</f>
        <v/>
      </c>
      <c r="T21" s="3">
        <f>ROUND(0.0,2)</f>
        <v/>
      </c>
      <c r="U21" s="3">
        <f>ROUND(0.0,2)</f>
        <v/>
      </c>
      <c r="V21" s="3">
        <f>ROUND(0.0,2)</f>
        <v/>
      </c>
      <c r="W21" s="4">
        <f>IFERROR((Q21/P21),0)</f>
        <v/>
      </c>
      <c r="X21" s="4">
        <f>IFERROR(((0+O11+O12+O13+O14+O15+O16+O17+O19+O20+O21)/T2),0)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2023-09-29</t>
        </is>
      </c>
      <c r="AB21" s="5">
        <f>ROUND(0.0,2)</f>
        <v/>
      </c>
      <c r="AC21" s="3">
        <f>ROUND(0.0,2)</f>
        <v/>
      </c>
      <c r="AD21" s="3">
        <f>ROUND(0.0,2)</f>
        <v/>
      </c>
      <c r="AE21" s="3">
        <f>ROUND(0.0,2)</f>
        <v/>
      </c>
      <c r="AF21" s="3">
        <f>ROUND(0.0,2)</f>
        <v/>
      </c>
      <c r="AG21" s="3">
        <f>ROUND(0.0,2)</f>
        <v/>
      </c>
      <c r="AH21" s="3">
        <f>ROUND(0.0,2)</f>
        <v/>
      </c>
      <c r="AI21" s="3">
        <f>ROUND(0.0,2)</f>
        <v/>
      </c>
      <c r="AJ21" s="4">
        <f>IFERROR((AD21/AC21),0)</f>
        <v/>
      </c>
      <c r="AK21" s="4">
        <f>IFERROR(((0+AB11+AB12+AB13+AB14+AB15+AB16+AB17+AB19+AB20+AB21)/T2),0)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2023-09-29</t>
        </is>
      </c>
      <c r="AO21" s="5">
        <f>ROUND(0.0,2)</f>
        <v/>
      </c>
      <c r="AP21" s="3">
        <f>ROUND(0.0,2)</f>
        <v/>
      </c>
      <c r="AQ21" s="3">
        <f>ROUND(0.0,2)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IFERROR(((0+AO11+AO12+AO13+AO14+AO15+AO16+AO17+AO19+AO20+AO21)/T2),0)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2023-09-29</t>
        </is>
      </c>
      <c r="BB21" s="5">
        <f>ROUND(0.0,2)</f>
        <v/>
      </c>
      <c r="BC21" s="3">
        <f>ROUND(0.0,2)</f>
        <v/>
      </c>
      <c r="BD21" s="3">
        <f>ROUND(0.0,2)</f>
        <v/>
      </c>
      <c r="BE21" s="3">
        <f>ROUND(0.0,2)</f>
        <v/>
      </c>
      <c r="BF21" s="3">
        <f>ROUND(0.0,2)</f>
        <v/>
      </c>
      <c r="BG21" s="3">
        <f>ROUND(0.0,2)</f>
        <v/>
      </c>
      <c r="BH21" s="3">
        <f>ROUND(0.0,2)</f>
        <v/>
      </c>
      <c r="BI21" s="3">
        <f>ROUND(0.0,2)</f>
        <v/>
      </c>
      <c r="BJ21" s="4">
        <f>IFERROR((BD21/BC21),0)</f>
        <v/>
      </c>
      <c r="BK21" s="4">
        <f>IFERROR(((0+BB11+BB12+BB13+BB14+BB15+BB16+BB17+BB19+BB20+BB21)/T2),0)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2023-09-29</t>
        </is>
      </c>
      <c r="BO21" s="5">
        <f>ROUND(0.0,2)</f>
        <v/>
      </c>
      <c r="BP21" s="3">
        <f>ROUND(0.0,2)</f>
        <v/>
      </c>
      <c r="BQ21" s="3">
        <f>ROUND(0.0,2)</f>
        <v/>
      </c>
      <c r="BR21" s="3">
        <f>ROUND(0.0,2)</f>
        <v/>
      </c>
      <c r="BS21" s="3">
        <f>ROUND(0.0,2)</f>
        <v/>
      </c>
      <c r="BT21" s="3">
        <f>ROUND(0.0,2)</f>
        <v/>
      </c>
      <c r="BU21" s="3">
        <f>ROUND(0.0,2)</f>
        <v/>
      </c>
      <c r="BV21" s="3">
        <f>ROUND(0.0,2)</f>
        <v/>
      </c>
      <c r="BW21" s="4">
        <f>IFERROR((BQ21/BP21),0)</f>
        <v/>
      </c>
      <c r="BX21" s="4">
        <f>IFERROR(((0+BO11+BO12+BO13+BO14+BO15+BO16+BO17+BO19+BO20+BO21)/T2),0)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2023-09-29</t>
        </is>
      </c>
      <c r="CB21" s="5">
        <f>ROUND(0.0,2)</f>
        <v/>
      </c>
      <c r="CC21" s="3">
        <f>ROUND(0.0,2)</f>
        <v/>
      </c>
      <c r="CD21" s="3">
        <f>ROUND(0.0,2)</f>
        <v/>
      </c>
      <c r="CE21" s="3">
        <f>ROUND(0.0,2)</f>
        <v/>
      </c>
      <c r="CF21" s="3">
        <f>ROUND(0.0,2)</f>
        <v/>
      </c>
      <c r="CG21" s="3">
        <f>ROUND(0.0,2)</f>
        <v/>
      </c>
      <c r="CH21" s="3">
        <f>ROUND(0.0,2)</f>
        <v/>
      </c>
      <c r="CI21" s="3">
        <f>ROUND(0.0,2)</f>
        <v/>
      </c>
      <c r="CJ21" s="4">
        <f>IFERROR((CD21/CC21),0)</f>
        <v/>
      </c>
      <c r="CK21" s="4">
        <f>IFERROR(((0+CB11+CB12+CB13+CB14+CB15+CB16+CB17+CB19+CB20+CB21)/T2),0)</f>
        <v/>
      </c>
      <c r="CL21" s="5">
        <f>IFERROR(ROUND(CB21/CD21,2),0)</f>
        <v/>
      </c>
      <c r="CM21" s="5">
        <f>IFERROR(ROUND(CB21/CE21,2),0)</f>
        <v/>
      </c>
      <c r="CN21" s="2" t="inlineStr">
        <is>
          <t>2023-09-29</t>
        </is>
      </c>
      <c r="CO21" s="5">
        <f>ROUND(0.0,2)</f>
        <v/>
      </c>
      <c r="CP21" s="3">
        <f>ROUND(0.0,2)</f>
        <v/>
      </c>
      <c r="CQ21" s="3">
        <f>ROUND(0.0,2)</f>
        <v/>
      </c>
      <c r="CR21" s="3">
        <f>ROUND(0.0,2)</f>
        <v/>
      </c>
      <c r="CS21" s="3">
        <f>ROUND(0.0,2)</f>
        <v/>
      </c>
      <c r="CT21" s="3">
        <f>ROUND(0.0,2)</f>
        <v/>
      </c>
      <c r="CU21" s="3">
        <f>ROUND(0.0,2)</f>
        <v/>
      </c>
      <c r="CV21" s="3">
        <f>ROUND(0.0,2)</f>
        <v/>
      </c>
      <c r="CW21" s="4">
        <f>IFERROR((CQ21/CP21),0)</f>
        <v/>
      </c>
      <c r="CX21" s="4">
        <f>IFERROR(((0+CO11+CO12+CO13+CO14+CO15+CO16+CO17+CO19+CO20+CO21)/T2),0)</f>
        <v/>
      </c>
      <c r="CY21" s="5">
        <f>IFERROR(ROUND(CO21/CQ21,2),0)</f>
        <v/>
      </c>
      <c r="CZ21" s="5">
        <f>IFERROR(ROUND(CO21/CR21,2),0)</f>
        <v/>
      </c>
      <c r="DA21" s="2" t="inlineStr">
        <is>
          <t>2023-09-29</t>
        </is>
      </c>
      <c r="DB21" s="5">
        <f>ROUND(0.0,2)</f>
        <v/>
      </c>
      <c r="DC21" s="3">
        <f>ROUND(0.0,2)</f>
        <v/>
      </c>
      <c r="DD21" s="3">
        <f>ROUND(0.0,2)</f>
        <v/>
      </c>
      <c r="DE21" s="3">
        <f>ROUND(0.0,2)</f>
        <v/>
      </c>
      <c r="DF21" s="3">
        <f>ROUND(0.0,2)</f>
        <v/>
      </c>
      <c r="DG21" s="3">
        <f>ROUND(0.0,2)</f>
        <v/>
      </c>
      <c r="DH21" s="3">
        <f>ROUND(0.0,2)</f>
        <v/>
      </c>
      <c r="DI21" s="3">
        <f>ROUND(0.0,2)</f>
        <v/>
      </c>
      <c r="DJ21" s="4">
        <f>IFERROR((DD21/DC21),0)</f>
        <v/>
      </c>
      <c r="DK21" s="4">
        <f>IFERROR(((0+DB11+DB12+DB13+DB14+DB15+DB16+DB17+DB19+DB20+DB21)/T2),0)</f>
        <v/>
      </c>
      <c r="DL21" s="5">
        <f>IFERROR(ROUND(DB21/DD21,2),0)</f>
        <v/>
      </c>
      <c r="DM21" s="5">
        <f>IFERROR(ROUND(DB21/DE21,2),0)</f>
        <v/>
      </c>
      <c r="DN21" s="2" t="inlineStr">
        <is>
          <t>2023-09-29</t>
        </is>
      </c>
      <c r="DO21" s="5">
        <f>ROUND(0.0,2)</f>
        <v/>
      </c>
      <c r="DP21" s="3">
        <f>ROUND(0.0,2)</f>
        <v/>
      </c>
      <c r="DQ21" s="3">
        <f>ROUND(0.0,2)</f>
        <v/>
      </c>
      <c r="DR21" s="3">
        <f>ROUND(0.0,2)</f>
        <v/>
      </c>
      <c r="DS21" s="3">
        <f>ROUND(0.0,2)</f>
        <v/>
      </c>
      <c r="DT21" s="3">
        <f>ROUND(0.0,2)</f>
        <v/>
      </c>
      <c r="DU21" s="3">
        <f>ROUND(0.0,2)</f>
        <v/>
      </c>
      <c r="DV21" s="3">
        <f>ROUND(0.0,2)</f>
        <v/>
      </c>
      <c r="DW21" s="4">
        <f>IFERROR((DQ21/DP21),0)</f>
        <v/>
      </c>
      <c r="DX21" s="4">
        <f>IFERROR(((0+DO11+DO12+DO13+DO14+DO15+DO16+DO17+DO19+DO20+DO21)/T2),0)</f>
        <v/>
      </c>
      <c r="DY21" s="5">
        <f>IFERROR(ROUND(DO21/DQ21,2),0)</f>
        <v/>
      </c>
      <c r="DZ21" s="5">
        <f>IFERROR(ROUND(DO21/DR21,2),0)</f>
        <v/>
      </c>
      <c r="EA21" s="2" t="inlineStr">
        <is>
          <t>2023-09-29</t>
        </is>
      </c>
      <c r="EB21" s="5">
        <f>ROUND(0.0,2)</f>
        <v/>
      </c>
      <c r="EC21" s="3">
        <f>ROUND(0.0,2)</f>
        <v/>
      </c>
      <c r="ED21" s="3">
        <f>ROUND(0.0,2)</f>
        <v/>
      </c>
      <c r="EE21" s="3">
        <f>ROUND(0.0,2)</f>
        <v/>
      </c>
      <c r="EF21" s="3">
        <f>ROUND(0.0,2)</f>
        <v/>
      </c>
      <c r="EG21" s="3">
        <f>ROUND(0.0,2)</f>
        <v/>
      </c>
      <c r="EH21" s="3">
        <f>ROUND(0.0,2)</f>
        <v/>
      </c>
      <c r="EI21" s="3">
        <f>ROUND(0.0,2)</f>
        <v/>
      </c>
      <c r="EJ21" s="4">
        <f>IFERROR((ED21/EC21),0)</f>
        <v/>
      </c>
      <c r="EK21" s="4">
        <f>IFERROR(((0+EB11+EB12+EB13+EB14+EB15+EB16+EB17+EB19+EB20+EB21)/T2),0)</f>
        <v/>
      </c>
      <c r="EL21" s="5">
        <f>IFERROR(ROUND(EB21/ED21,2),0)</f>
        <v/>
      </c>
      <c r="EM21" s="5">
        <f>IFERROR(ROUND(EB21/EE21,2),0)</f>
        <v/>
      </c>
    </row>
    <row r="22">
      <c r="A22" s="2" t="inlineStr">
        <is>
          <t>2023-09-30</t>
        </is>
      </c>
      <c r="B22" s="5">
        <f>ROUND(0.0,2)</f>
        <v/>
      </c>
      <c r="C22" s="3">
        <f>ROUND(0.0,2)</f>
        <v/>
      </c>
      <c r="D22" s="3">
        <f>ROUND(0.0,2)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IFERROR(((0+B11+B12+B13+B14+B15+B16+B17+B19+B20+B21+B22)/T2),0)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2023-09-30</t>
        </is>
      </c>
      <c r="O22" s="5">
        <f>ROUND(0.0,2)</f>
        <v/>
      </c>
      <c r="P22" s="3">
        <f>ROUND(0.0,2)</f>
        <v/>
      </c>
      <c r="Q22" s="3">
        <f>ROUND(0.0,2)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IFERROR(((0+O11+O12+O13+O14+O15+O16+O17+O19+O20+O21+O22)/T2),0)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2023-09-30</t>
        </is>
      </c>
      <c r="AB22" s="5">
        <f>ROUND(0.0,2)</f>
        <v/>
      </c>
      <c r="AC22" s="3">
        <f>ROUND(0.0,2)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IFERROR(((0+AB11+AB12+AB13+AB14+AB15+AB16+AB17+AB19+AB20+AB21+AB22)/T2),0)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2023-09-30</t>
        </is>
      </c>
      <c r="AO22" s="5">
        <f>ROUND(0.0,2)</f>
        <v/>
      </c>
      <c r="AP22" s="3">
        <f>ROUND(0.0,2)</f>
        <v/>
      </c>
      <c r="AQ22" s="3">
        <f>ROUND(0.0,2)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IFERROR(((0+AO11+AO12+AO13+AO14+AO15+AO16+AO17+AO19+AO20+AO21+AO22)/T2),0)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2023-09-30</t>
        </is>
      </c>
      <c r="BB22" s="5">
        <f>ROUND(0.0,2)</f>
        <v/>
      </c>
      <c r="BC22" s="3">
        <f>ROUND(0.0,2)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IFERROR(((0+BB11+BB12+BB13+BB14+BB15+BB16+BB17+BB19+BB20+BB21+BB22)/T2),0)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2023-09-30</t>
        </is>
      </c>
      <c r="BO22" s="5">
        <f>ROUND(0.0,2)</f>
        <v/>
      </c>
      <c r="BP22" s="3">
        <f>ROUND(0.0,2)</f>
        <v/>
      </c>
      <c r="BQ22" s="3">
        <f>ROUND(0.0,2)</f>
        <v/>
      </c>
      <c r="BR22" s="3">
        <f>ROUND(0.0,2)</f>
        <v/>
      </c>
      <c r="BS22" s="3">
        <f>ROUND(0.0,2)</f>
        <v/>
      </c>
      <c r="BT22" s="3">
        <f>ROUND(0.0,2)</f>
        <v/>
      </c>
      <c r="BU22" s="3">
        <f>ROUND(0.0,2)</f>
        <v/>
      </c>
      <c r="BV22" s="3">
        <f>ROUND(0.0,2)</f>
        <v/>
      </c>
      <c r="BW22" s="4">
        <f>IFERROR((BQ22/BP22),0)</f>
        <v/>
      </c>
      <c r="BX22" s="4">
        <f>IFERROR(((0+BO11+BO12+BO13+BO14+BO15+BO16+BO17+BO19+BO20+BO21+BO22)/T2),0)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2023-09-30</t>
        </is>
      </c>
      <c r="CB22" s="5">
        <f>ROUND(0.0,2)</f>
        <v/>
      </c>
      <c r="CC22" s="3">
        <f>ROUND(0.0,2)</f>
        <v/>
      </c>
      <c r="CD22" s="3">
        <f>ROUND(0.0,2)</f>
        <v/>
      </c>
      <c r="CE22" s="3">
        <f>ROUND(0.0,2)</f>
        <v/>
      </c>
      <c r="CF22" s="3">
        <f>ROUND(0.0,2)</f>
        <v/>
      </c>
      <c r="CG22" s="3">
        <f>ROUND(0.0,2)</f>
        <v/>
      </c>
      <c r="CH22" s="3">
        <f>ROUND(0.0,2)</f>
        <v/>
      </c>
      <c r="CI22" s="3">
        <f>ROUND(0.0,2)</f>
        <v/>
      </c>
      <c r="CJ22" s="4">
        <f>IFERROR((CD22/CC22),0)</f>
        <v/>
      </c>
      <c r="CK22" s="4">
        <f>IFERROR(((0+CB11+CB12+CB13+CB14+CB15+CB16+CB17+CB19+CB20+CB21+CB22)/T2),0)</f>
        <v/>
      </c>
      <c r="CL22" s="5">
        <f>IFERROR(ROUND(CB22/CD22,2),0)</f>
        <v/>
      </c>
      <c r="CM22" s="5">
        <f>IFERROR(ROUND(CB22/CE22,2),0)</f>
        <v/>
      </c>
      <c r="CN22" s="2" t="inlineStr">
        <is>
          <t>2023-09-30</t>
        </is>
      </c>
      <c r="CO22" s="5">
        <f>ROUND(0.0,2)</f>
        <v/>
      </c>
      <c r="CP22" s="3">
        <f>ROUND(0.0,2)</f>
        <v/>
      </c>
      <c r="CQ22" s="3">
        <f>ROUND(0.0,2)</f>
        <v/>
      </c>
      <c r="CR22" s="3">
        <f>ROUND(0.0,2)</f>
        <v/>
      </c>
      <c r="CS22" s="3">
        <f>ROUND(0.0,2)</f>
        <v/>
      </c>
      <c r="CT22" s="3">
        <f>ROUND(0.0,2)</f>
        <v/>
      </c>
      <c r="CU22" s="3">
        <f>ROUND(0.0,2)</f>
        <v/>
      </c>
      <c r="CV22" s="3">
        <f>ROUND(0.0,2)</f>
        <v/>
      </c>
      <c r="CW22" s="4">
        <f>IFERROR((CQ22/CP22),0)</f>
        <v/>
      </c>
      <c r="CX22" s="4">
        <f>IFERROR(((0+CO11+CO12+CO13+CO14+CO15+CO16+CO17+CO19+CO20+CO21+CO22)/T2),0)</f>
        <v/>
      </c>
      <c r="CY22" s="5">
        <f>IFERROR(ROUND(CO22/CQ22,2),0)</f>
        <v/>
      </c>
      <c r="CZ22" s="5">
        <f>IFERROR(ROUND(CO22/CR22,2),0)</f>
        <v/>
      </c>
      <c r="DA22" s="2" t="inlineStr">
        <is>
          <t>2023-09-30</t>
        </is>
      </c>
      <c r="DB22" s="5">
        <f>ROUND(0.0,2)</f>
        <v/>
      </c>
      <c r="DC22" s="3">
        <f>ROUND(0.0,2)</f>
        <v/>
      </c>
      <c r="DD22" s="3">
        <f>ROUND(0.0,2)</f>
        <v/>
      </c>
      <c r="DE22" s="3">
        <f>ROUND(0.0,2)</f>
        <v/>
      </c>
      <c r="DF22" s="3">
        <f>ROUND(0.0,2)</f>
        <v/>
      </c>
      <c r="DG22" s="3">
        <f>ROUND(0.0,2)</f>
        <v/>
      </c>
      <c r="DH22" s="3">
        <f>ROUND(0.0,2)</f>
        <v/>
      </c>
      <c r="DI22" s="3">
        <f>ROUND(0.0,2)</f>
        <v/>
      </c>
      <c r="DJ22" s="4">
        <f>IFERROR((DD22/DC22),0)</f>
        <v/>
      </c>
      <c r="DK22" s="4">
        <f>IFERROR(((0+DB11+DB12+DB13+DB14+DB15+DB16+DB17+DB19+DB20+DB21+DB22)/T2),0)</f>
        <v/>
      </c>
      <c r="DL22" s="5">
        <f>IFERROR(ROUND(DB22/DD22,2),0)</f>
        <v/>
      </c>
      <c r="DM22" s="5">
        <f>IFERROR(ROUND(DB22/DE22,2),0)</f>
        <v/>
      </c>
      <c r="DN22" s="2" t="inlineStr">
        <is>
          <t>2023-09-30</t>
        </is>
      </c>
      <c r="DO22" s="5">
        <f>ROUND(0.0,2)</f>
        <v/>
      </c>
      <c r="DP22" s="3">
        <f>ROUND(0.0,2)</f>
        <v/>
      </c>
      <c r="DQ22" s="3">
        <f>ROUND(0.0,2)</f>
        <v/>
      </c>
      <c r="DR22" s="3">
        <f>ROUND(0.0,2)</f>
        <v/>
      </c>
      <c r="DS22" s="3">
        <f>ROUND(0.0,2)</f>
        <v/>
      </c>
      <c r="DT22" s="3">
        <f>ROUND(0.0,2)</f>
        <v/>
      </c>
      <c r="DU22" s="3">
        <f>ROUND(0.0,2)</f>
        <v/>
      </c>
      <c r="DV22" s="3">
        <f>ROUND(0.0,2)</f>
        <v/>
      </c>
      <c r="DW22" s="4">
        <f>IFERROR((DQ22/DP22),0)</f>
        <v/>
      </c>
      <c r="DX22" s="4">
        <f>IFERROR(((0+DO11+DO12+DO13+DO14+DO15+DO16+DO17+DO19+DO20+DO21+DO22)/T2),0)</f>
        <v/>
      </c>
      <c r="DY22" s="5">
        <f>IFERROR(ROUND(DO22/DQ22,2),0)</f>
        <v/>
      </c>
      <c r="DZ22" s="5">
        <f>IFERROR(ROUND(DO22/DR22,2),0)</f>
        <v/>
      </c>
      <c r="EA22" s="2" t="inlineStr">
        <is>
          <t>2023-09-30</t>
        </is>
      </c>
      <c r="EB22" s="5">
        <f>ROUND(0.0,2)</f>
        <v/>
      </c>
      <c r="EC22" s="3">
        <f>ROUND(0.0,2)</f>
        <v/>
      </c>
      <c r="ED22" s="3">
        <f>ROUND(0.0,2)</f>
        <v/>
      </c>
      <c r="EE22" s="3">
        <f>ROUND(0.0,2)</f>
        <v/>
      </c>
      <c r="EF22" s="3">
        <f>ROUND(0.0,2)</f>
        <v/>
      </c>
      <c r="EG22" s="3">
        <f>ROUND(0.0,2)</f>
        <v/>
      </c>
      <c r="EH22" s="3">
        <f>ROUND(0.0,2)</f>
        <v/>
      </c>
      <c r="EI22" s="3">
        <f>ROUND(0.0,2)</f>
        <v/>
      </c>
      <c r="EJ22" s="4">
        <f>IFERROR((ED22/EC22),0)</f>
        <v/>
      </c>
      <c r="EK22" s="4">
        <f>IFERROR(((0+EB11+EB12+EB13+EB14+EB15+EB16+EB17+EB19+EB20+EB21+EB22)/T2),0)</f>
        <v/>
      </c>
      <c r="EL22" s="5">
        <f>IFERROR(ROUND(EB22/ED22,2),0)</f>
        <v/>
      </c>
      <c r="EM22" s="5">
        <f>IFERROR(ROUND(EB22/EE22,2),0)</f>
        <v/>
      </c>
    </row>
    <row r="23">
      <c r="A23" s="2" t="inlineStr">
        <is>
          <t>2023-10-01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IFERROR(((0+B11+B12+B13+B14+B15+B16+B17+B19+B20+B21+B22+B23)/T2),0)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2023-10-01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IFERROR(((0+O11+O12+O13+O14+O15+O16+O17+O19+O20+O21+O22+O23)/T2),0)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2023-10-01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IFERROR(((0+AB11+AB12+AB13+AB14+AB15+AB16+AB17+AB19+AB20+AB21+AB22+AB23)/T2),0)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2023-10-01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IFERROR(((0+AO11+AO12+AO13+AO14+AO15+AO16+AO17+AO19+AO20+AO21+AO22+AO23)/T2),0)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2023-10-01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IFERROR(((0+BB11+BB12+BB13+BB14+BB15+BB16+BB17+BB19+BB20+BB21+BB22+BB23)/T2),0)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2023-10-01</t>
        </is>
      </c>
      <c r="BO23" s="5">
        <f>ROUND(0.0,2)</f>
        <v/>
      </c>
      <c r="BP23" s="3">
        <f>ROUND(0.0,2)</f>
        <v/>
      </c>
      <c r="BQ23" s="3">
        <f>ROUND(0.0,2)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IFERROR(((0+BO11+BO12+BO13+BO14+BO15+BO16+BO17+BO19+BO20+BO21+BO22+BO23)/T2),0)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2023-10-01</t>
        </is>
      </c>
      <c r="CB23" s="5">
        <f>ROUND(0.0,2)</f>
        <v/>
      </c>
      <c r="CC23" s="3">
        <f>ROUND(0.0,2)</f>
        <v/>
      </c>
      <c r="CD23" s="3">
        <f>ROUND(0.0,2)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IFERROR(((0+CB11+CB12+CB13+CB14+CB15+CB16+CB17+CB19+CB20+CB21+CB22+CB23)/T2),0)</f>
        <v/>
      </c>
      <c r="CL23" s="5">
        <f>IFERROR(ROUND(CB23/CD23,2),0)</f>
        <v/>
      </c>
      <c r="CM23" s="5">
        <f>IFERROR(ROUND(CB23/CE23,2),0)</f>
        <v/>
      </c>
      <c r="CN23" s="2" t="inlineStr">
        <is>
          <t>2023-10-01</t>
        </is>
      </c>
      <c r="CO23" s="5">
        <f>ROUND(0.0,2)</f>
        <v/>
      </c>
      <c r="CP23" s="3">
        <f>ROUND(0.0,2)</f>
        <v/>
      </c>
      <c r="CQ23" s="3">
        <f>ROUND(0.0,2)</f>
        <v/>
      </c>
      <c r="CR23" s="3">
        <f>ROUND(0.0,2)</f>
        <v/>
      </c>
      <c r="CS23" s="3">
        <f>ROUND(0.0,2)</f>
        <v/>
      </c>
      <c r="CT23" s="3">
        <f>ROUND(0.0,2)</f>
        <v/>
      </c>
      <c r="CU23" s="3">
        <f>ROUND(0.0,2)</f>
        <v/>
      </c>
      <c r="CV23" s="3">
        <f>ROUND(0.0,2)</f>
        <v/>
      </c>
      <c r="CW23" s="4">
        <f>IFERROR((CQ23/CP23),0)</f>
        <v/>
      </c>
      <c r="CX23" s="4">
        <f>IFERROR(((0+CO11+CO12+CO13+CO14+CO15+CO16+CO17+CO19+CO20+CO21+CO22+CO23)/T2),0)</f>
        <v/>
      </c>
      <c r="CY23" s="5">
        <f>IFERROR(ROUND(CO23/CQ23,2),0)</f>
        <v/>
      </c>
      <c r="CZ23" s="5">
        <f>IFERROR(ROUND(CO23/CR23,2),0)</f>
        <v/>
      </c>
      <c r="DA23" s="2" t="inlineStr">
        <is>
          <t>2023-10-01</t>
        </is>
      </c>
      <c r="DB23" s="5">
        <f>ROUND(0.0,2)</f>
        <v/>
      </c>
      <c r="DC23" s="3">
        <f>ROUND(0.0,2)</f>
        <v/>
      </c>
      <c r="DD23" s="3">
        <f>ROUND(0.0,2)</f>
        <v/>
      </c>
      <c r="DE23" s="3">
        <f>ROUND(0.0,2)</f>
        <v/>
      </c>
      <c r="DF23" s="3">
        <f>ROUND(0.0,2)</f>
        <v/>
      </c>
      <c r="DG23" s="3">
        <f>ROUND(0.0,2)</f>
        <v/>
      </c>
      <c r="DH23" s="3">
        <f>ROUND(0.0,2)</f>
        <v/>
      </c>
      <c r="DI23" s="3">
        <f>ROUND(0.0,2)</f>
        <v/>
      </c>
      <c r="DJ23" s="4">
        <f>IFERROR((DD23/DC23),0)</f>
        <v/>
      </c>
      <c r="DK23" s="4">
        <f>IFERROR(((0+DB11+DB12+DB13+DB14+DB15+DB16+DB17+DB19+DB20+DB21+DB22+DB23)/T2),0)</f>
        <v/>
      </c>
      <c r="DL23" s="5">
        <f>IFERROR(ROUND(DB23/DD23,2),0)</f>
        <v/>
      </c>
      <c r="DM23" s="5">
        <f>IFERROR(ROUND(DB23/DE23,2),0)</f>
        <v/>
      </c>
      <c r="DN23" s="2" t="inlineStr">
        <is>
          <t>2023-10-01</t>
        </is>
      </c>
      <c r="DO23" s="5">
        <f>ROUND(0.0,2)</f>
        <v/>
      </c>
      <c r="DP23" s="3">
        <f>ROUND(0.0,2)</f>
        <v/>
      </c>
      <c r="DQ23" s="3">
        <f>ROUND(0.0,2)</f>
        <v/>
      </c>
      <c r="DR23" s="3">
        <f>ROUND(0.0,2)</f>
        <v/>
      </c>
      <c r="DS23" s="3">
        <f>ROUND(0.0,2)</f>
        <v/>
      </c>
      <c r="DT23" s="3">
        <f>ROUND(0.0,2)</f>
        <v/>
      </c>
      <c r="DU23" s="3">
        <f>ROUND(0.0,2)</f>
        <v/>
      </c>
      <c r="DV23" s="3">
        <f>ROUND(0.0,2)</f>
        <v/>
      </c>
      <c r="DW23" s="4">
        <f>IFERROR((DQ23/DP23),0)</f>
        <v/>
      </c>
      <c r="DX23" s="4">
        <f>IFERROR(((0+DO11+DO12+DO13+DO14+DO15+DO16+DO17+DO19+DO20+DO21+DO22+DO23)/T2),0)</f>
        <v/>
      </c>
      <c r="DY23" s="5">
        <f>IFERROR(ROUND(DO23/DQ23,2),0)</f>
        <v/>
      </c>
      <c r="DZ23" s="5">
        <f>IFERROR(ROUND(DO23/DR23,2),0)</f>
        <v/>
      </c>
      <c r="EA23" s="2" t="inlineStr">
        <is>
          <t>2023-10-01</t>
        </is>
      </c>
      <c r="EB23" s="5">
        <f>ROUND(0.0,2)</f>
        <v/>
      </c>
      <c r="EC23" s="3">
        <f>ROUND(0.0,2)</f>
        <v/>
      </c>
      <c r="ED23" s="3">
        <f>ROUND(0.0,2)</f>
        <v/>
      </c>
      <c r="EE23" s="3">
        <f>ROUND(0.0,2)</f>
        <v/>
      </c>
      <c r="EF23" s="3">
        <f>ROUND(0.0,2)</f>
        <v/>
      </c>
      <c r="EG23" s="3">
        <f>ROUND(0.0,2)</f>
        <v/>
      </c>
      <c r="EH23" s="3">
        <f>ROUND(0.0,2)</f>
        <v/>
      </c>
      <c r="EI23" s="3">
        <f>ROUND(0.0,2)</f>
        <v/>
      </c>
      <c r="EJ23" s="4">
        <f>IFERROR((ED23/EC23),0)</f>
        <v/>
      </c>
      <c r="EK23" s="4">
        <f>IFERROR(((0+EB11+EB12+EB13+EB14+EB15+EB16+EB17+EB19+EB20+EB21+EB22+EB23)/T2),0)</f>
        <v/>
      </c>
      <c r="EL23" s="5">
        <f>IFERROR(ROUND(EB23/ED23,2),0)</f>
        <v/>
      </c>
      <c r="EM23" s="5">
        <f>IFERROR(ROUND(EB23/EE23,2),0)</f>
        <v/>
      </c>
    </row>
    <row r="24">
      <c r="A24" s="2" t="inlineStr">
        <is>
          <t>2023-10-02</t>
        </is>
      </c>
      <c r="B24" s="5">
        <f>ROUND(0.0,2)</f>
        <v/>
      </c>
      <c r="C24" s="3">
        <f>ROUND(0.0,2)</f>
        <v/>
      </c>
      <c r="D24" s="3">
        <f>ROUND(0.0,2)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IFERROR(((0+B11+B12+B13+B14+B15+B16+B17+B19+B20+B21+B22+B23+B24)/T2),0)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2023-10-02</t>
        </is>
      </c>
      <c r="O24" s="5">
        <f>ROUND(0.0,2)</f>
        <v/>
      </c>
      <c r="P24" s="3">
        <f>ROUND(0.0,2)</f>
        <v/>
      </c>
      <c r="Q24" s="3">
        <f>ROUND(0.0,2)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IFERROR(((0+O11+O12+O13+O14+O15+O16+O17+O19+O20+O21+O22+O23+O24)/T2),0)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2023-10-02</t>
        </is>
      </c>
      <c r="AB24" s="5">
        <f>ROUND(0.0,2)</f>
        <v/>
      </c>
      <c r="AC24" s="3">
        <f>ROUND(0.0,2)</f>
        <v/>
      </c>
      <c r="AD24" s="3">
        <f>ROUND(0.0,2)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IFERROR(((0+AB11+AB12+AB13+AB14+AB15+AB16+AB17+AB19+AB20+AB21+AB22+AB23+AB24)/T2),0)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2023-10-02</t>
        </is>
      </c>
      <c r="AO24" s="5">
        <f>ROUND(0.0,2)</f>
        <v/>
      </c>
      <c r="AP24" s="3">
        <f>ROUND(0.0,2)</f>
        <v/>
      </c>
      <c r="AQ24" s="3">
        <f>ROUND(0.0,2)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IFERROR(((0+AO11+AO12+AO13+AO14+AO15+AO16+AO17+AO19+AO20+AO21+AO22+AO23+AO24)/T2),0)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2023-10-02</t>
        </is>
      </c>
      <c r="BB24" s="5">
        <f>ROUND(0.0,2)</f>
        <v/>
      </c>
      <c r="BC24" s="3">
        <f>ROUND(0.0,2)</f>
        <v/>
      </c>
      <c r="BD24" s="3">
        <f>ROUND(0.0,2)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IFERROR(((0+BB11+BB12+BB13+BB14+BB15+BB16+BB17+BB19+BB20+BB21+BB22+BB23+BB24)/T2),0)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2023-10-02</t>
        </is>
      </c>
      <c r="BO24" s="5">
        <f>ROUND(0.0,2)</f>
        <v/>
      </c>
      <c r="BP24" s="3">
        <f>ROUND(0.0,2)</f>
        <v/>
      </c>
      <c r="BQ24" s="3">
        <f>ROUND(0.0,2)</f>
        <v/>
      </c>
      <c r="BR24" s="3">
        <f>ROUND(0.0,2)</f>
        <v/>
      </c>
      <c r="BS24" s="3">
        <f>ROUND(0.0,2)</f>
        <v/>
      </c>
      <c r="BT24" s="3">
        <f>ROUND(0.0,2)</f>
        <v/>
      </c>
      <c r="BU24" s="3">
        <f>ROUND(0.0,2)</f>
        <v/>
      </c>
      <c r="BV24" s="3">
        <f>ROUND(0.0,2)</f>
        <v/>
      </c>
      <c r="BW24" s="4">
        <f>IFERROR((BQ24/BP24),0)</f>
        <v/>
      </c>
      <c r="BX24" s="4">
        <f>IFERROR(((0+BO11+BO12+BO13+BO14+BO15+BO16+BO17+BO19+BO20+BO21+BO22+BO23+BO24)/T2),0)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2023-10-02</t>
        </is>
      </c>
      <c r="CB24" s="5">
        <f>ROUND(0.0,2)</f>
        <v/>
      </c>
      <c r="CC24" s="3">
        <f>ROUND(0.0,2)</f>
        <v/>
      </c>
      <c r="CD24" s="3">
        <f>ROUND(0.0,2)</f>
        <v/>
      </c>
      <c r="CE24" s="3">
        <f>ROUND(0.0,2)</f>
        <v/>
      </c>
      <c r="CF24" s="3">
        <f>ROUND(0.0,2)</f>
        <v/>
      </c>
      <c r="CG24" s="3">
        <f>ROUND(0.0,2)</f>
        <v/>
      </c>
      <c r="CH24" s="3">
        <f>ROUND(0.0,2)</f>
        <v/>
      </c>
      <c r="CI24" s="3">
        <f>ROUND(0.0,2)</f>
        <v/>
      </c>
      <c r="CJ24" s="4">
        <f>IFERROR((CD24/CC24),0)</f>
        <v/>
      </c>
      <c r="CK24" s="4">
        <f>IFERROR(((0+CB11+CB12+CB13+CB14+CB15+CB16+CB17+CB19+CB20+CB21+CB22+CB23+CB24)/T2),0)</f>
        <v/>
      </c>
      <c r="CL24" s="5">
        <f>IFERROR(ROUND(CB24/CD24,2),0)</f>
        <v/>
      </c>
      <c r="CM24" s="5">
        <f>IFERROR(ROUND(CB24/CE24,2),0)</f>
        <v/>
      </c>
      <c r="CN24" s="2" t="inlineStr">
        <is>
          <t>2023-10-02</t>
        </is>
      </c>
      <c r="CO24" s="5">
        <f>ROUND(0.0,2)</f>
        <v/>
      </c>
      <c r="CP24" s="3">
        <f>ROUND(0.0,2)</f>
        <v/>
      </c>
      <c r="CQ24" s="3">
        <f>ROUND(0.0,2)</f>
        <v/>
      </c>
      <c r="CR24" s="3">
        <f>ROUND(0.0,2)</f>
        <v/>
      </c>
      <c r="CS24" s="3">
        <f>ROUND(0.0,2)</f>
        <v/>
      </c>
      <c r="CT24" s="3">
        <f>ROUND(0.0,2)</f>
        <v/>
      </c>
      <c r="CU24" s="3">
        <f>ROUND(0.0,2)</f>
        <v/>
      </c>
      <c r="CV24" s="3">
        <f>ROUND(0.0,2)</f>
        <v/>
      </c>
      <c r="CW24" s="4">
        <f>IFERROR((CQ24/CP24),0)</f>
        <v/>
      </c>
      <c r="CX24" s="4">
        <f>IFERROR(((0+CO11+CO12+CO13+CO14+CO15+CO16+CO17+CO19+CO20+CO21+CO22+CO23+CO24)/T2),0)</f>
        <v/>
      </c>
      <c r="CY24" s="5">
        <f>IFERROR(ROUND(CO24/CQ24,2),0)</f>
        <v/>
      </c>
      <c r="CZ24" s="5">
        <f>IFERROR(ROUND(CO24/CR24,2),0)</f>
        <v/>
      </c>
      <c r="DA24" s="2" t="inlineStr">
        <is>
          <t>2023-10-02</t>
        </is>
      </c>
      <c r="DB24" s="5">
        <f>ROUND(0.0,2)</f>
        <v/>
      </c>
      <c r="DC24" s="3">
        <f>ROUND(0.0,2)</f>
        <v/>
      </c>
      <c r="DD24" s="3">
        <f>ROUND(0.0,2)</f>
        <v/>
      </c>
      <c r="DE24" s="3">
        <f>ROUND(0.0,2)</f>
        <v/>
      </c>
      <c r="DF24" s="3">
        <f>ROUND(0.0,2)</f>
        <v/>
      </c>
      <c r="DG24" s="3">
        <f>ROUND(0.0,2)</f>
        <v/>
      </c>
      <c r="DH24" s="3">
        <f>ROUND(0.0,2)</f>
        <v/>
      </c>
      <c r="DI24" s="3">
        <f>ROUND(0.0,2)</f>
        <v/>
      </c>
      <c r="DJ24" s="4">
        <f>IFERROR((DD24/DC24),0)</f>
        <v/>
      </c>
      <c r="DK24" s="4">
        <f>IFERROR(((0+DB11+DB12+DB13+DB14+DB15+DB16+DB17+DB19+DB20+DB21+DB22+DB23+DB24)/T2),0)</f>
        <v/>
      </c>
      <c r="DL24" s="5">
        <f>IFERROR(ROUND(DB24/DD24,2),0)</f>
        <v/>
      </c>
      <c r="DM24" s="5">
        <f>IFERROR(ROUND(DB24/DE24,2),0)</f>
        <v/>
      </c>
      <c r="DN24" s="2" t="inlineStr">
        <is>
          <t>2023-10-02</t>
        </is>
      </c>
      <c r="DO24" s="5">
        <f>ROUND(0.0,2)</f>
        <v/>
      </c>
      <c r="DP24" s="3">
        <f>ROUND(0.0,2)</f>
        <v/>
      </c>
      <c r="DQ24" s="3">
        <f>ROUND(0.0,2)</f>
        <v/>
      </c>
      <c r="DR24" s="3">
        <f>ROUND(0.0,2)</f>
        <v/>
      </c>
      <c r="DS24" s="3">
        <f>ROUND(0.0,2)</f>
        <v/>
      </c>
      <c r="DT24" s="3">
        <f>ROUND(0.0,2)</f>
        <v/>
      </c>
      <c r="DU24" s="3">
        <f>ROUND(0.0,2)</f>
        <v/>
      </c>
      <c r="DV24" s="3">
        <f>ROUND(0.0,2)</f>
        <v/>
      </c>
      <c r="DW24" s="4">
        <f>IFERROR((DQ24/DP24),0)</f>
        <v/>
      </c>
      <c r="DX24" s="4">
        <f>IFERROR(((0+DO11+DO12+DO13+DO14+DO15+DO16+DO17+DO19+DO20+DO21+DO22+DO23+DO24)/T2),0)</f>
        <v/>
      </c>
      <c r="DY24" s="5">
        <f>IFERROR(ROUND(DO24/DQ24,2),0)</f>
        <v/>
      </c>
      <c r="DZ24" s="5">
        <f>IFERROR(ROUND(DO24/DR24,2),0)</f>
        <v/>
      </c>
      <c r="EA24" s="2" t="inlineStr">
        <is>
          <t>2023-10-02</t>
        </is>
      </c>
      <c r="EB24" s="5">
        <f>ROUND(0.0,2)</f>
        <v/>
      </c>
      <c r="EC24" s="3">
        <f>ROUND(0.0,2)</f>
        <v/>
      </c>
      <c r="ED24" s="3">
        <f>ROUND(0.0,2)</f>
        <v/>
      </c>
      <c r="EE24" s="3">
        <f>ROUND(0.0,2)</f>
        <v/>
      </c>
      <c r="EF24" s="3">
        <f>ROUND(0.0,2)</f>
        <v/>
      </c>
      <c r="EG24" s="3">
        <f>ROUND(0.0,2)</f>
        <v/>
      </c>
      <c r="EH24" s="3">
        <f>ROUND(0.0,2)</f>
        <v/>
      </c>
      <c r="EI24" s="3">
        <f>ROUND(0.0,2)</f>
        <v/>
      </c>
      <c r="EJ24" s="4">
        <f>IFERROR((ED24/EC24),0)</f>
        <v/>
      </c>
      <c r="EK24" s="4">
        <f>IFERROR(((0+EB11+EB12+EB13+EB14+EB15+EB16+EB17+EB19+EB20+EB21+EB22+EB23+EB24)/T2),0)</f>
        <v/>
      </c>
      <c r="EL24" s="5">
        <f>IFERROR(ROUND(EB24/ED24,2),0)</f>
        <v/>
      </c>
      <c r="EM24" s="5">
        <f>IFERROR(ROUND(EB24/EE24,2),0)</f>
        <v/>
      </c>
    </row>
    <row r="25">
      <c r="A25" s="2" t="inlineStr">
        <is>
          <t>2023-10-03</t>
        </is>
      </c>
      <c r="B25" s="5">
        <f>ROUND(0.0,2)</f>
        <v/>
      </c>
      <c r="C25" s="3">
        <f>ROUND(0.0,2)</f>
        <v/>
      </c>
      <c r="D25" s="3">
        <f>ROUND(0.0,2)</f>
        <v/>
      </c>
      <c r="E25" s="3">
        <f>ROUND(0.0,2)</f>
        <v/>
      </c>
      <c r="F25" s="3">
        <f>ROUND(0.0,2)</f>
        <v/>
      </c>
      <c r="G25" s="3">
        <f>ROUND(0.0,2)</f>
        <v/>
      </c>
      <c r="H25" s="3">
        <f>ROUND(0.0,2)</f>
        <v/>
      </c>
      <c r="I25" s="3">
        <f>ROUND(0.0,2)</f>
        <v/>
      </c>
      <c r="J25" s="4">
        <f>IFERROR((D25/C25),0)</f>
        <v/>
      </c>
      <c r="K25" s="4">
        <f>IFERROR(((0+B11+B12+B13+B14+B15+B16+B17+B19+B20+B21+B22+B23+B24+B25)/T2),0)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2023-10-03</t>
        </is>
      </c>
      <c r="O25" s="5">
        <f>ROUND(0.0,2)</f>
        <v/>
      </c>
      <c r="P25" s="3">
        <f>ROUND(0.0,2)</f>
        <v/>
      </c>
      <c r="Q25" s="3">
        <f>ROUND(0.0,2)</f>
        <v/>
      </c>
      <c r="R25" s="3">
        <f>ROUND(0.0,2)</f>
        <v/>
      </c>
      <c r="S25" s="3">
        <f>ROUND(0.0,2)</f>
        <v/>
      </c>
      <c r="T25" s="3">
        <f>ROUND(0.0,2)</f>
        <v/>
      </c>
      <c r="U25" s="3">
        <f>ROUND(0.0,2)</f>
        <v/>
      </c>
      <c r="V25" s="3">
        <f>ROUND(0.0,2)</f>
        <v/>
      </c>
      <c r="W25" s="4">
        <f>IFERROR((Q25/P25),0)</f>
        <v/>
      </c>
      <c r="X25" s="4">
        <f>IFERROR(((0+O11+O12+O13+O14+O15+O16+O17+O19+O20+O21+O22+O23+O24+O25)/T2),0)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2023-10-03</t>
        </is>
      </c>
      <c r="AB25" s="5">
        <f>ROUND(0.0,2)</f>
        <v/>
      </c>
      <c r="AC25" s="3">
        <f>ROUND(0.0,2)</f>
        <v/>
      </c>
      <c r="AD25" s="3">
        <f>ROUND(0.0,2)</f>
        <v/>
      </c>
      <c r="AE25" s="3">
        <f>ROUND(0.0,2)</f>
        <v/>
      </c>
      <c r="AF25" s="3">
        <f>ROUND(0.0,2)</f>
        <v/>
      </c>
      <c r="AG25" s="3">
        <f>ROUND(0.0,2)</f>
        <v/>
      </c>
      <c r="AH25" s="3">
        <f>ROUND(0.0,2)</f>
        <v/>
      </c>
      <c r="AI25" s="3">
        <f>ROUND(0.0,2)</f>
        <v/>
      </c>
      <c r="AJ25" s="4">
        <f>IFERROR((AD25/AC25),0)</f>
        <v/>
      </c>
      <c r="AK25" s="4">
        <f>IFERROR(((0+AB11+AB12+AB13+AB14+AB15+AB16+AB17+AB19+AB20+AB21+AB22+AB23+AB24+AB25)/T2),0)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2023-10-03</t>
        </is>
      </c>
      <c r="AO25" s="5">
        <f>ROUND(0.0,2)</f>
        <v/>
      </c>
      <c r="AP25" s="3">
        <f>ROUND(0.0,2)</f>
        <v/>
      </c>
      <c r="AQ25" s="3">
        <f>ROUND(0.0,2)</f>
        <v/>
      </c>
      <c r="AR25" s="3">
        <f>ROUND(0.0,2)</f>
        <v/>
      </c>
      <c r="AS25" s="3">
        <f>ROUND(0.0,2)</f>
        <v/>
      </c>
      <c r="AT25" s="3">
        <f>ROUND(0.0,2)</f>
        <v/>
      </c>
      <c r="AU25" s="3">
        <f>ROUND(0.0,2)</f>
        <v/>
      </c>
      <c r="AV25" s="3">
        <f>ROUND(0.0,2)</f>
        <v/>
      </c>
      <c r="AW25" s="4">
        <f>IFERROR((AQ25/AP25),0)</f>
        <v/>
      </c>
      <c r="AX25" s="4">
        <f>IFERROR(((0+AO11+AO12+AO13+AO14+AO15+AO16+AO17+AO19+AO20+AO21+AO22+AO23+AO24+AO25)/T2),0)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2023-10-03</t>
        </is>
      </c>
      <c r="BB25" s="5">
        <f>ROUND(0.0,2)</f>
        <v/>
      </c>
      <c r="BC25" s="3">
        <f>ROUND(0.0,2)</f>
        <v/>
      </c>
      <c r="BD25" s="3">
        <f>ROUND(0.0,2)</f>
        <v/>
      </c>
      <c r="BE25" s="3">
        <f>ROUND(0.0,2)</f>
        <v/>
      </c>
      <c r="BF25" s="3">
        <f>ROUND(0.0,2)</f>
        <v/>
      </c>
      <c r="BG25" s="3">
        <f>ROUND(0.0,2)</f>
        <v/>
      </c>
      <c r="BH25" s="3">
        <f>ROUND(0.0,2)</f>
        <v/>
      </c>
      <c r="BI25" s="3">
        <f>ROUND(0.0,2)</f>
        <v/>
      </c>
      <c r="BJ25" s="4">
        <f>IFERROR((BD25/BC25),0)</f>
        <v/>
      </c>
      <c r="BK25" s="4">
        <f>IFERROR(((0+BB11+BB12+BB13+BB14+BB15+BB16+BB17+BB19+BB20+BB21+BB22+BB23+BB24+BB25)/T2),0)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2023-10-03</t>
        </is>
      </c>
      <c r="BO25" s="5">
        <f>ROUND(0.0,2)</f>
        <v/>
      </c>
      <c r="BP25" s="3">
        <f>ROUND(0.0,2)</f>
        <v/>
      </c>
      <c r="BQ25" s="3">
        <f>ROUND(0.0,2)</f>
        <v/>
      </c>
      <c r="BR25" s="3">
        <f>ROUND(0.0,2)</f>
        <v/>
      </c>
      <c r="BS25" s="3">
        <f>ROUND(0.0,2)</f>
        <v/>
      </c>
      <c r="BT25" s="3">
        <f>ROUND(0.0,2)</f>
        <v/>
      </c>
      <c r="BU25" s="3">
        <f>ROUND(0.0,2)</f>
        <v/>
      </c>
      <c r="BV25" s="3">
        <f>ROUND(0.0,2)</f>
        <v/>
      </c>
      <c r="BW25" s="4">
        <f>IFERROR((BQ25/BP25),0)</f>
        <v/>
      </c>
      <c r="BX25" s="4">
        <f>IFERROR(((0+BO11+BO12+BO13+BO14+BO15+BO16+BO17+BO19+BO20+BO21+BO22+BO23+BO24+BO25)/T2),0)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2023-10-03</t>
        </is>
      </c>
      <c r="CB25" s="5">
        <f>ROUND(0.0,2)</f>
        <v/>
      </c>
      <c r="CC25" s="3">
        <f>ROUND(0.0,2)</f>
        <v/>
      </c>
      <c r="CD25" s="3">
        <f>ROUND(0.0,2)</f>
        <v/>
      </c>
      <c r="CE25" s="3">
        <f>ROUND(0.0,2)</f>
        <v/>
      </c>
      <c r="CF25" s="3">
        <f>ROUND(0.0,2)</f>
        <v/>
      </c>
      <c r="CG25" s="3">
        <f>ROUND(0.0,2)</f>
        <v/>
      </c>
      <c r="CH25" s="3">
        <f>ROUND(0.0,2)</f>
        <v/>
      </c>
      <c r="CI25" s="3">
        <f>ROUND(0.0,2)</f>
        <v/>
      </c>
      <c r="CJ25" s="4">
        <f>IFERROR((CD25/CC25),0)</f>
        <v/>
      </c>
      <c r="CK25" s="4">
        <f>IFERROR(((0+CB11+CB12+CB13+CB14+CB15+CB16+CB17+CB19+CB20+CB21+CB22+CB23+CB24+CB25)/T2),0)</f>
        <v/>
      </c>
      <c r="CL25" s="5">
        <f>IFERROR(ROUND(CB25/CD25,2),0)</f>
        <v/>
      </c>
      <c r="CM25" s="5">
        <f>IFERROR(ROUND(CB25/CE25,2),0)</f>
        <v/>
      </c>
      <c r="CN25" s="2" t="inlineStr">
        <is>
          <t>2023-10-03</t>
        </is>
      </c>
      <c r="CO25" s="5">
        <f>ROUND(0.0,2)</f>
        <v/>
      </c>
      <c r="CP25" s="3">
        <f>ROUND(0.0,2)</f>
        <v/>
      </c>
      <c r="CQ25" s="3">
        <f>ROUND(0.0,2)</f>
        <v/>
      </c>
      <c r="CR25" s="3">
        <f>ROUND(0.0,2)</f>
        <v/>
      </c>
      <c r="CS25" s="3">
        <f>ROUND(0.0,2)</f>
        <v/>
      </c>
      <c r="CT25" s="3">
        <f>ROUND(0.0,2)</f>
        <v/>
      </c>
      <c r="CU25" s="3">
        <f>ROUND(0.0,2)</f>
        <v/>
      </c>
      <c r="CV25" s="3">
        <f>ROUND(0.0,2)</f>
        <v/>
      </c>
      <c r="CW25" s="4">
        <f>IFERROR((CQ25/CP25),0)</f>
        <v/>
      </c>
      <c r="CX25" s="4">
        <f>IFERROR(((0+CO11+CO12+CO13+CO14+CO15+CO16+CO17+CO19+CO20+CO21+CO22+CO23+CO24+CO25)/T2),0)</f>
        <v/>
      </c>
      <c r="CY25" s="5">
        <f>IFERROR(ROUND(CO25/CQ25,2),0)</f>
        <v/>
      </c>
      <c r="CZ25" s="5">
        <f>IFERROR(ROUND(CO25/CR25,2),0)</f>
        <v/>
      </c>
      <c r="DA25" s="2" t="inlineStr">
        <is>
          <t>2023-10-03</t>
        </is>
      </c>
      <c r="DB25" s="5">
        <f>ROUND(0.0,2)</f>
        <v/>
      </c>
      <c r="DC25" s="3">
        <f>ROUND(0.0,2)</f>
        <v/>
      </c>
      <c r="DD25" s="3">
        <f>ROUND(0.0,2)</f>
        <v/>
      </c>
      <c r="DE25" s="3">
        <f>ROUND(0.0,2)</f>
        <v/>
      </c>
      <c r="DF25" s="3">
        <f>ROUND(0.0,2)</f>
        <v/>
      </c>
      <c r="DG25" s="3">
        <f>ROUND(0.0,2)</f>
        <v/>
      </c>
      <c r="DH25" s="3">
        <f>ROUND(0.0,2)</f>
        <v/>
      </c>
      <c r="DI25" s="3">
        <f>ROUND(0.0,2)</f>
        <v/>
      </c>
      <c r="DJ25" s="4">
        <f>IFERROR((DD25/DC25),0)</f>
        <v/>
      </c>
      <c r="DK25" s="4">
        <f>IFERROR(((0+DB11+DB12+DB13+DB14+DB15+DB16+DB17+DB19+DB20+DB21+DB22+DB23+DB24+DB25)/T2),0)</f>
        <v/>
      </c>
      <c r="DL25" s="5">
        <f>IFERROR(ROUND(DB25/DD25,2),0)</f>
        <v/>
      </c>
      <c r="DM25" s="5">
        <f>IFERROR(ROUND(DB25/DE25,2),0)</f>
        <v/>
      </c>
      <c r="DN25" s="2" t="inlineStr">
        <is>
          <t>2023-10-03</t>
        </is>
      </c>
      <c r="DO25" s="5">
        <f>ROUND(0.0,2)</f>
        <v/>
      </c>
      <c r="DP25" s="3">
        <f>ROUND(0.0,2)</f>
        <v/>
      </c>
      <c r="DQ25" s="3">
        <f>ROUND(0.0,2)</f>
        <v/>
      </c>
      <c r="DR25" s="3">
        <f>ROUND(0.0,2)</f>
        <v/>
      </c>
      <c r="DS25" s="3">
        <f>ROUND(0.0,2)</f>
        <v/>
      </c>
      <c r="DT25" s="3">
        <f>ROUND(0.0,2)</f>
        <v/>
      </c>
      <c r="DU25" s="3">
        <f>ROUND(0.0,2)</f>
        <v/>
      </c>
      <c r="DV25" s="3">
        <f>ROUND(0.0,2)</f>
        <v/>
      </c>
      <c r="DW25" s="4">
        <f>IFERROR((DQ25/DP25),0)</f>
        <v/>
      </c>
      <c r="DX25" s="4">
        <f>IFERROR(((0+DO11+DO12+DO13+DO14+DO15+DO16+DO17+DO19+DO20+DO21+DO22+DO23+DO24+DO25)/T2),0)</f>
        <v/>
      </c>
      <c r="DY25" s="5">
        <f>IFERROR(ROUND(DO25/DQ25,2),0)</f>
        <v/>
      </c>
      <c r="DZ25" s="5">
        <f>IFERROR(ROUND(DO25/DR25,2),0)</f>
        <v/>
      </c>
      <c r="EA25" s="2" t="inlineStr">
        <is>
          <t>2023-10-03</t>
        </is>
      </c>
      <c r="EB25" s="5">
        <f>ROUND(0.0,2)</f>
        <v/>
      </c>
      <c r="EC25" s="3">
        <f>ROUND(0.0,2)</f>
        <v/>
      </c>
      <c r="ED25" s="3">
        <f>ROUND(0.0,2)</f>
        <v/>
      </c>
      <c r="EE25" s="3">
        <f>ROUND(0.0,2)</f>
        <v/>
      </c>
      <c r="EF25" s="3">
        <f>ROUND(0.0,2)</f>
        <v/>
      </c>
      <c r="EG25" s="3">
        <f>ROUND(0.0,2)</f>
        <v/>
      </c>
      <c r="EH25" s="3">
        <f>ROUND(0.0,2)</f>
        <v/>
      </c>
      <c r="EI25" s="3">
        <f>ROUND(0.0,2)</f>
        <v/>
      </c>
      <c r="EJ25" s="4">
        <f>IFERROR((ED25/EC25),0)</f>
        <v/>
      </c>
      <c r="EK25" s="4">
        <f>IFERROR(((0+EB11+EB12+EB13+EB14+EB15+EB16+EB17+EB19+EB20+EB21+EB22+EB23+EB24+EB25)/T2),0)</f>
        <v/>
      </c>
      <c r="EL25" s="5">
        <f>IFERROR(ROUND(EB25/ED25,2),0)</f>
        <v/>
      </c>
      <c r="EM25" s="5">
        <f>IFERROR(ROUND(EB25/EE25,2),0)</f>
        <v/>
      </c>
    </row>
    <row r="26">
      <c r="A26" s="2" t="inlineStr">
        <is>
          <t>2 Weekly Total</t>
        </is>
      </c>
      <c r="B26" s="5">
        <f>ROUND(0.0,2)</f>
        <v/>
      </c>
      <c r="C26" s="3">
        <f>ROUND(0.0,2)</f>
        <v/>
      </c>
      <c r="D26" s="3">
        <f>ROUND(0.0,2)</f>
        <v/>
      </c>
      <c r="E26" s="3">
        <f>ROUND(0.0,2)</f>
        <v/>
      </c>
      <c r="F26" s="3">
        <f>ROUND(0.0,2)</f>
        <v/>
      </c>
      <c r="G26" s="3">
        <f>ROUND(0.0,2)</f>
        <v/>
      </c>
      <c r="H26" s="3">
        <f>ROUND(0.0,2)</f>
        <v/>
      </c>
      <c r="I26" s="3">
        <f>ROUND(0.0,2)</f>
        <v/>
      </c>
      <c r="J26" s="4">
        <f>IFERROR((D26/C26),0)</f>
        <v/>
      </c>
      <c r="K26" s="4">
        <f>IFERROR(((0+B11+B12+B13+B14+B15+B16+B17+B19+B20+B21+B22+B23+B24+B25)/T2),0)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 Weekly Total</t>
        </is>
      </c>
      <c r="O26" s="5">
        <f>ROUND(0.0,2)</f>
        <v/>
      </c>
      <c r="P26" s="3">
        <f>ROUND(0.0,2)</f>
        <v/>
      </c>
      <c r="Q26" s="3">
        <f>ROUND(0.0,2)</f>
        <v/>
      </c>
      <c r="R26" s="3">
        <f>ROUND(0.0,2)</f>
        <v/>
      </c>
      <c r="S26" s="3">
        <f>ROUND(0.0,2)</f>
        <v/>
      </c>
      <c r="T26" s="3">
        <f>ROUND(0.0,2)</f>
        <v/>
      </c>
      <c r="U26" s="3">
        <f>ROUND(0.0,2)</f>
        <v/>
      </c>
      <c r="V26" s="3">
        <f>ROUND(0.0,2)</f>
        <v/>
      </c>
      <c r="W26" s="4">
        <f>IFERROR((Q26/P26),0)</f>
        <v/>
      </c>
      <c r="X26" s="4">
        <f>IFERROR(((0+O11+O12+O13+O14+O15+O16+O17+O19+O20+O21+O22+O23+O24+O25)/T2),0)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 Weekly Total</t>
        </is>
      </c>
      <c r="AB26" s="5">
        <f>ROUND(0.0,2)</f>
        <v/>
      </c>
      <c r="AC26" s="3">
        <f>ROUND(0.0,2)</f>
        <v/>
      </c>
      <c r="AD26" s="3">
        <f>ROUND(0.0,2)</f>
        <v/>
      </c>
      <c r="AE26" s="3">
        <f>ROUND(0.0,2)</f>
        <v/>
      </c>
      <c r="AF26" s="3">
        <f>ROUND(0.0,2)</f>
        <v/>
      </c>
      <c r="AG26" s="3">
        <f>ROUND(0.0,2)</f>
        <v/>
      </c>
      <c r="AH26" s="3">
        <f>ROUND(0.0,2)</f>
        <v/>
      </c>
      <c r="AI26" s="3">
        <f>ROUND(0.0,2)</f>
        <v/>
      </c>
      <c r="AJ26" s="4">
        <f>IFERROR((AD26/AC26),0)</f>
        <v/>
      </c>
      <c r="AK26" s="4">
        <f>IFERROR(((0+AB11+AB12+AB13+AB14+AB15+AB16+AB17+AB19+AB20+AB21+AB22+AB23+AB24+AB25)/T2),0)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 Weekly Total</t>
        </is>
      </c>
      <c r="AO26" s="5">
        <f>ROUND(0.0,2)</f>
        <v/>
      </c>
      <c r="AP26" s="3">
        <f>ROUND(0.0,2)</f>
        <v/>
      </c>
      <c r="AQ26" s="3">
        <f>ROUND(0.0,2)</f>
        <v/>
      </c>
      <c r="AR26" s="3">
        <f>ROUND(0.0,2)</f>
        <v/>
      </c>
      <c r="AS26" s="3">
        <f>ROUND(0.0,2)</f>
        <v/>
      </c>
      <c r="AT26" s="3">
        <f>ROUND(0.0,2)</f>
        <v/>
      </c>
      <c r="AU26" s="3">
        <f>ROUND(0.0,2)</f>
        <v/>
      </c>
      <c r="AV26" s="3">
        <f>ROUND(0.0,2)</f>
        <v/>
      </c>
      <c r="AW26" s="4">
        <f>IFERROR((AQ26/AP26),0)</f>
        <v/>
      </c>
      <c r="AX26" s="4">
        <f>IFERROR(((0+AO11+AO12+AO13+AO14+AO15+AO16+AO17+AO19+AO20+AO21+AO22+AO23+AO24+AO25)/T2),0)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 Weekly Total</t>
        </is>
      </c>
      <c r="BB26" s="5">
        <f>ROUND(0.0,2)</f>
        <v/>
      </c>
      <c r="BC26" s="3">
        <f>ROUND(0.0,2)</f>
        <v/>
      </c>
      <c r="BD26" s="3">
        <f>ROUND(0.0,2)</f>
        <v/>
      </c>
      <c r="BE26" s="3">
        <f>ROUND(0.0,2)</f>
        <v/>
      </c>
      <c r="BF26" s="3">
        <f>ROUND(0.0,2)</f>
        <v/>
      </c>
      <c r="BG26" s="3">
        <f>ROUND(0.0,2)</f>
        <v/>
      </c>
      <c r="BH26" s="3">
        <f>ROUND(0.0,2)</f>
        <v/>
      </c>
      <c r="BI26" s="3">
        <f>ROUND(0.0,2)</f>
        <v/>
      </c>
      <c r="BJ26" s="4">
        <f>IFERROR((BD26/BC26),0)</f>
        <v/>
      </c>
      <c r="BK26" s="4">
        <f>IFERROR(((0+BB11+BB12+BB13+BB14+BB15+BB16+BB17+BB19+BB20+BB21+BB22+BB23+BB24+BB25)/T2),0)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 Weekly Total</t>
        </is>
      </c>
      <c r="BO26" s="5">
        <f>ROUND(0.0,2)</f>
        <v/>
      </c>
      <c r="BP26" s="3">
        <f>ROUND(0.0,2)</f>
        <v/>
      </c>
      <c r="BQ26" s="3">
        <f>ROUND(0.0,2)</f>
        <v/>
      </c>
      <c r="BR26" s="3">
        <f>ROUND(0.0,2)</f>
        <v/>
      </c>
      <c r="BS26" s="3">
        <f>ROUND(0.0,2)</f>
        <v/>
      </c>
      <c r="BT26" s="3">
        <f>ROUND(0.0,2)</f>
        <v/>
      </c>
      <c r="BU26" s="3">
        <f>ROUND(0.0,2)</f>
        <v/>
      </c>
      <c r="BV26" s="3">
        <f>ROUND(0.0,2)</f>
        <v/>
      </c>
      <c r="BW26" s="4">
        <f>IFERROR((BQ26/BP26),0)</f>
        <v/>
      </c>
      <c r="BX26" s="4">
        <f>IFERROR(((0+BO11+BO12+BO13+BO14+BO15+BO16+BO17+BO19+BO20+BO21+BO22+BO23+BO24+BO25)/T2),0)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 Weekly Total</t>
        </is>
      </c>
      <c r="CB26" s="5">
        <f>ROUND(0.0,2)</f>
        <v/>
      </c>
      <c r="CC26" s="3">
        <f>ROUND(0.0,2)</f>
        <v/>
      </c>
      <c r="CD26" s="3">
        <f>ROUND(0.0,2)</f>
        <v/>
      </c>
      <c r="CE26" s="3">
        <f>ROUND(0.0,2)</f>
        <v/>
      </c>
      <c r="CF26" s="3">
        <f>ROUND(0.0,2)</f>
        <v/>
      </c>
      <c r="CG26" s="3">
        <f>ROUND(0.0,2)</f>
        <v/>
      </c>
      <c r="CH26" s="3">
        <f>ROUND(0.0,2)</f>
        <v/>
      </c>
      <c r="CI26" s="3">
        <f>ROUND(0.0,2)</f>
        <v/>
      </c>
      <c r="CJ26" s="4">
        <f>IFERROR((CD26/CC26),0)</f>
        <v/>
      </c>
      <c r="CK26" s="4">
        <f>IFERROR(((0+CB11+CB12+CB13+CB14+CB15+CB16+CB17+CB19+CB20+CB21+CB22+CB23+CB24+CB25)/T2),0)</f>
        <v/>
      </c>
      <c r="CL26" s="5">
        <f>IFERROR(ROUND(CB26/CD26,2),0)</f>
        <v/>
      </c>
      <c r="CM26" s="5">
        <f>IFERROR(ROUND(CB26/CE26,2),0)</f>
        <v/>
      </c>
      <c r="CN26" s="2" t="inlineStr">
        <is>
          <t>2 Weekly Total</t>
        </is>
      </c>
      <c r="CO26" s="5">
        <f>ROUND(0.0,2)</f>
        <v/>
      </c>
      <c r="CP26" s="3">
        <f>ROUND(0.0,2)</f>
        <v/>
      </c>
      <c r="CQ26" s="3">
        <f>ROUND(0.0,2)</f>
        <v/>
      </c>
      <c r="CR26" s="3">
        <f>ROUND(0.0,2)</f>
        <v/>
      </c>
      <c r="CS26" s="3">
        <f>ROUND(0.0,2)</f>
        <v/>
      </c>
      <c r="CT26" s="3">
        <f>ROUND(0.0,2)</f>
        <v/>
      </c>
      <c r="CU26" s="3">
        <f>ROUND(0.0,2)</f>
        <v/>
      </c>
      <c r="CV26" s="3">
        <f>ROUND(0.0,2)</f>
        <v/>
      </c>
      <c r="CW26" s="4">
        <f>IFERROR((CQ26/CP26),0)</f>
        <v/>
      </c>
      <c r="CX26" s="4">
        <f>IFERROR(((0+CO11+CO12+CO13+CO14+CO15+CO16+CO17+CO19+CO20+CO21+CO22+CO23+CO24+CO25)/T2),0)</f>
        <v/>
      </c>
      <c r="CY26" s="5">
        <f>IFERROR(ROUND(CO26/CQ26,2),0)</f>
        <v/>
      </c>
      <c r="CZ26" s="5">
        <f>IFERROR(ROUND(CO26/CR26,2),0)</f>
        <v/>
      </c>
      <c r="DA26" s="2" t="inlineStr">
        <is>
          <t>2 Weekly Total</t>
        </is>
      </c>
      <c r="DB26" s="5">
        <f>ROUND(0.0,2)</f>
        <v/>
      </c>
      <c r="DC26" s="3">
        <f>ROUND(0.0,2)</f>
        <v/>
      </c>
      <c r="DD26" s="3">
        <f>ROUND(0.0,2)</f>
        <v/>
      </c>
      <c r="DE26" s="3">
        <f>ROUND(0.0,2)</f>
        <v/>
      </c>
      <c r="DF26" s="3">
        <f>ROUND(0.0,2)</f>
        <v/>
      </c>
      <c r="DG26" s="3">
        <f>ROUND(0.0,2)</f>
        <v/>
      </c>
      <c r="DH26" s="3">
        <f>ROUND(0.0,2)</f>
        <v/>
      </c>
      <c r="DI26" s="3">
        <f>ROUND(0.0,2)</f>
        <v/>
      </c>
      <c r="DJ26" s="4">
        <f>IFERROR((DD26/DC26),0)</f>
        <v/>
      </c>
      <c r="DK26" s="4">
        <f>IFERROR(((0+DB11+DB12+DB13+DB14+DB15+DB16+DB17+DB19+DB20+DB21+DB22+DB23+DB24+DB25)/T2),0)</f>
        <v/>
      </c>
      <c r="DL26" s="5">
        <f>IFERROR(ROUND(DB26/DD26,2),0)</f>
        <v/>
      </c>
      <c r="DM26" s="5">
        <f>IFERROR(ROUND(DB26/DE26,2),0)</f>
        <v/>
      </c>
      <c r="DN26" s="2" t="inlineStr">
        <is>
          <t>2 Weekly Total</t>
        </is>
      </c>
      <c r="DO26" s="5">
        <f>ROUND(0.0,2)</f>
        <v/>
      </c>
      <c r="DP26" s="3">
        <f>ROUND(0.0,2)</f>
        <v/>
      </c>
      <c r="DQ26" s="3">
        <f>ROUND(0.0,2)</f>
        <v/>
      </c>
      <c r="DR26" s="3">
        <f>ROUND(0.0,2)</f>
        <v/>
      </c>
      <c r="DS26" s="3">
        <f>ROUND(0.0,2)</f>
        <v/>
      </c>
      <c r="DT26" s="3">
        <f>ROUND(0.0,2)</f>
        <v/>
      </c>
      <c r="DU26" s="3">
        <f>ROUND(0.0,2)</f>
        <v/>
      </c>
      <c r="DV26" s="3">
        <f>ROUND(0.0,2)</f>
        <v/>
      </c>
      <c r="DW26" s="4">
        <f>IFERROR((DQ26/DP26),0)</f>
        <v/>
      </c>
      <c r="DX26" s="4">
        <f>IFERROR(((0+DO11+DO12+DO13+DO14+DO15+DO16+DO17+DO19+DO20+DO21+DO22+DO23+DO24+DO25)/T2),0)</f>
        <v/>
      </c>
      <c r="DY26" s="5">
        <f>IFERROR(ROUND(DO26/DQ26,2),0)</f>
        <v/>
      </c>
      <c r="DZ26" s="5">
        <f>IFERROR(ROUND(DO26/DR26,2),0)</f>
        <v/>
      </c>
      <c r="EA26" s="2" t="inlineStr">
        <is>
          <t>2 Weekly Total</t>
        </is>
      </c>
      <c r="EB26" s="5">
        <f>ROUND(0.0,2)</f>
        <v/>
      </c>
      <c r="EC26" s="3">
        <f>ROUND(0.0,2)</f>
        <v/>
      </c>
      <c r="ED26" s="3">
        <f>ROUND(0.0,2)</f>
        <v/>
      </c>
      <c r="EE26" s="3">
        <f>ROUND(0.0,2)</f>
        <v/>
      </c>
      <c r="EF26" s="3">
        <f>ROUND(0.0,2)</f>
        <v/>
      </c>
      <c r="EG26" s="3">
        <f>ROUND(0.0,2)</f>
        <v/>
      </c>
      <c r="EH26" s="3">
        <f>ROUND(0.0,2)</f>
        <v/>
      </c>
      <c r="EI26" s="3">
        <f>ROUND(0.0,2)</f>
        <v/>
      </c>
      <c r="EJ26" s="4">
        <f>IFERROR((ED26/EC26),0)</f>
        <v/>
      </c>
      <c r="EK26" s="4">
        <f>IFERROR(((0+EB11+EB12+EB13+EB14+EB15+EB16+EB17+EB19+EB20+EB21+EB22+EB23+EB24+EB25)/T2),0)</f>
        <v/>
      </c>
      <c r="EL26" s="5">
        <f>IFERROR(ROUND(EB26/ED26,2),0)</f>
        <v/>
      </c>
      <c r="EM26" s="5">
        <f>IFERROR(ROUND(EB26/EE26,2),0)</f>
        <v/>
      </c>
    </row>
    <row r="27">
      <c r="A27" s="2" t="inlineStr">
        <is>
          <t>2023-10-04</t>
        </is>
      </c>
      <c r="B27" s="5">
        <f>ROUND(0.0,2)</f>
        <v/>
      </c>
      <c r="C27" s="3">
        <f>ROUND(0.0,2)</f>
        <v/>
      </c>
      <c r="D27" s="3">
        <f>ROUND(0.0,2)</f>
        <v/>
      </c>
      <c r="E27" s="3">
        <f>ROUND(0.0,2)</f>
        <v/>
      </c>
      <c r="F27" s="3">
        <f>ROUND(0.0,2)</f>
        <v/>
      </c>
      <c r="G27" s="3">
        <f>ROUND(0.0,2)</f>
        <v/>
      </c>
      <c r="H27" s="3">
        <f>ROUND(0.0,2)</f>
        <v/>
      </c>
      <c r="I27" s="3">
        <f>ROUND(0.0,2)</f>
        <v/>
      </c>
      <c r="J27" s="4">
        <f>IFERROR((D27/C27),0)</f>
        <v/>
      </c>
      <c r="K27" s="4">
        <f>IFERROR(((0+B11+B12+B13+B14+B15+B16+B17+B19+B20+B21+B22+B23+B24+B25+B27)/T2),0)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2023-10-04</t>
        </is>
      </c>
      <c r="O27" s="5">
        <f>ROUND(0.0,2)</f>
        <v/>
      </c>
      <c r="P27" s="3">
        <f>ROUND(0.0,2)</f>
        <v/>
      </c>
      <c r="Q27" s="3">
        <f>ROUND(0.0,2)</f>
        <v/>
      </c>
      <c r="R27" s="3">
        <f>ROUND(0.0,2)</f>
        <v/>
      </c>
      <c r="S27" s="3">
        <f>ROUND(0.0,2)</f>
        <v/>
      </c>
      <c r="T27" s="3">
        <f>ROUND(0.0,2)</f>
        <v/>
      </c>
      <c r="U27" s="3">
        <f>ROUND(0.0,2)</f>
        <v/>
      </c>
      <c r="V27" s="3">
        <f>ROUND(0.0,2)</f>
        <v/>
      </c>
      <c r="W27" s="4">
        <f>IFERROR((Q27/P27),0)</f>
        <v/>
      </c>
      <c r="X27" s="4">
        <f>IFERROR(((0+O11+O12+O13+O14+O15+O16+O17+O19+O20+O21+O22+O23+O24+O25+O27)/T2),0)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2023-10-04</t>
        </is>
      </c>
      <c r="AB27" s="5">
        <f>ROUND(0.0,2)</f>
        <v/>
      </c>
      <c r="AC27" s="3">
        <f>ROUND(0.0,2)</f>
        <v/>
      </c>
      <c r="AD27" s="3">
        <f>ROUND(0.0,2)</f>
        <v/>
      </c>
      <c r="AE27" s="3">
        <f>ROUND(0.0,2)</f>
        <v/>
      </c>
      <c r="AF27" s="3">
        <f>ROUND(0.0,2)</f>
        <v/>
      </c>
      <c r="AG27" s="3">
        <f>ROUND(0.0,2)</f>
        <v/>
      </c>
      <c r="AH27" s="3">
        <f>ROUND(0.0,2)</f>
        <v/>
      </c>
      <c r="AI27" s="3">
        <f>ROUND(0.0,2)</f>
        <v/>
      </c>
      <c r="AJ27" s="4">
        <f>IFERROR((AD27/AC27),0)</f>
        <v/>
      </c>
      <c r="AK27" s="4">
        <f>IFERROR(((0+AB11+AB12+AB13+AB14+AB15+AB16+AB17+AB19+AB20+AB21+AB22+AB23+AB24+AB25+AB27)/T2),0)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2023-10-04</t>
        </is>
      </c>
      <c r="AO27" s="5">
        <f>ROUND(0.0,2)</f>
        <v/>
      </c>
      <c r="AP27" s="3">
        <f>ROUND(0.0,2)</f>
        <v/>
      </c>
      <c r="AQ27" s="3">
        <f>ROUND(0.0,2)</f>
        <v/>
      </c>
      <c r="AR27" s="3">
        <f>ROUND(0.0,2)</f>
        <v/>
      </c>
      <c r="AS27" s="3">
        <f>ROUND(0.0,2)</f>
        <v/>
      </c>
      <c r="AT27" s="3">
        <f>ROUND(0.0,2)</f>
        <v/>
      </c>
      <c r="AU27" s="3">
        <f>ROUND(0.0,2)</f>
        <v/>
      </c>
      <c r="AV27" s="3">
        <f>ROUND(0.0,2)</f>
        <v/>
      </c>
      <c r="AW27" s="4">
        <f>IFERROR((AQ27/AP27),0)</f>
        <v/>
      </c>
      <c r="AX27" s="4">
        <f>IFERROR(((0+AO11+AO12+AO13+AO14+AO15+AO16+AO17+AO19+AO20+AO21+AO22+AO23+AO24+AO25+AO27)/T2),0)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2023-10-04</t>
        </is>
      </c>
      <c r="BB27" s="5">
        <f>ROUND(0.0,2)</f>
        <v/>
      </c>
      <c r="BC27" s="3">
        <f>ROUND(0.0,2)</f>
        <v/>
      </c>
      <c r="BD27" s="3">
        <f>ROUND(0.0,2)</f>
        <v/>
      </c>
      <c r="BE27" s="3">
        <f>ROUND(0.0,2)</f>
        <v/>
      </c>
      <c r="BF27" s="3">
        <f>ROUND(0.0,2)</f>
        <v/>
      </c>
      <c r="BG27" s="3">
        <f>ROUND(0.0,2)</f>
        <v/>
      </c>
      <c r="BH27" s="3">
        <f>ROUND(0.0,2)</f>
        <v/>
      </c>
      <c r="BI27" s="3">
        <f>ROUND(0.0,2)</f>
        <v/>
      </c>
      <c r="BJ27" s="4">
        <f>IFERROR((BD27/BC27),0)</f>
        <v/>
      </c>
      <c r="BK27" s="4">
        <f>IFERROR(((0+BB11+BB12+BB13+BB14+BB15+BB16+BB17+BB19+BB20+BB21+BB22+BB23+BB24+BB25+BB27)/T2),0)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2023-10-04</t>
        </is>
      </c>
      <c r="BO27" s="5">
        <f>ROUND(0.0,2)</f>
        <v/>
      </c>
      <c r="BP27" s="3">
        <f>ROUND(0.0,2)</f>
        <v/>
      </c>
      <c r="BQ27" s="3">
        <f>ROUND(0.0,2)</f>
        <v/>
      </c>
      <c r="BR27" s="3">
        <f>ROUND(0.0,2)</f>
        <v/>
      </c>
      <c r="BS27" s="3">
        <f>ROUND(0.0,2)</f>
        <v/>
      </c>
      <c r="BT27" s="3">
        <f>ROUND(0.0,2)</f>
        <v/>
      </c>
      <c r="BU27" s="3">
        <f>ROUND(0.0,2)</f>
        <v/>
      </c>
      <c r="BV27" s="3">
        <f>ROUND(0.0,2)</f>
        <v/>
      </c>
      <c r="BW27" s="4">
        <f>IFERROR((BQ27/BP27),0)</f>
        <v/>
      </c>
      <c r="BX27" s="4">
        <f>IFERROR(((0+BO11+BO12+BO13+BO14+BO15+BO16+BO17+BO19+BO20+BO21+BO22+BO23+BO24+BO25+BO27)/T2),0)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2023-10-04</t>
        </is>
      </c>
      <c r="CB27" s="5">
        <f>ROUND(0.0,2)</f>
        <v/>
      </c>
      <c r="CC27" s="3">
        <f>ROUND(0.0,2)</f>
        <v/>
      </c>
      <c r="CD27" s="3">
        <f>ROUND(0.0,2)</f>
        <v/>
      </c>
      <c r="CE27" s="3">
        <f>ROUND(0.0,2)</f>
        <v/>
      </c>
      <c r="CF27" s="3">
        <f>ROUND(0.0,2)</f>
        <v/>
      </c>
      <c r="CG27" s="3">
        <f>ROUND(0.0,2)</f>
        <v/>
      </c>
      <c r="CH27" s="3">
        <f>ROUND(0.0,2)</f>
        <v/>
      </c>
      <c r="CI27" s="3">
        <f>ROUND(0.0,2)</f>
        <v/>
      </c>
      <c r="CJ27" s="4">
        <f>IFERROR((CD27/CC27),0)</f>
        <v/>
      </c>
      <c r="CK27" s="4">
        <f>IFERROR(((0+CB11+CB12+CB13+CB14+CB15+CB16+CB17+CB19+CB20+CB21+CB22+CB23+CB24+CB25+CB27)/T2),0)</f>
        <v/>
      </c>
      <c r="CL27" s="5">
        <f>IFERROR(ROUND(CB27/CD27,2),0)</f>
        <v/>
      </c>
      <c r="CM27" s="5">
        <f>IFERROR(ROUND(CB27/CE27,2),0)</f>
        <v/>
      </c>
      <c r="CN27" s="2" t="inlineStr">
        <is>
          <t>2023-10-04</t>
        </is>
      </c>
      <c r="CO27" s="5">
        <f>ROUND(0.0,2)</f>
        <v/>
      </c>
      <c r="CP27" s="3">
        <f>ROUND(0.0,2)</f>
        <v/>
      </c>
      <c r="CQ27" s="3">
        <f>ROUND(0.0,2)</f>
        <v/>
      </c>
      <c r="CR27" s="3">
        <f>ROUND(0.0,2)</f>
        <v/>
      </c>
      <c r="CS27" s="3">
        <f>ROUND(0.0,2)</f>
        <v/>
      </c>
      <c r="CT27" s="3">
        <f>ROUND(0.0,2)</f>
        <v/>
      </c>
      <c r="CU27" s="3">
        <f>ROUND(0.0,2)</f>
        <v/>
      </c>
      <c r="CV27" s="3">
        <f>ROUND(0.0,2)</f>
        <v/>
      </c>
      <c r="CW27" s="4">
        <f>IFERROR((CQ27/CP27),0)</f>
        <v/>
      </c>
      <c r="CX27" s="4">
        <f>IFERROR(((0+CO11+CO12+CO13+CO14+CO15+CO16+CO17+CO19+CO20+CO21+CO22+CO23+CO24+CO25+CO27)/T2),0)</f>
        <v/>
      </c>
      <c r="CY27" s="5">
        <f>IFERROR(ROUND(CO27/CQ27,2),0)</f>
        <v/>
      </c>
      <c r="CZ27" s="5">
        <f>IFERROR(ROUND(CO27/CR27,2),0)</f>
        <v/>
      </c>
      <c r="DA27" s="2" t="inlineStr">
        <is>
          <t>2023-10-04</t>
        </is>
      </c>
      <c r="DB27" s="5">
        <f>ROUND(0.0,2)</f>
        <v/>
      </c>
      <c r="DC27" s="3">
        <f>ROUND(0.0,2)</f>
        <v/>
      </c>
      <c r="DD27" s="3">
        <f>ROUND(0.0,2)</f>
        <v/>
      </c>
      <c r="DE27" s="3">
        <f>ROUND(0.0,2)</f>
        <v/>
      </c>
      <c r="DF27" s="3">
        <f>ROUND(0.0,2)</f>
        <v/>
      </c>
      <c r="DG27" s="3">
        <f>ROUND(0.0,2)</f>
        <v/>
      </c>
      <c r="DH27" s="3">
        <f>ROUND(0.0,2)</f>
        <v/>
      </c>
      <c r="DI27" s="3">
        <f>ROUND(0.0,2)</f>
        <v/>
      </c>
      <c r="DJ27" s="4">
        <f>IFERROR((DD27/DC27),0)</f>
        <v/>
      </c>
      <c r="DK27" s="4">
        <f>IFERROR(((0+DB11+DB12+DB13+DB14+DB15+DB16+DB17+DB19+DB20+DB21+DB22+DB23+DB24+DB25+DB27)/T2),0)</f>
        <v/>
      </c>
      <c r="DL27" s="5">
        <f>IFERROR(ROUND(DB27/DD27,2),0)</f>
        <v/>
      </c>
      <c r="DM27" s="5">
        <f>IFERROR(ROUND(DB27/DE27,2),0)</f>
        <v/>
      </c>
      <c r="DN27" s="2" t="inlineStr">
        <is>
          <t>2023-10-04</t>
        </is>
      </c>
      <c r="DO27" s="5">
        <f>ROUND(0.0,2)</f>
        <v/>
      </c>
      <c r="DP27" s="3">
        <f>ROUND(0.0,2)</f>
        <v/>
      </c>
      <c r="DQ27" s="3">
        <f>ROUND(0.0,2)</f>
        <v/>
      </c>
      <c r="DR27" s="3">
        <f>ROUND(0.0,2)</f>
        <v/>
      </c>
      <c r="DS27" s="3">
        <f>ROUND(0.0,2)</f>
        <v/>
      </c>
      <c r="DT27" s="3">
        <f>ROUND(0.0,2)</f>
        <v/>
      </c>
      <c r="DU27" s="3">
        <f>ROUND(0.0,2)</f>
        <v/>
      </c>
      <c r="DV27" s="3">
        <f>ROUND(0.0,2)</f>
        <v/>
      </c>
      <c r="DW27" s="4">
        <f>IFERROR((DQ27/DP27),0)</f>
        <v/>
      </c>
      <c r="DX27" s="4">
        <f>IFERROR(((0+DO11+DO12+DO13+DO14+DO15+DO16+DO17+DO19+DO20+DO21+DO22+DO23+DO24+DO25+DO27)/T2),0)</f>
        <v/>
      </c>
      <c r="DY27" s="5">
        <f>IFERROR(ROUND(DO27/DQ27,2),0)</f>
        <v/>
      </c>
      <c r="DZ27" s="5">
        <f>IFERROR(ROUND(DO27/DR27,2),0)</f>
        <v/>
      </c>
      <c r="EA27" s="2" t="inlineStr">
        <is>
          <t>2023-10-04</t>
        </is>
      </c>
      <c r="EB27" s="5">
        <f>ROUND(0.0,2)</f>
        <v/>
      </c>
      <c r="EC27" s="3">
        <f>ROUND(0.0,2)</f>
        <v/>
      </c>
      <c r="ED27" s="3">
        <f>ROUND(0.0,2)</f>
        <v/>
      </c>
      <c r="EE27" s="3">
        <f>ROUND(0.0,2)</f>
        <v/>
      </c>
      <c r="EF27" s="3">
        <f>ROUND(0.0,2)</f>
        <v/>
      </c>
      <c r="EG27" s="3">
        <f>ROUND(0.0,2)</f>
        <v/>
      </c>
      <c r="EH27" s="3">
        <f>ROUND(0.0,2)</f>
        <v/>
      </c>
      <c r="EI27" s="3">
        <f>ROUND(0.0,2)</f>
        <v/>
      </c>
      <c r="EJ27" s="4">
        <f>IFERROR((ED27/EC27),0)</f>
        <v/>
      </c>
      <c r="EK27" s="4">
        <f>IFERROR(((0+EB11+EB12+EB13+EB14+EB15+EB16+EB17+EB19+EB20+EB21+EB22+EB23+EB24+EB25+EB27)/T2),0)</f>
        <v/>
      </c>
      <c r="EL27" s="5">
        <f>IFERROR(ROUND(EB27/ED27,2),0)</f>
        <v/>
      </c>
      <c r="EM27" s="5">
        <f>IFERROR(ROUND(EB27/EE27,2),0)</f>
        <v/>
      </c>
    </row>
    <row r="28">
      <c r="A28" s="2" t="inlineStr">
        <is>
          <t>2023-10-05</t>
        </is>
      </c>
      <c r="B28" s="5">
        <f>ROUND(0.0,2)</f>
        <v/>
      </c>
      <c r="C28" s="3">
        <f>ROUND(0.0,2)</f>
        <v/>
      </c>
      <c r="D28" s="3">
        <f>ROUND(0.0,2)</f>
        <v/>
      </c>
      <c r="E28" s="3">
        <f>ROUND(0.0,2)</f>
        <v/>
      </c>
      <c r="F28" s="3">
        <f>ROUND(0.0,2)</f>
        <v/>
      </c>
      <c r="G28" s="3">
        <f>ROUND(0.0,2)</f>
        <v/>
      </c>
      <c r="H28" s="3">
        <f>ROUND(0.0,2)</f>
        <v/>
      </c>
      <c r="I28" s="3">
        <f>ROUND(0.0,2)</f>
        <v/>
      </c>
      <c r="J28" s="4">
        <f>IFERROR((D28/C28),0)</f>
        <v/>
      </c>
      <c r="K28" s="4">
        <f>IFERROR(((0+B11+B12+B13+B14+B15+B16+B17+B19+B20+B21+B22+B23+B24+B25+B27+B28)/T2),0)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2023-10-05</t>
        </is>
      </c>
      <c r="O28" s="5">
        <f>ROUND(0.0,2)</f>
        <v/>
      </c>
      <c r="P28" s="3">
        <f>ROUND(0.0,2)</f>
        <v/>
      </c>
      <c r="Q28" s="3">
        <f>ROUND(0.0,2)</f>
        <v/>
      </c>
      <c r="R28" s="3">
        <f>ROUND(0.0,2)</f>
        <v/>
      </c>
      <c r="S28" s="3">
        <f>ROUND(0.0,2)</f>
        <v/>
      </c>
      <c r="T28" s="3">
        <f>ROUND(0.0,2)</f>
        <v/>
      </c>
      <c r="U28" s="3">
        <f>ROUND(0.0,2)</f>
        <v/>
      </c>
      <c r="V28" s="3">
        <f>ROUND(0.0,2)</f>
        <v/>
      </c>
      <c r="W28" s="4">
        <f>IFERROR((Q28/P28),0)</f>
        <v/>
      </c>
      <c r="X28" s="4">
        <f>IFERROR(((0+O11+O12+O13+O14+O15+O16+O17+O19+O20+O21+O22+O23+O24+O25+O27+O28)/T2),0)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2023-10-05</t>
        </is>
      </c>
      <c r="AB28" s="5">
        <f>ROUND(0.0,2)</f>
        <v/>
      </c>
      <c r="AC28" s="3">
        <f>ROUND(0.0,2)</f>
        <v/>
      </c>
      <c r="AD28" s="3">
        <f>ROUND(0.0,2)</f>
        <v/>
      </c>
      <c r="AE28" s="3">
        <f>ROUND(0.0,2)</f>
        <v/>
      </c>
      <c r="AF28" s="3">
        <f>ROUND(0.0,2)</f>
        <v/>
      </c>
      <c r="AG28" s="3">
        <f>ROUND(0.0,2)</f>
        <v/>
      </c>
      <c r="AH28" s="3">
        <f>ROUND(0.0,2)</f>
        <v/>
      </c>
      <c r="AI28" s="3">
        <f>ROUND(0.0,2)</f>
        <v/>
      </c>
      <c r="AJ28" s="4">
        <f>IFERROR((AD28/AC28),0)</f>
        <v/>
      </c>
      <c r="AK28" s="4">
        <f>IFERROR(((0+AB11+AB12+AB13+AB14+AB15+AB16+AB17+AB19+AB20+AB21+AB22+AB23+AB24+AB25+AB27+AB28)/T2),0)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2023-10-05</t>
        </is>
      </c>
      <c r="AO28" s="5">
        <f>ROUND(0.0,2)</f>
        <v/>
      </c>
      <c r="AP28" s="3">
        <f>ROUND(0.0,2)</f>
        <v/>
      </c>
      <c r="AQ28" s="3">
        <f>ROUND(0.0,2)</f>
        <v/>
      </c>
      <c r="AR28" s="3">
        <f>ROUND(0.0,2)</f>
        <v/>
      </c>
      <c r="AS28" s="3">
        <f>ROUND(0.0,2)</f>
        <v/>
      </c>
      <c r="AT28" s="3">
        <f>ROUND(0.0,2)</f>
        <v/>
      </c>
      <c r="AU28" s="3">
        <f>ROUND(0.0,2)</f>
        <v/>
      </c>
      <c r="AV28" s="3">
        <f>ROUND(0.0,2)</f>
        <v/>
      </c>
      <c r="AW28" s="4">
        <f>IFERROR((AQ28/AP28),0)</f>
        <v/>
      </c>
      <c r="AX28" s="4">
        <f>IFERROR(((0+AO11+AO12+AO13+AO14+AO15+AO16+AO17+AO19+AO20+AO21+AO22+AO23+AO24+AO25+AO27+AO28)/T2),0)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2023-10-05</t>
        </is>
      </c>
      <c r="BB28" s="5">
        <f>ROUND(0.0,2)</f>
        <v/>
      </c>
      <c r="BC28" s="3">
        <f>ROUND(0.0,2)</f>
        <v/>
      </c>
      <c r="BD28" s="3">
        <f>ROUND(0.0,2)</f>
        <v/>
      </c>
      <c r="BE28" s="3">
        <f>ROUND(0.0,2)</f>
        <v/>
      </c>
      <c r="BF28" s="3">
        <f>ROUND(0.0,2)</f>
        <v/>
      </c>
      <c r="BG28" s="3">
        <f>ROUND(0.0,2)</f>
        <v/>
      </c>
      <c r="BH28" s="3">
        <f>ROUND(0.0,2)</f>
        <v/>
      </c>
      <c r="BI28" s="3">
        <f>ROUND(0.0,2)</f>
        <v/>
      </c>
      <c r="BJ28" s="4">
        <f>IFERROR((BD28/BC28),0)</f>
        <v/>
      </c>
      <c r="BK28" s="4">
        <f>IFERROR(((0+BB11+BB12+BB13+BB14+BB15+BB16+BB17+BB19+BB20+BB21+BB22+BB23+BB24+BB25+BB27+BB28)/T2),0)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2023-10-05</t>
        </is>
      </c>
      <c r="BO28" s="5">
        <f>ROUND(0.0,2)</f>
        <v/>
      </c>
      <c r="BP28" s="3">
        <f>ROUND(0.0,2)</f>
        <v/>
      </c>
      <c r="BQ28" s="3">
        <f>ROUND(0.0,2)</f>
        <v/>
      </c>
      <c r="BR28" s="3">
        <f>ROUND(0.0,2)</f>
        <v/>
      </c>
      <c r="BS28" s="3">
        <f>ROUND(0.0,2)</f>
        <v/>
      </c>
      <c r="BT28" s="3">
        <f>ROUND(0.0,2)</f>
        <v/>
      </c>
      <c r="BU28" s="3">
        <f>ROUND(0.0,2)</f>
        <v/>
      </c>
      <c r="BV28" s="3">
        <f>ROUND(0.0,2)</f>
        <v/>
      </c>
      <c r="BW28" s="4">
        <f>IFERROR((BQ28/BP28),0)</f>
        <v/>
      </c>
      <c r="BX28" s="4">
        <f>IFERROR(((0+BO11+BO12+BO13+BO14+BO15+BO16+BO17+BO19+BO20+BO21+BO22+BO23+BO24+BO25+BO27+BO28)/T2),0)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2023-10-05</t>
        </is>
      </c>
      <c r="CB28" s="5">
        <f>ROUND(0.0,2)</f>
        <v/>
      </c>
      <c r="CC28" s="3">
        <f>ROUND(0.0,2)</f>
        <v/>
      </c>
      <c r="CD28" s="3">
        <f>ROUND(0.0,2)</f>
        <v/>
      </c>
      <c r="CE28" s="3">
        <f>ROUND(0.0,2)</f>
        <v/>
      </c>
      <c r="CF28" s="3">
        <f>ROUND(0.0,2)</f>
        <v/>
      </c>
      <c r="CG28" s="3">
        <f>ROUND(0.0,2)</f>
        <v/>
      </c>
      <c r="CH28" s="3">
        <f>ROUND(0.0,2)</f>
        <v/>
      </c>
      <c r="CI28" s="3">
        <f>ROUND(0.0,2)</f>
        <v/>
      </c>
      <c r="CJ28" s="4">
        <f>IFERROR((CD28/CC28),0)</f>
        <v/>
      </c>
      <c r="CK28" s="4">
        <f>IFERROR(((0+CB11+CB12+CB13+CB14+CB15+CB16+CB17+CB19+CB20+CB21+CB22+CB23+CB24+CB25+CB27+CB28)/T2),0)</f>
        <v/>
      </c>
      <c r="CL28" s="5">
        <f>IFERROR(ROUND(CB28/CD28,2),0)</f>
        <v/>
      </c>
      <c r="CM28" s="5">
        <f>IFERROR(ROUND(CB28/CE28,2),0)</f>
        <v/>
      </c>
      <c r="CN28" s="2" t="inlineStr">
        <is>
          <t>2023-10-05</t>
        </is>
      </c>
      <c r="CO28" s="5">
        <f>ROUND(0.0,2)</f>
        <v/>
      </c>
      <c r="CP28" s="3">
        <f>ROUND(0.0,2)</f>
        <v/>
      </c>
      <c r="CQ28" s="3">
        <f>ROUND(0.0,2)</f>
        <v/>
      </c>
      <c r="CR28" s="3">
        <f>ROUND(0.0,2)</f>
        <v/>
      </c>
      <c r="CS28" s="3">
        <f>ROUND(0.0,2)</f>
        <v/>
      </c>
      <c r="CT28" s="3">
        <f>ROUND(0.0,2)</f>
        <v/>
      </c>
      <c r="CU28" s="3">
        <f>ROUND(0.0,2)</f>
        <v/>
      </c>
      <c r="CV28" s="3">
        <f>ROUND(0.0,2)</f>
        <v/>
      </c>
      <c r="CW28" s="4">
        <f>IFERROR((CQ28/CP28),0)</f>
        <v/>
      </c>
      <c r="CX28" s="4">
        <f>IFERROR(((0+CO11+CO12+CO13+CO14+CO15+CO16+CO17+CO19+CO20+CO21+CO22+CO23+CO24+CO25+CO27+CO28)/T2),0)</f>
        <v/>
      </c>
      <c r="CY28" s="5">
        <f>IFERROR(ROUND(CO28/CQ28,2),0)</f>
        <v/>
      </c>
      <c r="CZ28" s="5">
        <f>IFERROR(ROUND(CO28/CR28,2),0)</f>
        <v/>
      </c>
      <c r="DA28" s="2" t="inlineStr">
        <is>
          <t>2023-10-05</t>
        </is>
      </c>
      <c r="DB28" s="5">
        <f>ROUND(0.0,2)</f>
        <v/>
      </c>
      <c r="DC28" s="3">
        <f>ROUND(0.0,2)</f>
        <v/>
      </c>
      <c r="DD28" s="3">
        <f>ROUND(0.0,2)</f>
        <v/>
      </c>
      <c r="DE28" s="3">
        <f>ROUND(0.0,2)</f>
        <v/>
      </c>
      <c r="DF28" s="3">
        <f>ROUND(0.0,2)</f>
        <v/>
      </c>
      <c r="DG28" s="3">
        <f>ROUND(0.0,2)</f>
        <v/>
      </c>
      <c r="DH28" s="3">
        <f>ROUND(0.0,2)</f>
        <v/>
      </c>
      <c r="DI28" s="3">
        <f>ROUND(0.0,2)</f>
        <v/>
      </c>
      <c r="DJ28" s="4">
        <f>IFERROR((DD28/DC28),0)</f>
        <v/>
      </c>
      <c r="DK28" s="4">
        <f>IFERROR(((0+DB11+DB12+DB13+DB14+DB15+DB16+DB17+DB19+DB20+DB21+DB22+DB23+DB24+DB25+DB27+DB28)/T2),0)</f>
        <v/>
      </c>
      <c r="DL28" s="5">
        <f>IFERROR(ROUND(DB28/DD28,2),0)</f>
        <v/>
      </c>
      <c r="DM28" s="5">
        <f>IFERROR(ROUND(DB28/DE28,2),0)</f>
        <v/>
      </c>
      <c r="DN28" s="2" t="inlineStr">
        <is>
          <t>2023-10-05</t>
        </is>
      </c>
      <c r="DO28" s="5">
        <f>ROUND(0.0,2)</f>
        <v/>
      </c>
      <c r="DP28" s="3">
        <f>ROUND(0.0,2)</f>
        <v/>
      </c>
      <c r="DQ28" s="3">
        <f>ROUND(0.0,2)</f>
        <v/>
      </c>
      <c r="DR28" s="3">
        <f>ROUND(0.0,2)</f>
        <v/>
      </c>
      <c r="DS28" s="3">
        <f>ROUND(0.0,2)</f>
        <v/>
      </c>
      <c r="DT28" s="3">
        <f>ROUND(0.0,2)</f>
        <v/>
      </c>
      <c r="DU28" s="3">
        <f>ROUND(0.0,2)</f>
        <v/>
      </c>
      <c r="DV28" s="3">
        <f>ROUND(0.0,2)</f>
        <v/>
      </c>
      <c r="DW28" s="4">
        <f>IFERROR((DQ28/DP28),0)</f>
        <v/>
      </c>
      <c r="DX28" s="4">
        <f>IFERROR(((0+DO11+DO12+DO13+DO14+DO15+DO16+DO17+DO19+DO20+DO21+DO22+DO23+DO24+DO25+DO27+DO28)/T2),0)</f>
        <v/>
      </c>
      <c r="DY28" s="5">
        <f>IFERROR(ROUND(DO28/DQ28,2),0)</f>
        <v/>
      </c>
      <c r="DZ28" s="5">
        <f>IFERROR(ROUND(DO28/DR28,2),0)</f>
        <v/>
      </c>
      <c r="EA28" s="2" t="inlineStr">
        <is>
          <t>2023-10-05</t>
        </is>
      </c>
      <c r="EB28" s="5">
        <f>ROUND(0.0,2)</f>
        <v/>
      </c>
      <c r="EC28" s="3">
        <f>ROUND(0.0,2)</f>
        <v/>
      </c>
      <c r="ED28" s="3">
        <f>ROUND(0.0,2)</f>
        <v/>
      </c>
      <c r="EE28" s="3">
        <f>ROUND(0.0,2)</f>
        <v/>
      </c>
      <c r="EF28" s="3">
        <f>ROUND(0.0,2)</f>
        <v/>
      </c>
      <c r="EG28" s="3">
        <f>ROUND(0.0,2)</f>
        <v/>
      </c>
      <c r="EH28" s="3">
        <f>ROUND(0.0,2)</f>
        <v/>
      </c>
      <c r="EI28" s="3">
        <f>ROUND(0.0,2)</f>
        <v/>
      </c>
      <c r="EJ28" s="4">
        <f>IFERROR((ED28/EC28),0)</f>
        <v/>
      </c>
      <c r="EK28" s="4">
        <f>IFERROR(((0+EB11+EB12+EB13+EB14+EB15+EB16+EB17+EB19+EB20+EB21+EB22+EB23+EB24+EB25+EB27+EB28)/T2),0)</f>
        <v/>
      </c>
      <c r="EL28" s="5">
        <f>IFERROR(ROUND(EB28/ED28,2),0)</f>
        <v/>
      </c>
      <c r="EM28" s="5">
        <f>IFERROR(ROUND(EB28/EE28,2),0)</f>
        <v/>
      </c>
    </row>
    <row r="29">
      <c r="A29" s="2" t="inlineStr">
        <is>
          <t>2023-10-06</t>
        </is>
      </c>
      <c r="B29" s="5">
        <f>ROUND(0.0,2)</f>
        <v/>
      </c>
      <c r="C29" s="3">
        <f>ROUND(0.0,2)</f>
        <v/>
      </c>
      <c r="D29" s="3">
        <f>ROUND(0.0,2)</f>
        <v/>
      </c>
      <c r="E29" s="3">
        <f>ROUND(0.0,2)</f>
        <v/>
      </c>
      <c r="F29" s="3">
        <f>ROUND(0.0,2)</f>
        <v/>
      </c>
      <c r="G29" s="3">
        <f>ROUND(0.0,2)</f>
        <v/>
      </c>
      <c r="H29" s="3">
        <f>ROUND(0.0,2)</f>
        <v/>
      </c>
      <c r="I29" s="3">
        <f>ROUND(0.0,2)</f>
        <v/>
      </c>
      <c r="J29" s="4">
        <f>IFERROR((D29/C29),0)</f>
        <v/>
      </c>
      <c r="K29" s="4">
        <f>IFERROR(((0+B11+B12+B13+B14+B15+B16+B17+B19+B20+B21+B22+B23+B24+B25+B27+B28+B29)/T2),0)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2023-10-06</t>
        </is>
      </c>
      <c r="O29" s="5">
        <f>ROUND(0.0,2)</f>
        <v/>
      </c>
      <c r="P29" s="3">
        <f>ROUND(0.0,2)</f>
        <v/>
      </c>
      <c r="Q29" s="3">
        <f>ROUND(0.0,2)</f>
        <v/>
      </c>
      <c r="R29" s="3">
        <f>ROUND(0.0,2)</f>
        <v/>
      </c>
      <c r="S29" s="3">
        <f>ROUND(0.0,2)</f>
        <v/>
      </c>
      <c r="T29" s="3">
        <f>ROUND(0.0,2)</f>
        <v/>
      </c>
      <c r="U29" s="3">
        <f>ROUND(0.0,2)</f>
        <v/>
      </c>
      <c r="V29" s="3">
        <f>ROUND(0.0,2)</f>
        <v/>
      </c>
      <c r="W29" s="4">
        <f>IFERROR((Q29/P29),0)</f>
        <v/>
      </c>
      <c r="X29" s="4">
        <f>IFERROR(((0+O11+O12+O13+O14+O15+O16+O17+O19+O20+O21+O22+O23+O24+O25+O27+O28+O29)/T2),0)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2023-10-06</t>
        </is>
      </c>
      <c r="AB29" s="5">
        <f>ROUND(0.0,2)</f>
        <v/>
      </c>
      <c r="AC29" s="3">
        <f>ROUND(0.0,2)</f>
        <v/>
      </c>
      <c r="AD29" s="3">
        <f>ROUND(0.0,2)</f>
        <v/>
      </c>
      <c r="AE29" s="3">
        <f>ROUND(0.0,2)</f>
        <v/>
      </c>
      <c r="AF29" s="3">
        <f>ROUND(0.0,2)</f>
        <v/>
      </c>
      <c r="AG29" s="3">
        <f>ROUND(0.0,2)</f>
        <v/>
      </c>
      <c r="AH29" s="3">
        <f>ROUND(0.0,2)</f>
        <v/>
      </c>
      <c r="AI29" s="3">
        <f>ROUND(0.0,2)</f>
        <v/>
      </c>
      <c r="AJ29" s="4">
        <f>IFERROR((AD29/AC29),0)</f>
        <v/>
      </c>
      <c r="AK29" s="4">
        <f>IFERROR(((0+AB11+AB12+AB13+AB14+AB15+AB16+AB17+AB19+AB20+AB21+AB22+AB23+AB24+AB25+AB27+AB28+AB29)/T2),0)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2023-10-06</t>
        </is>
      </c>
      <c r="AO29" s="5">
        <f>ROUND(0.0,2)</f>
        <v/>
      </c>
      <c r="AP29" s="3">
        <f>ROUND(0.0,2)</f>
        <v/>
      </c>
      <c r="AQ29" s="3">
        <f>ROUND(0.0,2)</f>
        <v/>
      </c>
      <c r="AR29" s="3">
        <f>ROUND(0.0,2)</f>
        <v/>
      </c>
      <c r="AS29" s="3">
        <f>ROUND(0.0,2)</f>
        <v/>
      </c>
      <c r="AT29" s="3">
        <f>ROUND(0.0,2)</f>
        <v/>
      </c>
      <c r="AU29" s="3">
        <f>ROUND(0.0,2)</f>
        <v/>
      </c>
      <c r="AV29" s="3">
        <f>ROUND(0.0,2)</f>
        <v/>
      </c>
      <c r="AW29" s="4">
        <f>IFERROR((AQ29/AP29),0)</f>
        <v/>
      </c>
      <c r="AX29" s="4">
        <f>IFERROR(((0+AO11+AO12+AO13+AO14+AO15+AO16+AO17+AO19+AO20+AO21+AO22+AO23+AO24+AO25+AO27+AO28+AO29)/T2),0)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2023-10-06</t>
        </is>
      </c>
      <c r="BB29" s="5">
        <f>ROUND(0.0,2)</f>
        <v/>
      </c>
      <c r="BC29" s="3">
        <f>ROUND(0.0,2)</f>
        <v/>
      </c>
      <c r="BD29" s="3">
        <f>ROUND(0.0,2)</f>
        <v/>
      </c>
      <c r="BE29" s="3">
        <f>ROUND(0.0,2)</f>
        <v/>
      </c>
      <c r="BF29" s="3">
        <f>ROUND(0.0,2)</f>
        <v/>
      </c>
      <c r="BG29" s="3">
        <f>ROUND(0.0,2)</f>
        <v/>
      </c>
      <c r="BH29" s="3">
        <f>ROUND(0.0,2)</f>
        <v/>
      </c>
      <c r="BI29" s="3">
        <f>ROUND(0.0,2)</f>
        <v/>
      </c>
      <c r="BJ29" s="4">
        <f>IFERROR((BD29/BC29),0)</f>
        <v/>
      </c>
      <c r="BK29" s="4">
        <f>IFERROR(((0+BB11+BB12+BB13+BB14+BB15+BB16+BB17+BB19+BB20+BB21+BB22+BB23+BB24+BB25+BB27+BB28+BB29)/T2),0)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2023-10-06</t>
        </is>
      </c>
      <c r="BO29" s="5">
        <f>ROUND(0.0,2)</f>
        <v/>
      </c>
      <c r="BP29" s="3">
        <f>ROUND(0.0,2)</f>
        <v/>
      </c>
      <c r="BQ29" s="3">
        <f>ROUND(0.0,2)</f>
        <v/>
      </c>
      <c r="BR29" s="3">
        <f>ROUND(0.0,2)</f>
        <v/>
      </c>
      <c r="BS29" s="3">
        <f>ROUND(0.0,2)</f>
        <v/>
      </c>
      <c r="BT29" s="3">
        <f>ROUND(0.0,2)</f>
        <v/>
      </c>
      <c r="BU29" s="3">
        <f>ROUND(0.0,2)</f>
        <v/>
      </c>
      <c r="BV29" s="3">
        <f>ROUND(0.0,2)</f>
        <v/>
      </c>
      <c r="BW29" s="4">
        <f>IFERROR((BQ29/BP29),0)</f>
        <v/>
      </c>
      <c r="BX29" s="4">
        <f>IFERROR(((0+BO11+BO12+BO13+BO14+BO15+BO16+BO17+BO19+BO20+BO21+BO22+BO23+BO24+BO25+BO27+BO28+BO29)/T2),0)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2023-10-06</t>
        </is>
      </c>
      <c r="CB29" s="5">
        <f>ROUND(0.0,2)</f>
        <v/>
      </c>
      <c r="CC29" s="3">
        <f>ROUND(0.0,2)</f>
        <v/>
      </c>
      <c r="CD29" s="3">
        <f>ROUND(0.0,2)</f>
        <v/>
      </c>
      <c r="CE29" s="3">
        <f>ROUND(0.0,2)</f>
        <v/>
      </c>
      <c r="CF29" s="3">
        <f>ROUND(0.0,2)</f>
        <v/>
      </c>
      <c r="CG29" s="3">
        <f>ROUND(0.0,2)</f>
        <v/>
      </c>
      <c r="CH29" s="3">
        <f>ROUND(0.0,2)</f>
        <v/>
      </c>
      <c r="CI29" s="3">
        <f>ROUND(0.0,2)</f>
        <v/>
      </c>
      <c r="CJ29" s="4">
        <f>IFERROR((CD29/CC29),0)</f>
        <v/>
      </c>
      <c r="CK29" s="4">
        <f>IFERROR(((0+CB11+CB12+CB13+CB14+CB15+CB16+CB17+CB19+CB20+CB21+CB22+CB23+CB24+CB25+CB27+CB28+CB29)/T2),0)</f>
        <v/>
      </c>
      <c r="CL29" s="5">
        <f>IFERROR(ROUND(CB29/CD29,2),0)</f>
        <v/>
      </c>
      <c r="CM29" s="5">
        <f>IFERROR(ROUND(CB29/CE29,2),0)</f>
        <v/>
      </c>
      <c r="CN29" s="2" t="inlineStr">
        <is>
          <t>2023-10-06</t>
        </is>
      </c>
      <c r="CO29" s="5">
        <f>ROUND(0.0,2)</f>
        <v/>
      </c>
      <c r="CP29" s="3">
        <f>ROUND(0.0,2)</f>
        <v/>
      </c>
      <c r="CQ29" s="3">
        <f>ROUND(0.0,2)</f>
        <v/>
      </c>
      <c r="CR29" s="3">
        <f>ROUND(0.0,2)</f>
        <v/>
      </c>
      <c r="CS29" s="3">
        <f>ROUND(0.0,2)</f>
        <v/>
      </c>
      <c r="CT29" s="3">
        <f>ROUND(0.0,2)</f>
        <v/>
      </c>
      <c r="CU29" s="3">
        <f>ROUND(0.0,2)</f>
        <v/>
      </c>
      <c r="CV29" s="3">
        <f>ROUND(0.0,2)</f>
        <v/>
      </c>
      <c r="CW29" s="4">
        <f>IFERROR((CQ29/CP29),0)</f>
        <v/>
      </c>
      <c r="CX29" s="4">
        <f>IFERROR(((0+CO11+CO12+CO13+CO14+CO15+CO16+CO17+CO19+CO20+CO21+CO22+CO23+CO24+CO25+CO27+CO28+CO29)/T2),0)</f>
        <v/>
      </c>
      <c r="CY29" s="5">
        <f>IFERROR(ROUND(CO29/CQ29,2),0)</f>
        <v/>
      </c>
      <c r="CZ29" s="5">
        <f>IFERROR(ROUND(CO29/CR29,2),0)</f>
        <v/>
      </c>
      <c r="DA29" s="2" t="inlineStr">
        <is>
          <t>2023-10-06</t>
        </is>
      </c>
      <c r="DB29" s="5">
        <f>ROUND(0.0,2)</f>
        <v/>
      </c>
      <c r="DC29" s="3">
        <f>ROUND(0.0,2)</f>
        <v/>
      </c>
      <c r="DD29" s="3">
        <f>ROUND(0.0,2)</f>
        <v/>
      </c>
      <c r="DE29" s="3">
        <f>ROUND(0.0,2)</f>
        <v/>
      </c>
      <c r="DF29" s="3">
        <f>ROUND(0.0,2)</f>
        <v/>
      </c>
      <c r="DG29" s="3">
        <f>ROUND(0.0,2)</f>
        <v/>
      </c>
      <c r="DH29" s="3">
        <f>ROUND(0.0,2)</f>
        <v/>
      </c>
      <c r="DI29" s="3">
        <f>ROUND(0.0,2)</f>
        <v/>
      </c>
      <c r="DJ29" s="4">
        <f>IFERROR((DD29/DC29),0)</f>
        <v/>
      </c>
      <c r="DK29" s="4">
        <f>IFERROR(((0+DB11+DB12+DB13+DB14+DB15+DB16+DB17+DB19+DB20+DB21+DB22+DB23+DB24+DB25+DB27+DB28+DB29)/T2),0)</f>
        <v/>
      </c>
      <c r="DL29" s="5">
        <f>IFERROR(ROUND(DB29/DD29,2),0)</f>
        <v/>
      </c>
      <c r="DM29" s="5">
        <f>IFERROR(ROUND(DB29/DE29,2),0)</f>
        <v/>
      </c>
      <c r="DN29" s="2" t="inlineStr">
        <is>
          <t>2023-10-06</t>
        </is>
      </c>
      <c r="DO29" s="5">
        <f>ROUND(0.0,2)</f>
        <v/>
      </c>
      <c r="DP29" s="3">
        <f>ROUND(0.0,2)</f>
        <v/>
      </c>
      <c r="DQ29" s="3">
        <f>ROUND(0.0,2)</f>
        <v/>
      </c>
      <c r="DR29" s="3">
        <f>ROUND(0.0,2)</f>
        <v/>
      </c>
      <c r="DS29" s="3">
        <f>ROUND(0.0,2)</f>
        <v/>
      </c>
      <c r="DT29" s="3">
        <f>ROUND(0.0,2)</f>
        <v/>
      </c>
      <c r="DU29" s="3">
        <f>ROUND(0.0,2)</f>
        <v/>
      </c>
      <c r="DV29" s="3">
        <f>ROUND(0.0,2)</f>
        <v/>
      </c>
      <c r="DW29" s="4">
        <f>IFERROR((DQ29/DP29),0)</f>
        <v/>
      </c>
      <c r="DX29" s="4">
        <f>IFERROR(((0+DO11+DO12+DO13+DO14+DO15+DO16+DO17+DO19+DO20+DO21+DO22+DO23+DO24+DO25+DO27+DO28+DO29)/T2),0)</f>
        <v/>
      </c>
      <c r="DY29" s="5">
        <f>IFERROR(ROUND(DO29/DQ29,2),0)</f>
        <v/>
      </c>
      <c r="DZ29" s="5">
        <f>IFERROR(ROUND(DO29/DR29,2),0)</f>
        <v/>
      </c>
      <c r="EA29" s="2" t="inlineStr">
        <is>
          <t>2023-10-06</t>
        </is>
      </c>
      <c r="EB29" s="5">
        <f>ROUND(0.0,2)</f>
        <v/>
      </c>
      <c r="EC29" s="3">
        <f>ROUND(0.0,2)</f>
        <v/>
      </c>
      <c r="ED29" s="3">
        <f>ROUND(0.0,2)</f>
        <v/>
      </c>
      <c r="EE29" s="3">
        <f>ROUND(0.0,2)</f>
        <v/>
      </c>
      <c r="EF29" s="3">
        <f>ROUND(0.0,2)</f>
        <v/>
      </c>
      <c r="EG29" s="3">
        <f>ROUND(0.0,2)</f>
        <v/>
      </c>
      <c r="EH29" s="3">
        <f>ROUND(0.0,2)</f>
        <v/>
      </c>
      <c r="EI29" s="3">
        <f>ROUND(0.0,2)</f>
        <v/>
      </c>
      <c r="EJ29" s="4">
        <f>IFERROR((ED29/EC29),0)</f>
        <v/>
      </c>
      <c r="EK29" s="4">
        <f>IFERROR(((0+EB11+EB12+EB13+EB14+EB15+EB16+EB17+EB19+EB20+EB21+EB22+EB23+EB24+EB25+EB27+EB28+EB29)/T2),0)</f>
        <v/>
      </c>
      <c r="EL29" s="5">
        <f>IFERROR(ROUND(EB29/ED29,2),0)</f>
        <v/>
      </c>
      <c r="EM29" s="5">
        <f>IFERROR(ROUND(EB29/EE29,2),0)</f>
        <v/>
      </c>
    </row>
    <row r="30">
      <c r="A30" s="2" t="inlineStr">
        <is>
          <t>2023-10-07</t>
        </is>
      </c>
      <c r="B30" s="5">
        <f>ROUND(0.0,2)</f>
        <v/>
      </c>
      <c r="C30" s="3">
        <f>ROUND(0.0,2)</f>
        <v/>
      </c>
      <c r="D30" s="3">
        <f>ROUND(0.0,2)</f>
        <v/>
      </c>
      <c r="E30" s="3">
        <f>ROUND(0.0,2)</f>
        <v/>
      </c>
      <c r="F30" s="3">
        <f>ROUND(0.0,2)</f>
        <v/>
      </c>
      <c r="G30" s="3">
        <f>ROUND(0.0,2)</f>
        <v/>
      </c>
      <c r="H30" s="3">
        <f>ROUND(0.0,2)</f>
        <v/>
      </c>
      <c r="I30" s="3">
        <f>ROUND(0.0,2)</f>
        <v/>
      </c>
      <c r="J30" s="4">
        <f>IFERROR((D30/C30),0)</f>
        <v/>
      </c>
      <c r="K30" s="4">
        <f>IFERROR(((0+B11+B12+B13+B14+B15+B16+B17+B19+B20+B21+B22+B23+B24+B25+B27+B28+B29+B30)/T2),0)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2023-10-07</t>
        </is>
      </c>
      <c r="O30" s="5">
        <f>ROUND(0.0,2)</f>
        <v/>
      </c>
      <c r="P30" s="3">
        <f>ROUND(0.0,2)</f>
        <v/>
      </c>
      <c r="Q30" s="3">
        <f>ROUND(0.0,2)</f>
        <v/>
      </c>
      <c r="R30" s="3">
        <f>ROUND(0.0,2)</f>
        <v/>
      </c>
      <c r="S30" s="3">
        <f>ROUND(0.0,2)</f>
        <v/>
      </c>
      <c r="T30" s="3">
        <f>ROUND(0.0,2)</f>
        <v/>
      </c>
      <c r="U30" s="3">
        <f>ROUND(0.0,2)</f>
        <v/>
      </c>
      <c r="V30" s="3">
        <f>ROUND(0.0,2)</f>
        <v/>
      </c>
      <c r="W30" s="4">
        <f>IFERROR((Q30/P30),0)</f>
        <v/>
      </c>
      <c r="X30" s="4">
        <f>IFERROR(((0+O11+O12+O13+O14+O15+O16+O17+O19+O20+O21+O22+O23+O24+O25+O27+O28+O29+O30)/T2),0)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2023-10-07</t>
        </is>
      </c>
      <c r="AB30" s="5">
        <f>ROUND(0.0,2)</f>
        <v/>
      </c>
      <c r="AC30" s="3">
        <f>ROUND(0.0,2)</f>
        <v/>
      </c>
      <c r="AD30" s="3">
        <f>ROUND(0.0,2)</f>
        <v/>
      </c>
      <c r="AE30" s="3">
        <f>ROUND(0.0,2)</f>
        <v/>
      </c>
      <c r="AF30" s="3">
        <f>ROUND(0.0,2)</f>
        <v/>
      </c>
      <c r="AG30" s="3">
        <f>ROUND(0.0,2)</f>
        <v/>
      </c>
      <c r="AH30" s="3">
        <f>ROUND(0.0,2)</f>
        <v/>
      </c>
      <c r="AI30" s="3">
        <f>ROUND(0.0,2)</f>
        <v/>
      </c>
      <c r="AJ30" s="4">
        <f>IFERROR((AD30/AC30),0)</f>
        <v/>
      </c>
      <c r="AK30" s="4">
        <f>IFERROR(((0+AB11+AB12+AB13+AB14+AB15+AB16+AB17+AB19+AB20+AB21+AB22+AB23+AB24+AB25+AB27+AB28+AB29+AB30)/T2),0)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2023-10-07</t>
        </is>
      </c>
      <c r="AO30" s="5">
        <f>ROUND(0.0,2)</f>
        <v/>
      </c>
      <c r="AP30" s="3">
        <f>ROUND(0.0,2)</f>
        <v/>
      </c>
      <c r="AQ30" s="3">
        <f>ROUND(0.0,2)</f>
        <v/>
      </c>
      <c r="AR30" s="3">
        <f>ROUND(0.0,2)</f>
        <v/>
      </c>
      <c r="AS30" s="3">
        <f>ROUND(0.0,2)</f>
        <v/>
      </c>
      <c r="AT30" s="3">
        <f>ROUND(0.0,2)</f>
        <v/>
      </c>
      <c r="AU30" s="3">
        <f>ROUND(0.0,2)</f>
        <v/>
      </c>
      <c r="AV30" s="3">
        <f>ROUND(0.0,2)</f>
        <v/>
      </c>
      <c r="AW30" s="4">
        <f>IFERROR((AQ30/AP30),0)</f>
        <v/>
      </c>
      <c r="AX30" s="4">
        <f>IFERROR(((0+AO11+AO12+AO13+AO14+AO15+AO16+AO17+AO19+AO20+AO21+AO22+AO23+AO24+AO25+AO27+AO28+AO29+AO30)/T2),0)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2023-10-07</t>
        </is>
      </c>
      <c r="BB30" s="5">
        <f>ROUND(0.0,2)</f>
        <v/>
      </c>
      <c r="BC30" s="3">
        <f>ROUND(0.0,2)</f>
        <v/>
      </c>
      <c r="BD30" s="3">
        <f>ROUND(0.0,2)</f>
        <v/>
      </c>
      <c r="BE30" s="3">
        <f>ROUND(0.0,2)</f>
        <v/>
      </c>
      <c r="BF30" s="3">
        <f>ROUND(0.0,2)</f>
        <v/>
      </c>
      <c r="BG30" s="3">
        <f>ROUND(0.0,2)</f>
        <v/>
      </c>
      <c r="BH30" s="3">
        <f>ROUND(0.0,2)</f>
        <v/>
      </c>
      <c r="BI30" s="3">
        <f>ROUND(0.0,2)</f>
        <v/>
      </c>
      <c r="BJ30" s="4">
        <f>IFERROR((BD30/BC30),0)</f>
        <v/>
      </c>
      <c r="BK30" s="4">
        <f>IFERROR(((0+BB11+BB12+BB13+BB14+BB15+BB16+BB17+BB19+BB20+BB21+BB22+BB23+BB24+BB25+BB27+BB28+BB29+BB30)/T2),0)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2023-10-07</t>
        </is>
      </c>
      <c r="BO30" s="5">
        <f>ROUND(0.0,2)</f>
        <v/>
      </c>
      <c r="BP30" s="3">
        <f>ROUND(0.0,2)</f>
        <v/>
      </c>
      <c r="BQ30" s="3">
        <f>ROUND(0.0,2)</f>
        <v/>
      </c>
      <c r="BR30" s="3">
        <f>ROUND(0.0,2)</f>
        <v/>
      </c>
      <c r="BS30" s="3">
        <f>ROUND(0.0,2)</f>
        <v/>
      </c>
      <c r="BT30" s="3">
        <f>ROUND(0.0,2)</f>
        <v/>
      </c>
      <c r="BU30" s="3">
        <f>ROUND(0.0,2)</f>
        <v/>
      </c>
      <c r="BV30" s="3">
        <f>ROUND(0.0,2)</f>
        <v/>
      </c>
      <c r="BW30" s="4">
        <f>IFERROR((BQ30/BP30),0)</f>
        <v/>
      </c>
      <c r="BX30" s="4">
        <f>IFERROR(((0+BO11+BO12+BO13+BO14+BO15+BO16+BO17+BO19+BO20+BO21+BO22+BO23+BO24+BO25+BO27+BO28+BO29+BO30)/T2),0)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2023-10-07</t>
        </is>
      </c>
      <c r="CB30" s="5">
        <f>ROUND(0.0,2)</f>
        <v/>
      </c>
      <c r="CC30" s="3">
        <f>ROUND(0.0,2)</f>
        <v/>
      </c>
      <c r="CD30" s="3">
        <f>ROUND(0.0,2)</f>
        <v/>
      </c>
      <c r="CE30" s="3">
        <f>ROUND(0.0,2)</f>
        <v/>
      </c>
      <c r="CF30" s="3">
        <f>ROUND(0.0,2)</f>
        <v/>
      </c>
      <c r="CG30" s="3">
        <f>ROUND(0.0,2)</f>
        <v/>
      </c>
      <c r="CH30" s="3">
        <f>ROUND(0.0,2)</f>
        <v/>
      </c>
      <c r="CI30" s="3">
        <f>ROUND(0.0,2)</f>
        <v/>
      </c>
      <c r="CJ30" s="4">
        <f>IFERROR((CD30/CC30),0)</f>
        <v/>
      </c>
      <c r="CK30" s="4">
        <f>IFERROR(((0+CB11+CB12+CB13+CB14+CB15+CB16+CB17+CB19+CB20+CB21+CB22+CB23+CB24+CB25+CB27+CB28+CB29+CB30)/T2),0)</f>
        <v/>
      </c>
      <c r="CL30" s="5">
        <f>IFERROR(ROUND(CB30/CD30,2),0)</f>
        <v/>
      </c>
      <c r="CM30" s="5">
        <f>IFERROR(ROUND(CB30/CE30,2),0)</f>
        <v/>
      </c>
      <c r="CN30" s="2" t="inlineStr">
        <is>
          <t>2023-10-07</t>
        </is>
      </c>
      <c r="CO30" s="5">
        <f>ROUND(0.0,2)</f>
        <v/>
      </c>
      <c r="CP30" s="3">
        <f>ROUND(0.0,2)</f>
        <v/>
      </c>
      <c r="CQ30" s="3">
        <f>ROUND(0.0,2)</f>
        <v/>
      </c>
      <c r="CR30" s="3">
        <f>ROUND(0.0,2)</f>
        <v/>
      </c>
      <c r="CS30" s="3">
        <f>ROUND(0.0,2)</f>
        <v/>
      </c>
      <c r="CT30" s="3">
        <f>ROUND(0.0,2)</f>
        <v/>
      </c>
      <c r="CU30" s="3">
        <f>ROUND(0.0,2)</f>
        <v/>
      </c>
      <c r="CV30" s="3">
        <f>ROUND(0.0,2)</f>
        <v/>
      </c>
      <c r="CW30" s="4">
        <f>IFERROR((CQ30/CP30),0)</f>
        <v/>
      </c>
      <c r="CX30" s="4">
        <f>IFERROR(((0+CO11+CO12+CO13+CO14+CO15+CO16+CO17+CO19+CO20+CO21+CO22+CO23+CO24+CO25+CO27+CO28+CO29+CO30)/T2),0)</f>
        <v/>
      </c>
      <c r="CY30" s="5">
        <f>IFERROR(ROUND(CO30/CQ30,2),0)</f>
        <v/>
      </c>
      <c r="CZ30" s="5">
        <f>IFERROR(ROUND(CO30/CR30,2),0)</f>
        <v/>
      </c>
      <c r="DA30" s="2" t="inlineStr">
        <is>
          <t>2023-10-07</t>
        </is>
      </c>
      <c r="DB30" s="5">
        <f>ROUND(0.0,2)</f>
        <v/>
      </c>
      <c r="DC30" s="3">
        <f>ROUND(0.0,2)</f>
        <v/>
      </c>
      <c r="DD30" s="3">
        <f>ROUND(0.0,2)</f>
        <v/>
      </c>
      <c r="DE30" s="3">
        <f>ROUND(0.0,2)</f>
        <v/>
      </c>
      <c r="DF30" s="3">
        <f>ROUND(0.0,2)</f>
        <v/>
      </c>
      <c r="DG30" s="3">
        <f>ROUND(0.0,2)</f>
        <v/>
      </c>
      <c r="DH30" s="3">
        <f>ROUND(0.0,2)</f>
        <v/>
      </c>
      <c r="DI30" s="3">
        <f>ROUND(0.0,2)</f>
        <v/>
      </c>
      <c r="DJ30" s="4">
        <f>IFERROR((DD30/DC30),0)</f>
        <v/>
      </c>
      <c r="DK30" s="4">
        <f>IFERROR(((0+DB11+DB12+DB13+DB14+DB15+DB16+DB17+DB19+DB20+DB21+DB22+DB23+DB24+DB25+DB27+DB28+DB29+DB30)/T2),0)</f>
        <v/>
      </c>
      <c r="DL30" s="5">
        <f>IFERROR(ROUND(DB30/DD30,2),0)</f>
        <v/>
      </c>
      <c r="DM30" s="5">
        <f>IFERROR(ROUND(DB30/DE30,2),0)</f>
        <v/>
      </c>
      <c r="DN30" s="2" t="inlineStr">
        <is>
          <t>2023-10-07</t>
        </is>
      </c>
      <c r="DO30" s="5">
        <f>ROUND(0.0,2)</f>
        <v/>
      </c>
      <c r="DP30" s="3">
        <f>ROUND(0.0,2)</f>
        <v/>
      </c>
      <c r="DQ30" s="3">
        <f>ROUND(0.0,2)</f>
        <v/>
      </c>
      <c r="DR30" s="3">
        <f>ROUND(0.0,2)</f>
        <v/>
      </c>
      <c r="DS30" s="3">
        <f>ROUND(0.0,2)</f>
        <v/>
      </c>
      <c r="DT30" s="3">
        <f>ROUND(0.0,2)</f>
        <v/>
      </c>
      <c r="DU30" s="3">
        <f>ROUND(0.0,2)</f>
        <v/>
      </c>
      <c r="DV30" s="3">
        <f>ROUND(0.0,2)</f>
        <v/>
      </c>
      <c r="DW30" s="4">
        <f>IFERROR((DQ30/DP30),0)</f>
        <v/>
      </c>
      <c r="DX30" s="4">
        <f>IFERROR(((0+DO11+DO12+DO13+DO14+DO15+DO16+DO17+DO19+DO20+DO21+DO22+DO23+DO24+DO25+DO27+DO28+DO29+DO30)/T2),0)</f>
        <v/>
      </c>
      <c r="DY30" s="5">
        <f>IFERROR(ROUND(DO30/DQ30,2),0)</f>
        <v/>
      </c>
      <c r="DZ30" s="5">
        <f>IFERROR(ROUND(DO30/DR30,2),0)</f>
        <v/>
      </c>
      <c r="EA30" s="2" t="inlineStr">
        <is>
          <t>2023-10-07</t>
        </is>
      </c>
      <c r="EB30" s="5">
        <f>ROUND(0.0,2)</f>
        <v/>
      </c>
      <c r="EC30" s="3">
        <f>ROUND(0.0,2)</f>
        <v/>
      </c>
      <c r="ED30" s="3">
        <f>ROUND(0.0,2)</f>
        <v/>
      </c>
      <c r="EE30" s="3">
        <f>ROUND(0.0,2)</f>
        <v/>
      </c>
      <c r="EF30" s="3">
        <f>ROUND(0.0,2)</f>
        <v/>
      </c>
      <c r="EG30" s="3">
        <f>ROUND(0.0,2)</f>
        <v/>
      </c>
      <c r="EH30" s="3">
        <f>ROUND(0.0,2)</f>
        <v/>
      </c>
      <c r="EI30" s="3">
        <f>ROUND(0.0,2)</f>
        <v/>
      </c>
      <c r="EJ30" s="4">
        <f>IFERROR((ED30/EC30),0)</f>
        <v/>
      </c>
      <c r="EK30" s="4">
        <f>IFERROR(((0+EB11+EB12+EB13+EB14+EB15+EB16+EB17+EB19+EB20+EB21+EB22+EB23+EB24+EB25+EB27+EB28+EB29+EB30)/T2),0)</f>
        <v/>
      </c>
      <c r="EL30" s="5">
        <f>IFERROR(ROUND(EB30/ED30,2),0)</f>
        <v/>
      </c>
      <c r="EM30" s="5">
        <f>IFERROR(ROUND(EB30/EE30,2),0)</f>
        <v/>
      </c>
    </row>
    <row r="31">
      <c r="A31" s="2" t="inlineStr">
        <is>
          <t>2023-10-08</t>
        </is>
      </c>
      <c r="B31" s="5">
        <f>ROUND(0.0,2)</f>
        <v/>
      </c>
      <c r="C31" s="3">
        <f>ROUND(0.0,2)</f>
        <v/>
      </c>
      <c r="D31" s="3">
        <f>ROUND(0.0,2)</f>
        <v/>
      </c>
      <c r="E31" s="3">
        <f>ROUND(0.0,2)</f>
        <v/>
      </c>
      <c r="F31" s="3">
        <f>ROUND(0.0,2)</f>
        <v/>
      </c>
      <c r="G31" s="3">
        <f>ROUND(0.0,2)</f>
        <v/>
      </c>
      <c r="H31" s="3">
        <f>ROUND(0.0,2)</f>
        <v/>
      </c>
      <c r="I31" s="3">
        <f>ROUND(0.0,2)</f>
        <v/>
      </c>
      <c r="J31" s="4">
        <f>IFERROR((D31/C31),0)</f>
        <v/>
      </c>
      <c r="K31" s="4">
        <f>IFERROR(((0+B11+B12+B13+B14+B15+B16+B17+B19+B20+B21+B22+B23+B24+B25+B27+B28+B29+B30+B31)/T2),0)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2023-10-08</t>
        </is>
      </c>
      <c r="O31" s="5">
        <f>ROUND(0.0,2)</f>
        <v/>
      </c>
      <c r="P31" s="3">
        <f>ROUND(0.0,2)</f>
        <v/>
      </c>
      <c r="Q31" s="3">
        <f>ROUND(0.0,2)</f>
        <v/>
      </c>
      <c r="R31" s="3">
        <f>ROUND(0.0,2)</f>
        <v/>
      </c>
      <c r="S31" s="3">
        <f>ROUND(0.0,2)</f>
        <v/>
      </c>
      <c r="T31" s="3">
        <f>ROUND(0.0,2)</f>
        <v/>
      </c>
      <c r="U31" s="3">
        <f>ROUND(0.0,2)</f>
        <v/>
      </c>
      <c r="V31" s="3">
        <f>ROUND(0.0,2)</f>
        <v/>
      </c>
      <c r="W31" s="4">
        <f>IFERROR((Q31/P31),0)</f>
        <v/>
      </c>
      <c r="X31" s="4">
        <f>IFERROR(((0+O11+O12+O13+O14+O15+O16+O17+O19+O20+O21+O22+O23+O24+O25+O27+O28+O29+O30+O31)/T2),0)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2023-10-08</t>
        </is>
      </c>
      <c r="AB31" s="5">
        <f>ROUND(0.0,2)</f>
        <v/>
      </c>
      <c r="AC31" s="3">
        <f>ROUND(0.0,2)</f>
        <v/>
      </c>
      <c r="AD31" s="3">
        <f>ROUND(0.0,2)</f>
        <v/>
      </c>
      <c r="AE31" s="3">
        <f>ROUND(0.0,2)</f>
        <v/>
      </c>
      <c r="AF31" s="3">
        <f>ROUND(0.0,2)</f>
        <v/>
      </c>
      <c r="AG31" s="3">
        <f>ROUND(0.0,2)</f>
        <v/>
      </c>
      <c r="AH31" s="3">
        <f>ROUND(0.0,2)</f>
        <v/>
      </c>
      <c r="AI31" s="3">
        <f>ROUND(0.0,2)</f>
        <v/>
      </c>
      <c r="AJ31" s="4">
        <f>IFERROR((AD31/AC31),0)</f>
        <v/>
      </c>
      <c r="AK31" s="4">
        <f>IFERROR(((0+AB11+AB12+AB13+AB14+AB15+AB16+AB17+AB19+AB20+AB21+AB22+AB23+AB24+AB25+AB27+AB28+AB29+AB30+AB31)/T2),0)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2023-10-08</t>
        </is>
      </c>
      <c r="AO31" s="5">
        <f>ROUND(0.0,2)</f>
        <v/>
      </c>
      <c r="AP31" s="3">
        <f>ROUND(0.0,2)</f>
        <v/>
      </c>
      <c r="AQ31" s="3">
        <f>ROUND(0.0,2)</f>
        <v/>
      </c>
      <c r="AR31" s="3">
        <f>ROUND(0.0,2)</f>
        <v/>
      </c>
      <c r="AS31" s="3">
        <f>ROUND(0.0,2)</f>
        <v/>
      </c>
      <c r="AT31" s="3">
        <f>ROUND(0.0,2)</f>
        <v/>
      </c>
      <c r="AU31" s="3">
        <f>ROUND(0.0,2)</f>
        <v/>
      </c>
      <c r="AV31" s="3">
        <f>ROUND(0.0,2)</f>
        <v/>
      </c>
      <c r="AW31" s="4">
        <f>IFERROR((AQ31/AP31),0)</f>
        <v/>
      </c>
      <c r="AX31" s="4">
        <f>IFERROR(((0+AO11+AO12+AO13+AO14+AO15+AO16+AO17+AO19+AO20+AO21+AO22+AO23+AO24+AO25+AO27+AO28+AO29+AO30+AO31)/T2),0)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2023-10-08</t>
        </is>
      </c>
      <c r="BB31" s="5">
        <f>ROUND(0.0,2)</f>
        <v/>
      </c>
      <c r="BC31" s="3">
        <f>ROUND(0.0,2)</f>
        <v/>
      </c>
      <c r="BD31" s="3">
        <f>ROUND(0.0,2)</f>
        <v/>
      </c>
      <c r="BE31" s="3">
        <f>ROUND(0.0,2)</f>
        <v/>
      </c>
      <c r="BF31" s="3">
        <f>ROUND(0.0,2)</f>
        <v/>
      </c>
      <c r="BG31" s="3">
        <f>ROUND(0.0,2)</f>
        <v/>
      </c>
      <c r="BH31" s="3">
        <f>ROUND(0.0,2)</f>
        <v/>
      </c>
      <c r="BI31" s="3">
        <f>ROUND(0.0,2)</f>
        <v/>
      </c>
      <c r="BJ31" s="4">
        <f>IFERROR((BD31/BC31),0)</f>
        <v/>
      </c>
      <c r="BK31" s="4">
        <f>IFERROR(((0+BB11+BB12+BB13+BB14+BB15+BB16+BB17+BB19+BB20+BB21+BB22+BB23+BB24+BB25+BB27+BB28+BB29+BB30+BB31)/T2),0)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2023-10-08</t>
        </is>
      </c>
      <c r="BO31" s="5">
        <f>ROUND(0.0,2)</f>
        <v/>
      </c>
      <c r="BP31" s="3">
        <f>ROUND(0.0,2)</f>
        <v/>
      </c>
      <c r="BQ31" s="3">
        <f>ROUND(0.0,2)</f>
        <v/>
      </c>
      <c r="BR31" s="3">
        <f>ROUND(0.0,2)</f>
        <v/>
      </c>
      <c r="BS31" s="3">
        <f>ROUND(0.0,2)</f>
        <v/>
      </c>
      <c r="BT31" s="3">
        <f>ROUND(0.0,2)</f>
        <v/>
      </c>
      <c r="BU31" s="3">
        <f>ROUND(0.0,2)</f>
        <v/>
      </c>
      <c r="BV31" s="3">
        <f>ROUND(0.0,2)</f>
        <v/>
      </c>
      <c r="BW31" s="4">
        <f>IFERROR((BQ31/BP31),0)</f>
        <v/>
      </c>
      <c r="BX31" s="4">
        <f>IFERROR(((0+BO11+BO12+BO13+BO14+BO15+BO16+BO17+BO19+BO20+BO21+BO22+BO23+BO24+BO25+BO27+BO28+BO29+BO30+BO31)/T2),0)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2023-10-08</t>
        </is>
      </c>
      <c r="CB31" s="5">
        <f>ROUND(0.0,2)</f>
        <v/>
      </c>
      <c r="CC31" s="3">
        <f>ROUND(0.0,2)</f>
        <v/>
      </c>
      <c r="CD31" s="3">
        <f>ROUND(0.0,2)</f>
        <v/>
      </c>
      <c r="CE31" s="3">
        <f>ROUND(0.0,2)</f>
        <v/>
      </c>
      <c r="CF31" s="3">
        <f>ROUND(0.0,2)</f>
        <v/>
      </c>
      <c r="CG31" s="3">
        <f>ROUND(0.0,2)</f>
        <v/>
      </c>
      <c r="CH31" s="3">
        <f>ROUND(0.0,2)</f>
        <v/>
      </c>
      <c r="CI31" s="3">
        <f>ROUND(0.0,2)</f>
        <v/>
      </c>
      <c r="CJ31" s="4">
        <f>IFERROR((CD31/CC31),0)</f>
        <v/>
      </c>
      <c r="CK31" s="4">
        <f>IFERROR(((0+CB11+CB12+CB13+CB14+CB15+CB16+CB17+CB19+CB20+CB21+CB22+CB23+CB24+CB25+CB27+CB28+CB29+CB30+CB31)/T2),0)</f>
        <v/>
      </c>
      <c r="CL31" s="5">
        <f>IFERROR(ROUND(CB31/CD31,2),0)</f>
        <v/>
      </c>
      <c r="CM31" s="5">
        <f>IFERROR(ROUND(CB31/CE31,2),0)</f>
        <v/>
      </c>
      <c r="CN31" s="2" t="inlineStr">
        <is>
          <t>2023-10-08</t>
        </is>
      </c>
      <c r="CO31" s="5">
        <f>ROUND(0.0,2)</f>
        <v/>
      </c>
      <c r="CP31" s="3">
        <f>ROUND(0.0,2)</f>
        <v/>
      </c>
      <c r="CQ31" s="3">
        <f>ROUND(0.0,2)</f>
        <v/>
      </c>
      <c r="CR31" s="3">
        <f>ROUND(0.0,2)</f>
        <v/>
      </c>
      <c r="CS31" s="3">
        <f>ROUND(0.0,2)</f>
        <v/>
      </c>
      <c r="CT31" s="3">
        <f>ROUND(0.0,2)</f>
        <v/>
      </c>
      <c r="CU31" s="3">
        <f>ROUND(0.0,2)</f>
        <v/>
      </c>
      <c r="CV31" s="3">
        <f>ROUND(0.0,2)</f>
        <v/>
      </c>
      <c r="CW31" s="4">
        <f>IFERROR((CQ31/CP31),0)</f>
        <v/>
      </c>
      <c r="CX31" s="4">
        <f>IFERROR(((0+CO11+CO12+CO13+CO14+CO15+CO16+CO17+CO19+CO20+CO21+CO22+CO23+CO24+CO25+CO27+CO28+CO29+CO30+CO31)/T2),0)</f>
        <v/>
      </c>
      <c r="CY31" s="5">
        <f>IFERROR(ROUND(CO31/CQ31,2),0)</f>
        <v/>
      </c>
      <c r="CZ31" s="5">
        <f>IFERROR(ROUND(CO31/CR31,2),0)</f>
        <v/>
      </c>
      <c r="DA31" s="2" t="inlineStr">
        <is>
          <t>2023-10-08</t>
        </is>
      </c>
      <c r="DB31" s="5">
        <f>ROUND(0.0,2)</f>
        <v/>
      </c>
      <c r="DC31" s="3">
        <f>ROUND(0.0,2)</f>
        <v/>
      </c>
      <c r="DD31" s="3">
        <f>ROUND(0.0,2)</f>
        <v/>
      </c>
      <c r="DE31" s="3">
        <f>ROUND(0.0,2)</f>
        <v/>
      </c>
      <c r="DF31" s="3">
        <f>ROUND(0.0,2)</f>
        <v/>
      </c>
      <c r="DG31" s="3">
        <f>ROUND(0.0,2)</f>
        <v/>
      </c>
      <c r="DH31" s="3">
        <f>ROUND(0.0,2)</f>
        <v/>
      </c>
      <c r="DI31" s="3">
        <f>ROUND(0.0,2)</f>
        <v/>
      </c>
      <c r="DJ31" s="4">
        <f>IFERROR((DD31/DC31),0)</f>
        <v/>
      </c>
      <c r="DK31" s="4">
        <f>IFERROR(((0+DB11+DB12+DB13+DB14+DB15+DB16+DB17+DB19+DB20+DB21+DB22+DB23+DB24+DB25+DB27+DB28+DB29+DB30+DB31)/T2),0)</f>
        <v/>
      </c>
      <c r="DL31" s="5">
        <f>IFERROR(ROUND(DB31/DD31,2),0)</f>
        <v/>
      </c>
      <c r="DM31" s="5">
        <f>IFERROR(ROUND(DB31/DE31,2),0)</f>
        <v/>
      </c>
      <c r="DN31" s="2" t="inlineStr">
        <is>
          <t>2023-10-08</t>
        </is>
      </c>
      <c r="DO31" s="5">
        <f>ROUND(0.0,2)</f>
        <v/>
      </c>
      <c r="DP31" s="3">
        <f>ROUND(0.0,2)</f>
        <v/>
      </c>
      <c r="DQ31" s="3">
        <f>ROUND(0.0,2)</f>
        <v/>
      </c>
      <c r="DR31" s="3">
        <f>ROUND(0.0,2)</f>
        <v/>
      </c>
      <c r="DS31" s="3">
        <f>ROUND(0.0,2)</f>
        <v/>
      </c>
      <c r="DT31" s="3">
        <f>ROUND(0.0,2)</f>
        <v/>
      </c>
      <c r="DU31" s="3">
        <f>ROUND(0.0,2)</f>
        <v/>
      </c>
      <c r="DV31" s="3">
        <f>ROUND(0.0,2)</f>
        <v/>
      </c>
      <c r="DW31" s="4">
        <f>IFERROR((DQ31/DP31),0)</f>
        <v/>
      </c>
      <c r="DX31" s="4">
        <f>IFERROR(((0+DO11+DO12+DO13+DO14+DO15+DO16+DO17+DO19+DO20+DO21+DO22+DO23+DO24+DO25+DO27+DO28+DO29+DO30+DO31)/T2),0)</f>
        <v/>
      </c>
      <c r="DY31" s="5">
        <f>IFERROR(ROUND(DO31/DQ31,2),0)</f>
        <v/>
      </c>
      <c r="DZ31" s="5">
        <f>IFERROR(ROUND(DO31/DR31,2),0)</f>
        <v/>
      </c>
      <c r="EA31" s="2" t="inlineStr">
        <is>
          <t>2023-10-08</t>
        </is>
      </c>
      <c r="EB31" s="5">
        <f>ROUND(0.0,2)</f>
        <v/>
      </c>
      <c r="EC31" s="3">
        <f>ROUND(0.0,2)</f>
        <v/>
      </c>
      <c r="ED31" s="3">
        <f>ROUND(0.0,2)</f>
        <v/>
      </c>
      <c r="EE31" s="3">
        <f>ROUND(0.0,2)</f>
        <v/>
      </c>
      <c r="EF31" s="3">
        <f>ROUND(0.0,2)</f>
        <v/>
      </c>
      <c r="EG31" s="3">
        <f>ROUND(0.0,2)</f>
        <v/>
      </c>
      <c r="EH31" s="3">
        <f>ROUND(0.0,2)</f>
        <v/>
      </c>
      <c r="EI31" s="3">
        <f>ROUND(0.0,2)</f>
        <v/>
      </c>
      <c r="EJ31" s="4">
        <f>IFERROR((ED31/EC31),0)</f>
        <v/>
      </c>
      <c r="EK31" s="4">
        <f>IFERROR(((0+EB11+EB12+EB13+EB14+EB15+EB16+EB17+EB19+EB20+EB21+EB22+EB23+EB24+EB25+EB27+EB28+EB29+EB30+EB31)/T2),0)</f>
        <v/>
      </c>
      <c r="EL31" s="5">
        <f>IFERROR(ROUND(EB31/ED31,2),0)</f>
        <v/>
      </c>
      <c r="EM31" s="5">
        <f>IFERROR(ROUND(EB31/EE31,2),0)</f>
        <v/>
      </c>
    </row>
    <row r="32">
      <c r="A32" s="2" t="inlineStr">
        <is>
          <t>2023-10-09</t>
        </is>
      </c>
      <c r="B32" s="5">
        <f>ROUND(0.0,2)</f>
        <v/>
      </c>
      <c r="C32" s="3">
        <f>ROUND(0.0,2)</f>
        <v/>
      </c>
      <c r="D32" s="3">
        <f>ROUND(0.0,2)</f>
        <v/>
      </c>
      <c r="E32" s="3">
        <f>ROUND(0.0,2)</f>
        <v/>
      </c>
      <c r="F32" s="3">
        <f>ROUND(0.0,2)</f>
        <v/>
      </c>
      <c r="G32" s="3">
        <f>ROUND(0.0,2)</f>
        <v/>
      </c>
      <c r="H32" s="3">
        <f>ROUND(0.0,2)</f>
        <v/>
      </c>
      <c r="I32" s="3">
        <f>ROUND(0.0,2)</f>
        <v/>
      </c>
      <c r="J32" s="4">
        <f>IFERROR((D32/C32),0)</f>
        <v/>
      </c>
      <c r="K32" s="4">
        <f>IFERROR(((0+B11+B12+B13+B14+B15+B16+B17+B19+B20+B21+B22+B23+B24+B25+B27+B28+B29+B30+B31+B32)/T2),0)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2023-10-09</t>
        </is>
      </c>
      <c r="O32" s="5">
        <f>ROUND(0.0,2)</f>
        <v/>
      </c>
      <c r="P32" s="3">
        <f>ROUND(0.0,2)</f>
        <v/>
      </c>
      <c r="Q32" s="3">
        <f>ROUND(0.0,2)</f>
        <v/>
      </c>
      <c r="R32" s="3">
        <f>ROUND(0.0,2)</f>
        <v/>
      </c>
      <c r="S32" s="3">
        <f>ROUND(0.0,2)</f>
        <v/>
      </c>
      <c r="T32" s="3">
        <f>ROUND(0.0,2)</f>
        <v/>
      </c>
      <c r="U32" s="3">
        <f>ROUND(0.0,2)</f>
        <v/>
      </c>
      <c r="V32" s="3">
        <f>ROUND(0.0,2)</f>
        <v/>
      </c>
      <c r="W32" s="4">
        <f>IFERROR((Q32/P32),0)</f>
        <v/>
      </c>
      <c r="X32" s="4">
        <f>IFERROR(((0+O11+O12+O13+O14+O15+O16+O17+O19+O20+O21+O22+O23+O24+O25+O27+O28+O29+O30+O31+O32)/T2),0)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2023-10-09</t>
        </is>
      </c>
      <c r="AB32" s="5">
        <f>ROUND(0.0,2)</f>
        <v/>
      </c>
      <c r="AC32" s="3">
        <f>ROUND(0.0,2)</f>
        <v/>
      </c>
      <c r="AD32" s="3">
        <f>ROUND(0.0,2)</f>
        <v/>
      </c>
      <c r="AE32" s="3">
        <f>ROUND(0.0,2)</f>
        <v/>
      </c>
      <c r="AF32" s="3">
        <f>ROUND(0.0,2)</f>
        <v/>
      </c>
      <c r="AG32" s="3">
        <f>ROUND(0.0,2)</f>
        <v/>
      </c>
      <c r="AH32" s="3">
        <f>ROUND(0.0,2)</f>
        <v/>
      </c>
      <c r="AI32" s="3">
        <f>ROUND(0.0,2)</f>
        <v/>
      </c>
      <c r="AJ32" s="4">
        <f>IFERROR((AD32/AC32),0)</f>
        <v/>
      </c>
      <c r="AK32" s="4">
        <f>IFERROR(((0+AB11+AB12+AB13+AB14+AB15+AB16+AB17+AB19+AB20+AB21+AB22+AB23+AB24+AB25+AB27+AB28+AB29+AB30+AB31+AB32)/T2),0)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2023-10-09</t>
        </is>
      </c>
      <c r="AO32" s="5">
        <f>ROUND(0.0,2)</f>
        <v/>
      </c>
      <c r="AP32" s="3">
        <f>ROUND(0.0,2)</f>
        <v/>
      </c>
      <c r="AQ32" s="3">
        <f>ROUND(0.0,2)</f>
        <v/>
      </c>
      <c r="AR32" s="3">
        <f>ROUND(0.0,2)</f>
        <v/>
      </c>
      <c r="AS32" s="3">
        <f>ROUND(0.0,2)</f>
        <v/>
      </c>
      <c r="AT32" s="3">
        <f>ROUND(0.0,2)</f>
        <v/>
      </c>
      <c r="AU32" s="3">
        <f>ROUND(0.0,2)</f>
        <v/>
      </c>
      <c r="AV32" s="3">
        <f>ROUND(0.0,2)</f>
        <v/>
      </c>
      <c r="AW32" s="4">
        <f>IFERROR((AQ32/AP32),0)</f>
        <v/>
      </c>
      <c r="AX32" s="4">
        <f>IFERROR(((0+AO11+AO12+AO13+AO14+AO15+AO16+AO17+AO19+AO20+AO21+AO22+AO23+AO24+AO25+AO27+AO28+AO29+AO30+AO31+AO32)/T2),0)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2023-10-09</t>
        </is>
      </c>
      <c r="BB32" s="5">
        <f>ROUND(0.0,2)</f>
        <v/>
      </c>
      <c r="BC32" s="3">
        <f>ROUND(0.0,2)</f>
        <v/>
      </c>
      <c r="BD32" s="3">
        <f>ROUND(0.0,2)</f>
        <v/>
      </c>
      <c r="BE32" s="3">
        <f>ROUND(0.0,2)</f>
        <v/>
      </c>
      <c r="BF32" s="3">
        <f>ROUND(0.0,2)</f>
        <v/>
      </c>
      <c r="BG32" s="3">
        <f>ROUND(0.0,2)</f>
        <v/>
      </c>
      <c r="BH32" s="3">
        <f>ROUND(0.0,2)</f>
        <v/>
      </c>
      <c r="BI32" s="3">
        <f>ROUND(0.0,2)</f>
        <v/>
      </c>
      <c r="BJ32" s="4">
        <f>IFERROR((BD32/BC32),0)</f>
        <v/>
      </c>
      <c r="BK32" s="4">
        <f>IFERROR(((0+BB11+BB12+BB13+BB14+BB15+BB16+BB17+BB19+BB20+BB21+BB22+BB23+BB24+BB25+BB27+BB28+BB29+BB30+BB31+BB32)/T2),0)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2023-10-09</t>
        </is>
      </c>
      <c r="BO32" s="5">
        <f>ROUND(0.0,2)</f>
        <v/>
      </c>
      <c r="BP32" s="3">
        <f>ROUND(0.0,2)</f>
        <v/>
      </c>
      <c r="BQ32" s="3">
        <f>ROUND(0.0,2)</f>
        <v/>
      </c>
      <c r="BR32" s="3">
        <f>ROUND(0.0,2)</f>
        <v/>
      </c>
      <c r="BS32" s="3">
        <f>ROUND(0.0,2)</f>
        <v/>
      </c>
      <c r="BT32" s="3">
        <f>ROUND(0.0,2)</f>
        <v/>
      </c>
      <c r="BU32" s="3">
        <f>ROUND(0.0,2)</f>
        <v/>
      </c>
      <c r="BV32" s="3">
        <f>ROUND(0.0,2)</f>
        <v/>
      </c>
      <c r="BW32" s="4">
        <f>IFERROR((BQ32/BP32),0)</f>
        <v/>
      </c>
      <c r="BX32" s="4">
        <f>IFERROR(((0+BO11+BO12+BO13+BO14+BO15+BO16+BO17+BO19+BO20+BO21+BO22+BO23+BO24+BO25+BO27+BO28+BO29+BO30+BO31+BO32)/T2),0)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2023-10-09</t>
        </is>
      </c>
      <c r="CB32" s="5">
        <f>ROUND(0.0,2)</f>
        <v/>
      </c>
      <c r="CC32" s="3">
        <f>ROUND(0.0,2)</f>
        <v/>
      </c>
      <c r="CD32" s="3">
        <f>ROUND(0.0,2)</f>
        <v/>
      </c>
      <c r="CE32" s="3">
        <f>ROUND(0.0,2)</f>
        <v/>
      </c>
      <c r="CF32" s="3">
        <f>ROUND(0.0,2)</f>
        <v/>
      </c>
      <c r="CG32" s="3">
        <f>ROUND(0.0,2)</f>
        <v/>
      </c>
      <c r="CH32" s="3">
        <f>ROUND(0.0,2)</f>
        <v/>
      </c>
      <c r="CI32" s="3">
        <f>ROUND(0.0,2)</f>
        <v/>
      </c>
      <c r="CJ32" s="4">
        <f>IFERROR((CD32/CC32),0)</f>
        <v/>
      </c>
      <c r="CK32" s="4">
        <f>IFERROR(((0+CB11+CB12+CB13+CB14+CB15+CB16+CB17+CB19+CB20+CB21+CB22+CB23+CB24+CB25+CB27+CB28+CB29+CB30+CB31+CB32)/T2),0)</f>
        <v/>
      </c>
      <c r="CL32" s="5">
        <f>IFERROR(ROUND(CB32/CD32,2),0)</f>
        <v/>
      </c>
      <c r="CM32" s="5">
        <f>IFERROR(ROUND(CB32/CE32,2),0)</f>
        <v/>
      </c>
      <c r="CN32" s="2" t="inlineStr">
        <is>
          <t>2023-10-09</t>
        </is>
      </c>
      <c r="CO32" s="5">
        <f>ROUND(0.0,2)</f>
        <v/>
      </c>
      <c r="CP32" s="3">
        <f>ROUND(0.0,2)</f>
        <v/>
      </c>
      <c r="CQ32" s="3">
        <f>ROUND(0.0,2)</f>
        <v/>
      </c>
      <c r="CR32" s="3">
        <f>ROUND(0.0,2)</f>
        <v/>
      </c>
      <c r="CS32" s="3">
        <f>ROUND(0.0,2)</f>
        <v/>
      </c>
      <c r="CT32" s="3">
        <f>ROUND(0.0,2)</f>
        <v/>
      </c>
      <c r="CU32" s="3">
        <f>ROUND(0.0,2)</f>
        <v/>
      </c>
      <c r="CV32" s="3">
        <f>ROUND(0.0,2)</f>
        <v/>
      </c>
      <c r="CW32" s="4">
        <f>IFERROR((CQ32/CP32),0)</f>
        <v/>
      </c>
      <c r="CX32" s="4">
        <f>IFERROR(((0+CO11+CO12+CO13+CO14+CO15+CO16+CO17+CO19+CO20+CO21+CO22+CO23+CO24+CO25+CO27+CO28+CO29+CO30+CO31+CO32)/T2),0)</f>
        <v/>
      </c>
      <c r="CY32" s="5">
        <f>IFERROR(ROUND(CO32/CQ32,2),0)</f>
        <v/>
      </c>
      <c r="CZ32" s="5">
        <f>IFERROR(ROUND(CO32/CR32,2),0)</f>
        <v/>
      </c>
      <c r="DA32" s="2" t="inlineStr">
        <is>
          <t>2023-10-09</t>
        </is>
      </c>
      <c r="DB32" s="5">
        <f>ROUND(0.0,2)</f>
        <v/>
      </c>
      <c r="DC32" s="3">
        <f>ROUND(0.0,2)</f>
        <v/>
      </c>
      <c r="DD32" s="3">
        <f>ROUND(0.0,2)</f>
        <v/>
      </c>
      <c r="DE32" s="3">
        <f>ROUND(0.0,2)</f>
        <v/>
      </c>
      <c r="DF32" s="3">
        <f>ROUND(0.0,2)</f>
        <v/>
      </c>
      <c r="DG32" s="3">
        <f>ROUND(0.0,2)</f>
        <v/>
      </c>
      <c r="DH32" s="3">
        <f>ROUND(0.0,2)</f>
        <v/>
      </c>
      <c r="DI32" s="3">
        <f>ROUND(0.0,2)</f>
        <v/>
      </c>
      <c r="DJ32" s="4">
        <f>IFERROR((DD32/DC32),0)</f>
        <v/>
      </c>
      <c r="DK32" s="4">
        <f>IFERROR(((0+DB11+DB12+DB13+DB14+DB15+DB16+DB17+DB19+DB20+DB21+DB22+DB23+DB24+DB25+DB27+DB28+DB29+DB30+DB31+DB32)/T2),0)</f>
        <v/>
      </c>
      <c r="DL32" s="5">
        <f>IFERROR(ROUND(DB32/DD32,2),0)</f>
        <v/>
      </c>
      <c r="DM32" s="5">
        <f>IFERROR(ROUND(DB32/DE32,2),0)</f>
        <v/>
      </c>
      <c r="DN32" s="2" t="inlineStr">
        <is>
          <t>2023-10-09</t>
        </is>
      </c>
      <c r="DO32" s="5">
        <f>ROUND(0.0,2)</f>
        <v/>
      </c>
      <c r="DP32" s="3">
        <f>ROUND(0.0,2)</f>
        <v/>
      </c>
      <c r="DQ32" s="3">
        <f>ROUND(0.0,2)</f>
        <v/>
      </c>
      <c r="DR32" s="3">
        <f>ROUND(0.0,2)</f>
        <v/>
      </c>
      <c r="DS32" s="3">
        <f>ROUND(0.0,2)</f>
        <v/>
      </c>
      <c r="DT32" s="3">
        <f>ROUND(0.0,2)</f>
        <v/>
      </c>
      <c r="DU32" s="3">
        <f>ROUND(0.0,2)</f>
        <v/>
      </c>
      <c r="DV32" s="3">
        <f>ROUND(0.0,2)</f>
        <v/>
      </c>
      <c r="DW32" s="4">
        <f>IFERROR((DQ32/DP32),0)</f>
        <v/>
      </c>
      <c r="DX32" s="4">
        <f>IFERROR(((0+DO11+DO12+DO13+DO14+DO15+DO16+DO17+DO19+DO20+DO21+DO22+DO23+DO24+DO25+DO27+DO28+DO29+DO30+DO31+DO32)/T2),0)</f>
        <v/>
      </c>
      <c r="DY32" s="5">
        <f>IFERROR(ROUND(DO32/DQ32,2),0)</f>
        <v/>
      </c>
      <c r="DZ32" s="5">
        <f>IFERROR(ROUND(DO32/DR32,2),0)</f>
        <v/>
      </c>
      <c r="EA32" s="2" t="inlineStr">
        <is>
          <t>2023-10-09</t>
        </is>
      </c>
      <c r="EB32" s="5">
        <f>ROUND(0.0,2)</f>
        <v/>
      </c>
      <c r="EC32" s="3">
        <f>ROUND(0.0,2)</f>
        <v/>
      </c>
      <c r="ED32" s="3">
        <f>ROUND(0.0,2)</f>
        <v/>
      </c>
      <c r="EE32" s="3">
        <f>ROUND(0.0,2)</f>
        <v/>
      </c>
      <c r="EF32" s="3">
        <f>ROUND(0.0,2)</f>
        <v/>
      </c>
      <c r="EG32" s="3">
        <f>ROUND(0.0,2)</f>
        <v/>
      </c>
      <c r="EH32" s="3">
        <f>ROUND(0.0,2)</f>
        <v/>
      </c>
      <c r="EI32" s="3">
        <f>ROUND(0.0,2)</f>
        <v/>
      </c>
      <c r="EJ32" s="4">
        <f>IFERROR((ED32/EC32),0)</f>
        <v/>
      </c>
      <c r="EK32" s="4">
        <f>IFERROR(((0+EB11+EB12+EB13+EB14+EB15+EB16+EB17+EB19+EB20+EB21+EB22+EB23+EB24+EB25+EB27+EB28+EB29+EB30+EB31+EB32)/T2),0)</f>
        <v/>
      </c>
      <c r="EL32" s="5">
        <f>IFERROR(ROUND(EB32/ED32,2),0)</f>
        <v/>
      </c>
      <c r="EM32" s="5">
        <f>IFERROR(ROUND(EB32/EE32,2),0)</f>
        <v/>
      </c>
    </row>
    <row r="33">
      <c r="A33" s="2" t="inlineStr">
        <is>
          <t>2023-10-10</t>
        </is>
      </c>
      <c r="B33" s="5">
        <f>ROUND(0.0,2)</f>
        <v/>
      </c>
      <c r="C33" s="3">
        <f>ROUND(0.0,2)</f>
        <v/>
      </c>
      <c r="D33" s="3">
        <f>ROUND(0.0,2)</f>
        <v/>
      </c>
      <c r="E33" s="3">
        <f>ROUND(0.0,2)</f>
        <v/>
      </c>
      <c r="F33" s="3">
        <f>ROUND(0.0,2)</f>
        <v/>
      </c>
      <c r="G33" s="3">
        <f>ROUND(0.0,2)</f>
        <v/>
      </c>
      <c r="H33" s="3">
        <f>ROUND(0.0,2)</f>
        <v/>
      </c>
      <c r="I33" s="3">
        <f>ROUND(0.0,2)</f>
        <v/>
      </c>
      <c r="J33" s="4">
        <f>IFERROR((D33/C33),0)</f>
        <v/>
      </c>
      <c r="K33" s="4">
        <f>IFERROR(((0+B11+B12+B13+B14+B15+B16+B17+B19+B20+B21+B22+B23+B24+B25+B27+B28+B29+B30+B31+B32+B33)/T2),0)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2023-10-10</t>
        </is>
      </c>
      <c r="O33" s="5">
        <f>ROUND(0.0,2)</f>
        <v/>
      </c>
      <c r="P33" s="3">
        <f>ROUND(0.0,2)</f>
        <v/>
      </c>
      <c r="Q33" s="3">
        <f>ROUND(0.0,2)</f>
        <v/>
      </c>
      <c r="R33" s="3">
        <f>ROUND(0.0,2)</f>
        <v/>
      </c>
      <c r="S33" s="3">
        <f>ROUND(0.0,2)</f>
        <v/>
      </c>
      <c r="T33" s="3">
        <f>ROUND(0.0,2)</f>
        <v/>
      </c>
      <c r="U33" s="3">
        <f>ROUND(0.0,2)</f>
        <v/>
      </c>
      <c r="V33" s="3">
        <f>ROUND(0.0,2)</f>
        <v/>
      </c>
      <c r="W33" s="4">
        <f>IFERROR((Q33/P33),0)</f>
        <v/>
      </c>
      <c r="X33" s="4">
        <f>IFERROR(((0+O11+O12+O13+O14+O15+O16+O17+O19+O20+O21+O22+O23+O24+O25+O27+O28+O29+O30+O31+O32+O33)/T2),0)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2023-10-10</t>
        </is>
      </c>
      <c r="AB33" s="5">
        <f>ROUND(0.0,2)</f>
        <v/>
      </c>
      <c r="AC33" s="3">
        <f>ROUND(0.0,2)</f>
        <v/>
      </c>
      <c r="AD33" s="3">
        <f>ROUND(0.0,2)</f>
        <v/>
      </c>
      <c r="AE33" s="3">
        <f>ROUND(0.0,2)</f>
        <v/>
      </c>
      <c r="AF33" s="3">
        <f>ROUND(0.0,2)</f>
        <v/>
      </c>
      <c r="AG33" s="3">
        <f>ROUND(0.0,2)</f>
        <v/>
      </c>
      <c r="AH33" s="3">
        <f>ROUND(0.0,2)</f>
        <v/>
      </c>
      <c r="AI33" s="3">
        <f>ROUND(0.0,2)</f>
        <v/>
      </c>
      <c r="AJ33" s="4">
        <f>IFERROR((AD33/AC33),0)</f>
        <v/>
      </c>
      <c r="AK33" s="4">
        <f>IFERROR(((0+AB11+AB12+AB13+AB14+AB15+AB16+AB17+AB19+AB20+AB21+AB22+AB23+AB24+AB25+AB27+AB28+AB29+AB30+AB31+AB32+AB33)/T2),0)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2023-10-10</t>
        </is>
      </c>
      <c r="AO33" s="5">
        <f>ROUND(0.0,2)</f>
        <v/>
      </c>
      <c r="AP33" s="3">
        <f>ROUND(0.0,2)</f>
        <v/>
      </c>
      <c r="AQ33" s="3">
        <f>ROUND(0.0,2)</f>
        <v/>
      </c>
      <c r="AR33" s="3">
        <f>ROUND(0.0,2)</f>
        <v/>
      </c>
      <c r="AS33" s="3">
        <f>ROUND(0.0,2)</f>
        <v/>
      </c>
      <c r="AT33" s="3">
        <f>ROUND(0.0,2)</f>
        <v/>
      </c>
      <c r="AU33" s="3">
        <f>ROUND(0.0,2)</f>
        <v/>
      </c>
      <c r="AV33" s="3">
        <f>ROUND(0.0,2)</f>
        <v/>
      </c>
      <c r="AW33" s="4">
        <f>IFERROR((AQ33/AP33),0)</f>
        <v/>
      </c>
      <c r="AX33" s="4">
        <f>IFERROR(((0+AO11+AO12+AO13+AO14+AO15+AO16+AO17+AO19+AO20+AO21+AO22+AO23+AO24+AO25+AO27+AO28+AO29+AO30+AO31+AO32+AO33)/T2),0)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2023-10-10</t>
        </is>
      </c>
      <c r="BB33" s="5">
        <f>ROUND(0.0,2)</f>
        <v/>
      </c>
      <c r="BC33" s="3">
        <f>ROUND(0.0,2)</f>
        <v/>
      </c>
      <c r="BD33" s="3">
        <f>ROUND(0.0,2)</f>
        <v/>
      </c>
      <c r="BE33" s="3">
        <f>ROUND(0.0,2)</f>
        <v/>
      </c>
      <c r="BF33" s="3">
        <f>ROUND(0.0,2)</f>
        <v/>
      </c>
      <c r="BG33" s="3">
        <f>ROUND(0.0,2)</f>
        <v/>
      </c>
      <c r="BH33" s="3">
        <f>ROUND(0.0,2)</f>
        <v/>
      </c>
      <c r="BI33" s="3">
        <f>ROUND(0.0,2)</f>
        <v/>
      </c>
      <c r="BJ33" s="4">
        <f>IFERROR((BD33/BC33),0)</f>
        <v/>
      </c>
      <c r="BK33" s="4">
        <f>IFERROR(((0+BB11+BB12+BB13+BB14+BB15+BB16+BB17+BB19+BB20+BB21+BB22+BB23+BB24+BB25+BB27+BB28+BB29+BB30+BB31+BB32+BB33)/T2),0)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2023-10-10</t>
        </is>
      </c>
      <c r="BO33" s="5">
        <f>ROUND(0.0,2)</f>
        <v/>
      </c>
      <c r="BP33" s="3">
        <f>ROUND(0.0,2)</f>
        <v/>
      </c>
      <c r="BQ33" s="3">
        <f>ROUND(0.0,2)</f>
        <v/>
      </c>
      <c r="BR33" s="3">
        <f>ROUND(0.0,2)</f>
        <v/>
      </c>
      <c r="BS33" s="3">
        <f>ROUND(0.0,2)</f>
        <v/>
      </c>
      <c r="BT33" s="3">
        <f>ROUND(0.0,2)</f>
        <v/>
      </c>
      <c r="BU33" s="3">
        <f>ROUND(0.0,2)</f>
        <v/>
      </c>
      <c r="BV33" s="3">
        <f>ROUND(0.0,2)</f>
        <v/>
      </c>
      <c r="BW33" s="4">
        <f>IFERROR((BQ33/BP33),0)</f>
        <v/>
      </c>
      <c r="BX33" s="4">
        <f>IFERROR(((0+BO11+BO12+BO13+BO14+BO15+BO16+BO17+BO19+BO20+BO21+BO22+BO23+BO24+BO25+BO27+BO28+BO29+BO30+BO31+BO32+BO33)/T2),0)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2023-10-10</t>
        </is>
      </c>
      <c r="CB33" s="5">
        <f>ROUND(0.0,2)</f>
        <v/>
      </c>
      <c r="CC33" s="3">
        <f>ROUND(0.0,2)</f>
        <v/>
      </c>
      <c r="CD33" s="3">
        <f>ROUND(0.0,2)</f>
        <v/>
      </c>
      <c r="CE33" s="3">
        <f>ROUND(0.0,2)</f>
        <v/>
      </c>
      <c r="CF33" s="3">
        <f>ROUND(0.0,2)</f>
        <v/>
      </c>
      <c r="CG33" s="3">
        <f>ROUND(0.0,2)</f>
        <v/>
      </c>
      <c r="CH33" s="3">
        <f>ROUND(0.0,2)</f>
        <v/>
      </c>
      <c r="CI33" s="3">
        <f>ROUND(0.0,2)</f>
        <v/>
      </c>
      <c r="CJ33" s="4">
        <f>IFERROR((CD33/CC33),0)</f>
        <v/>
      </c>
      <c r="CK33" s="4">
        <f>IFERROR(((0+CB11+CB12+CB13+CB14+CB15+CB16+CB17+CB19+CB20+CB21+CB22+CB23+CB24+CB25+CB27+CB28+CB29+CB30+CB31+CB32+CB33)/T2),0)</f>
        <v/>
      </c>
      <c r="CL33" s="5">
        <f>IFERROR(ROUND(CB33/CD33,2),0)</f>
        <v/>
      </c>
      <c r="CM33" s="5">
        <f>IFERROR(ROUND(CB33/CE33,2),0)</f>
        <v/>
      </c>
      <c r="CN33" s="2" t="inlineStr">
        <is>
          <t>2023-10-10</t>
        </is>
      </c>
      <c r="CO33" s="5">
        <f>ROUND(0.0,2)</f>
        <v/>
      </c>
      <c r="CP33" s="3">
        <f>ROUND(0.0,2)</f>
        <v/>
      </c>
      <c r="CQ33" s="3">
        <f>ROUND(0.0,2)</f>
        <v/>
      </c>
      <c r="CR33" s="3">
        <f>ROUND(0.0,2)</f>
        <v/>
      </c>
      <c r="CS33" s="3">
        <f>ROUND(0.0,2)</f>
        <v/>
      </c>
      <c r="CT33" s="3">
        <f>ROUND(0.0,2)</f>
        <v/>
      </c>
      <c r="CU33" s="3">
        <f>ROUND(0.0,2)</f>
        <v/>
      </c>
      <c r="CV33" s="3">
        <f>ROUND(0.0,2)</f>
        <v/>
      </c>
      <c r="CW33" s="4">
        <f>IFERROR((CQ33/CP33),0)</f>
        <v/>
      </c>
      <c r="CX33" s="4">
        <f>IFERROR(((0+CO11+CO12+CO13+CO14+CO15+CO16+CO17+CO19+CO20+CO21+CO22+CO23+CO24+CO25+CO27+CO28+CO29+CO30+CO31+CO32+CO33)/T2),0)</f>
        <v/>
      </c>
      <c r="CY33" s="5">
        <f>IFERROR(ROUND(CO33/CQ33,2),0)</f>
        <v/>
      </c>
      <c r="CZ33" s="5">
        <f>IFERROR(ROUND(CO33/CR33,2),0)</f>
        <v/>
      </c>
      <c r="DA33" s="2" t="inlineStr">
        <is>
          <t>2023-10-10</t>
        </is>
      </c>
      <c r="DB33" s="5">
        <f>ROUND(0.0,2)</f>
        <v/>
      </c>
      <c r="DC33" s="3">
        <f>ROUND(0.0,2)</f>
        <v/>
      </c>
      <c r="DD33" s="3">
        <f>ROUND(0.0,2)</f>
        <v/>
      </c>
      <c r="DE33" s="3">
        <f>ROUND(0.0,2)</f>
        <v/>
      </c>
      <c r="DF33" s="3">
        <f>ROUND(0.0,2)</f>
        <v/>
      </c>
      <c r="DG33" s="3">
        <f>ROUND(0.0,2)</f>
        <v/>
      </c>
      <c r="DH33" s="3">
        <f>ROUND(0.0,2)</f>
        <v/>
      </c>
      <c r="DI33" s="3">
        <f>ROUND(0.0,2)</f>
        <v/>
      </c>
      <c r="DJ33" s="4">
        <f>IFERROR((DD33/DC33),0)</f>
        <v/>
      </c>
      <c r="DK33" s="4">
        <f>IFERROR(((0+DB11+DB12+DB13+DB14+DB15+DB16+DB17+DB19+DB20+DB21+DB22+DB23+DB24+DB25+DB27+DB28+DB29+DB30+DB31+DB32+DB33)/T2),0)</f>
        <v/>
      </c>
      <c r="DL33" s="5">
        <f>IFERROR(ROUND(DB33/DD33,2),0)</f>
        <v/>
      </c>
      <c r="DM33" s="5">
        <f>IFERROR(ROUND(DB33/DE33,2),0)</f>
        <v/>
      </c>
      <c r="DN33" s="2" t="inlineStr">
        <is>
          <t>2023-10-10</t>
        </is>
      </c>
      <c r="DO33" s="5">
        <f>ROUND(0.0,2)</f>
        <v/>
      </c>
      <c r="DP33" s="3">
        <f>ROUND(0.0,2)</f>
        <v/>
      </c>
      <c r="DQ33" s="3">
        <f>ROUND(0.0,2)</f>
        <v/>
      </c>
      <c r="DR33" s="3">
        <f>ROUND(0.0,2)</f>
        <v/>
      </c>
      <c r="DS33" s="3">
        <f>ROUND(0.0,2)</f>
        <v/>
      </c>
      <c r="DT33" s="3">
        <f>ROUND(0.0,2)</f>
        <v/>
      </c>
      <c r="DU33" s="3">
        <f>ROUND(0.0,2)</f>
        <v/>
      </c>
      <c r="DV33" s="3">
        <f>ROUND(0.0,2)</f>
        <v/>
      </c>
      <c r="DW33" s="4">
        <f>IFERROR((DQ33/DP33),0)</f>
        <v/>
      </c>
      <c r="DX33" s="4">
        <f>IFERROR(((0+DO11+DO12+DO13+DO14+DO15+DO16+DO17+DO19+DO20+DO21+DO22+DO23+DO24+DO25+DO27+DO28+DO29+DO30+DO31+DO32+DO33)/T2),0)</f>
        <v/>
      </c>
      <c r="DY33" s="5">
        <f>IFERROR(ROUND(DO33/DQ33,2),0)</f>
        <v/>
      </c>
      <c r="DZ33" s="5">
        <f>IFERROR(ROUND(DO33/DR33,2),0)</f>
        <v/>
      </c>
      <c r="EA33" s="2" t="inlineStr">
        <is>
          <t>2023-10-10</t>
        </is>
      </c>
      <c r="EB33" s="5">
        <f>ROUND(0.0,2)</f>
        <v/>
      </c>
      <c r="EC33" s="3">
        <f>ROUND(0.0,2)</f>
        <v/>
      </c>
      <c r="ED33" s="3">
        <f>ROUND(0.0,2)</f>
        <v/>
      </c>
      <c r="EE33" s="3">
        <f>ROUND(0.0,2)</f>
        <v/>
      </c>
      <c r="EF33" s="3">
        <f>ROUND(0.0,2)</f>
        <v/>
      </c>
      <c r="EG33" s="3">
        <f>ROUND(0.0,2)</f>
        <v/>
      </c>
      <c r="EH33" s="3">
        <f>ROUND(0.0,2)</f>
        <v/>
      </c>
      <c r="EI33" s="3">
        <f>ROUND(0.0,2)</f>
        <v/>
      </c>
      <c r="EJ33" s="4">
        <f>IFERROR((ED33/EC33),0)</f>
        <v/>
      </c>
      <c r="EK33" s="4">
        <f>IFERROR(((0+EB11+EB12+EB13+EB14+EB15+EB16+EB17+EB19+EB20+EB21+EB22+EB23+EB24+EB25+EB27+EB28+EB29+EB30+EB31+EB32+EB33)/T2),0)</f>
        <v/>
      </c>
      <c r="EL33" s="5">
        <f>IFERROR(ROUND(EB33/ED33,2),0)</f>
        <v/>
      </c>
      <c r="EM33" s="5">
        <f>IFERROR(ROUND(EB33/EE33,2),0)</f>
        <v/>
      </c>
    </row>
    <row r="34">
      <c r="A34" s="2" t="inlineStr">
        <is>
          <t>3 Weekly Total</t>
        </is>
      </c>
      <c r="B34" s="5">
        <f>ROUND(0.0,2)</f>
        <v/>
      </c>
      <c r="C34" s="3">
        <f>ROUND(0.0,2)</f>
        <v/>
      </c>
      <c r="D34" s="3">
        <f>ROUND(0.0,2)</f>
        <v/>
      </c>
      <c r="E34" s="3">
        <f>ROUND(0.0,2)</f>
        <v/>
      </c>
      <c r="F34" s="3">
        <f>ROUND(0.0,2)</f>
        <v/>
      </c>
      <c r="G34" s="3">
        <f>ROUND(0.0,2)</f>
        <v/>
      </c>
      <c r="H34" s="3">
        <f>ROUND(0.0,2)</f>
        <v/>
      </c>
      <c r="I34" s="3">
        <f>ROUND(0.0,2)</f>
        <v/>
      </c>
      <c r="J34" s="4">
        <f>IFERROR((D34/C34),0)</f>
        <v/>
      </c>
      <c r="K34" s="4">
        <f>IFERROR(((0+B11+B12+B13+B14+B15+B16+B17+B19+B20+B21+B22+B23+B24+B25+B27+B28+B29+B30+B31+B32+B33)/T2),0)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3 Weekly Total</t>
        </is>
      </c>
      <c r="O34" s="5">
        <f>ROUND(0.0,2)</f>
        <v/>
      </c>
      <c r="P34" s="3">
        <f>ROUND(0.0,2)</f>
        <v/>
      </c>
      <c r="Q34" s="3">
        <f>ROUND(0.0,2)</f>
        <v/>
      </c>
      <c r="R34" s="3">
        <f>ROUND(0.0,2)</f>
        <v/>
      </c>
      <c r="S34" s="3">
        <f>ROUND(0.0,2)</f>
        <v/>
      </c>
      <c r="T34" s="3">
        <f>ROUND(0.0,2)</f>
        <v/>
      </c>
      <c r="U34" s="3">
        <f>ROUND(0.0,2)</f>
        <v/>
      </c>
      <c r="V34" s="3">
        <f>ROUND(0.0,2)</f>
        <v/>
      </c>
      <c r="W34" s="4">
        <f>IFERROR((Q34/P34),0)</f>
        <v/>
      </c>
      <c r="X34" s="4">
        <f>IFERROR(((0+O11+O12+O13+O14+O15+O16+O17+O19+O20+O21+O22+O23+O24+O25+O27+O28+O29+O30+O31+O32+O33)/T2),0)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3 Weekly Total</t>
        </is>
      </c>
      <c r="AB34" s="5">
        <f>ROUND(0.0,2)</f>
        <v/>
      </c>
      <c r="AC34" s="3">
        <f>ROUND(0.0,2)</f>
        <v/>
      </c>
      <c r="AD34" s="3">
        <f>ROUND(0.0,2)</f>
        <v/>
      </c>
      <c r="AE34" s="3">
        <f>ROUND(0.0,2)</f>
        <v/>
      </c>
      <c r="AF34" s="3">
        <f>ROUND(0.0,2)</f>
        <v/>
      </c>
      <c r="AG34" s="3">
        <f>ROUND(0.0,2)</f>
        <v/>
      </c>
      <c r="AH34" s="3">
        <f>ROUND(0.0,2)</f>
        <v/>
      </c>
      <c r="AI34" s="3">
        <f>ROUND(0.0,2)</f>
        <v/>
      </c>
      <c r="AJ34" s="4">
        <f>IFERROR((AD34/AC34),0)</f>
        <v/>
      </c>
      <c r="AK34" s="4">
        <f>IFERROR(((0+AB11+AB12+AB13+AB14+AB15+AB16+AB17+AB19+AB20+AB21+AB22+AB23+AB24+AB25+AB27+AB28+AB29+AB30+AB31+AB32+AB33)/T2),0)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3 Weekly Total</t>
        </is>
      </c>
      <c r="AO34" s="5">
        <f>ROUND(0.0,2)</f>
        <v/>
      </c>
      <c r="AP34" s="3">
        <f>ROUND(0.0,2)</f>
        <v/>
      </c>
      <c r="AQ34" s="3">
        <f>ROUND(0.0,2)</f>
        <v/>
      </c>
      <c r="AR34" s="3">
        <f>ROUND(0.0,2)</f>
        <v/>
      </c>
      <c r="AS34" s="3">
        <f>ROUND(0.0,2)</f>
        <v/>
      </c>
      <c r="AT34" s="3">
        <f>ROUND(0.0,2)</f>
        <v/>
      </c>
      <c r="AU34" s="3">
        <f>ROUND(0.0,2)</f>
        <v/>
      </c>
      <c r="AV34" s="3">
        <f>ROUND(0.0,2)</f>
        <v/>
      </c>
      <c r="AW34" s="4">
        <f>IFERROR((AQ34/AP34),0)</f>
        <v/>
      </c>
      <c r="AX34" s="4">
        <f>IFERROR(((0+AO11+AO12+AO13+AO14+AO15+AO16+AO17+AO19+AO20+AO21+AO22+AO23+AO24+AO25+AO27+AO28+AO29+AO30+AO31+AO32+AO33)/T2),0)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3 Weekly Total</t>
        </is>
      </c>
      <c r="BB34" s="5">
        <f>ROUND(0.0,2)</f>
        <v/>
      </c>
      <c r="BC34" s="3">
        <f>ROUND(0.0,2)</f>
        <v/>
      </c>
      <c r="BD34" s="3">
        <f>ROUND(0.0,2)</f>
        <v/>
      </c>
      <c r="BE34" s="3">
        <f>ROUND(0.0,2)</f>
        <v/>
      </c>
      <c r="BF34" s="3">
        <f>ROUND(0.0,2)</f>
        <v/>
      </c>
      <c r="BG34" s="3">
        <f>ROUND(0.0,2)</f>
        <v/>
      </c>
      <c r="BH34" s="3">
        <f>ROUND(0.0,2)</f>
        <v/>
      </c>
      <c r="BI34" s="3">
        <f>ROUND(0.0,2)</f>
        <v/>
      </c>
      <c r="BJ34" s="4">
        <f>IFERROR((BD34/BC34),0)</f>
        <v/>
      </c>
      <c r="BK34" s="4">
        <f>IFERROR(((0+BB11+BB12+BB13+BB14+BB15+BB16+BB17+BB19+BB20+BB21+BB22+BB23+BB24+BB25+BB27+BB28+BB29+BB30+BB31+BB32+BB33)/T2),0)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3 Weekly Total</t>
        </is>
      </c>
      <c r="BO34" s="5">
        <f>ROUND(0.0,2)</f>
        <v/>
      </c>
      <c r="BP34" s="3">
        <f>ROUND(0.0,2)</f>
        <v/>
      </c>
      <c r="BQ34" s="3">
        <f>ROUND(0.0,2)</f>
        <v/>
      </c>
      <c r="BR34" s="3">
        <f>ROUND(0.0,2)</f>
        <v/>
      </c>
      <c r="BS34" s="3">
        <f>ROUND(0.0,2)</f>
        <v/>
      </c>
      <c r="BT34" s="3">
        <f>ROUND(0.0,2)</f>
        <v/>
      </c>
      <c r="BU34" s="3">
        <f>ROUND(0.0,2)</f>
        <v/>
      </c>
      <c r="BV34" s="3">
        <f>ROUND(0.0,2)</f>
        <v/>
      </c>
      <c r="BW34" s="4">
        <f>IFERROR((BQ34/BP34),0)</f>
        <v/>
      </c>
      <c r="BX34" s="4">
        <f>IFERROR(((0+BO11+BO12+BO13+BO14+BO15+BO16+BO17+BO19+BO20+BO21+BO22+BO23+BO24+BO25+BO27+BO28+BO29+BO30+BO31+BO32+BO33)/T2),0)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3 Weekly Total</t>
        </is>
      </c>
      <c r="CB34" s="5">
        <f>ROUND(0.0,2)</f>
        <v/>
      </c>
      <c r="CC34" s="3">
        <f>ROUND(0.0,2)</f>
        <v/>
      </c>
      <c r="CD34" s="3">
        <f>ROUND(0.0,2)</f>
        <v/>
      </c>
      <c r="CE34" s="3">
        <f>ROUND(0.0,2)</f>
        <v/>
      </c>
      <c r="CF34" s="3">
        <f>ROUND(0.0,2)</f>
        <v/>
      </c>
      <c r="CG34" s="3">
        <f>ROUND(0.0,2)</f>
        <v/>
      </c>
      <c r="CH34" s="3">
        <f>ROUND(0.0,2)</f>
        <v/>
      </c>
      <c r="CI34" s="3">
        <f>ROUND(0.0,2)</f>
        <v/>
      </c>
      <c r="CJ34" s="4">
        <f>IFERROR((CD34/CC34),0)</f>
        <v/>
      </c>
      <c r="CK34" s="4">
        <f>IFERROR(((0+CB11+CB12+CB13+CB14+CB15+CB16+CB17+CB19+CB20+CB21+CB22+CB23+CB24+CB25+CB27+CB28+CB29+CB30+CB31+CB32+CB33)/T2),0)</f>
        <v/>
      </c>
      <c r="CL34" s="5">
        <f>IFERROR(ROUND(CB34/CD34,2),0)</f>
        <v/>
      </c>
      <c r="CM34" s="5">
        <f>IFERROR(ROUND(CB34/CE34,2),0)</f>
        <v/>
      </c>
      <c r="CN34" s="2" t="inlineStr">
        <is>
          <t>3 Weekly Total</t>
        </is>
      </c>
      <c r="CO34" s="5">
        <f>ROUND(0.0,2)</f>
        <v/>
      </c>
      <c r="CP34" s="3">
        <f>ROUND(0.0,2)</f>
        <v/>
      </c>
      <c r="CQ34" s="3">
        <f>ROUND(0.0,2)</f>
        <v/>
      </c>
      <c r="CR34" s="3">
        <f>ROUND(0.0,2)</f>
        <v/>
      </c>
      <c r="CS34" s="3">
        <f>ROUND(0.0,2)</f>
        <v/>
      </c>
      <c r="CT34" s="3">
        <f>ROUND(0.0,2)</f>
        <v/>
      </c>
      <c r="CU34" s="3">
        <f>ROUND(0.0,2)</f>
        <v/>
      </c>
      <c r="CV34" s="3">
        <f>ROUND(0.0,2)</f>
        <v/>
      </c>
      <c r="CW34" s="4">
        <f>IFERROR((CQ34/CP34),0)</f>
        <v/>
      </c>
      <c r="CX34" s="4">
        <f>IFERROR(((0+CO11+CO12+CO13+CO14+CO15+CO16+CO17+CO19+CO20+CO21+CO22+CO23+CO24+CO25+CO27+CO28+CO29+CO30+CO31+CO32+CO33)/T2),0)</f>
        <v/>
      </c>
      <c r="CY34" s="5">
        <f>IFERROR(ROUND(CO34/CQ34,2),0)</f>
        <v/>
      </c>
      <c r="CZ34" s="5">
        <f>IFERROR(ROUND(CO34/CR34,2),0)</f>
        <v/>
      </c>
      <c r="DA34" s="2" t="inlineStr">
        <is>
          <t>3 Weekly Total</t>
        </is>
      </c>
      <c r="DB34" s="5">
        <f>ROUND(0.0,2)</f>
        <v/>
      </c>
      <c r="DC34" s="3">
        <f>ROUND(0.0,2)</f>
        <v/>
      </c>
      <c r="DD34" s="3">
        <f>ROUND(0.0,2)</f>
        <v/>
      </c>
      <c r="DE34" s="3">
        <f>ROUND(0.0,2)</f>
        <v/>
      </c>
      <c r="DF34" s="3">
        <f>ROUND(0.0,2)</f>
        <v/>
      </c>
      <c r="DG34" s="3">
        <f>ROUND(0.0,2)</f>
        <v/>
      </c>
      <c r="DH34" s="3">
        <f>ROUND(0.0,2)</f>
        <v/>
      </c>
      <c r="DI34" s="3">
        <f>ROUND(0.0,2)</f>
        <v/>
      </c>
      <c r="DJ34" s="4">
        <f>IFERROR((DD34/DC34),0)</f>
        <v/>
      </c>
      <c r="DK34" s="4">
        <f>IFERROR(((0+DB11+DB12+DB13+DB14+DB15+DB16+DB17+DB19+DB20+DB21+DB22+DB23+DB24+DB25+DB27+DB28+DB29+DB30+DB31+DB32+DB33)/T2),0)</f>
        <v/>
      </c>
      <c r="DL34" s="5">
        <f>IFERROR(ROUND(DB34/DD34,2),0)</f>
        <v/>
      </c>
      <c r="DM34" s="5">
        <f>IFERROR(ROUND(DB34/DE34,2),0)</f>
        <v/>
      </c>
      <c r="DN34" s="2" t="inlineStr">
        <is>
          <t>3 Weekly Total</t>
        </is>
      </c>
      <c r="DO34" s="5">
        <f>ROUND(0.0,2)</f>
        <v/>
      </c>
      <c r="DP34" s="3">
        <f>ROUND(0.0,2)</f>
        <v/>
      </c>
      <c r="DQ34" s="3">
        <f>ROUND(0.0,2)</f>
        <v/>
      </c>
      <c r="DR34" s="3">
        <f>ROUND(0.0,2)</f>
        <v/>
      </c>
      <c r="DS34" s="3">
        <f>ROUND(0.0,2)</f>
        <v/>
      </c>
      <c r="DT34" s="3">
        <f>ROUND(0.0,2)</f>
        <v/>
      </c>
      <c r="DU34" s="3">
        <f>ROUND(0.0,2)</f>
        <v/>
      </c>
      <c r="DV34" s="3">
        <f>ROUND(0.0,2)</f>
        <v/>
      </c>
      <c r="DW34" s="4">
        <f>IFERROR((DQ34/DP34),0)</f>
        <v/>
      </c>
      <c r="DX34" s="4">
        <f>IFERROR(((0+DO11+DO12+DO13+DO14+DO15+DO16+DO17+DO19+DO20+DO21+DO22+DO23+DO24+DO25+DO27+DO28+DO29+DO30+DO31+DO32+DO33)/T2),0)</f>
        <v/>
      </c>
      <c r="DY34" s="5">
        <f>IFERROR(ROUND(DO34/DQ34,2),0)</f>
        <v/>
      </c>
      <c r="DZ34" s="5">
        <f>IFERROR(ROUND(DO34/DR34,2),0)</f>
        <v/>
      </c>
      <c r="EA34" s="2" t="inlineStr">
        <is>
          <t>3 Weekly Total</t>
        </is>
      </c>
      <c r="EB34" s="5">
        <f>ROUND(0.0,2)</f>
        <v/>
      </c>
      <c r="EC34" s="3">
        <f>ROUND(0.0,2)</f>
        <v/>
      </c>
      <c r="ED34" s="3">
        <f>ROUND(0.0,2)</f>
        <v/>
      </c>
      <c r="EE34" s="3">
        <f>ROUND(0.0,2)</f>
        <v/>
      </c>
      <c r="EF34" s="3">
        <f>ROUND(0.0,2)</f>
        <v/>
      </c>
      <c r="EG34" s="3">
        <f>ROUND(0.0,2)</f>
        <v/>
      </c>
      <c r="EH34" s="3">
        <f>ROUND(0.0,2)</f>
        <v/>
      </c>
      <c r="EI34" s="3">
        <f>ROUND(0.0,2)</f>
        <v/>
      </c>
      <c r="EJ34" s="4">
        <f>IFERROR((ED34/EC34),0)</f>
        <v/>
      </c>
      <c r="EK34" s="4">
        <f>IFERROR(((0+EB11+EB12+EB13+EB14+EB15+EB16+EB17+EB19+EB20+EB21+EB22+EB23+EB24+EB25+EB27+EB28+EB29+EB30+EB31+EB32+EB33)/T2),0)</f>
        <v/>
      </c>
      <c r="EL34" s="5">
        <f>IFERROR(ROUND(EB34/ED34,2),0)</f>
        <v/>
      </c>
      <c r="EM34" s="5">
        <f>IFERROR(ROUND(EB34/EE34,2),0)</f>
        <v/>
      </c>
    </row>
    <row r="35">
      <c r="A35" s="2" t="inlineStr">
        <is>
          <t>2023-10-11</t>
        </is>
      </c>
      <c r="B35" s="5">
        <f>ROUND(0.0,2)</f>
        <v/>
      </c>
      <c r="C35" s="3">
        <f>ROUND(0.0,2)</f>
        <v/>
      </c>
      <c r="D35" s="3">
        <f>ROUND(0.0,2)</f>
        <v/>
      </c>
      <c r="E35" s="3">
        <f>ROUND(0.0,2)</f>
        <v/>
      </c>
      <c r="F35" s="3">
        <f>ROUND(0.0,2)</f>
        <v/>
      </c>
      <c r="G35" s="3">
        <f>ROUND(0.0,2)</f>
        <v/>
      </c>
      <c r="H35" s="3">
        <f>ROUND(0.0,2)</f>
        <v/>
      </c>
      <c r="I35" s="3">
        <f>ROUND(0.0,2)</f>
        <v/>
      </c>
      <c r="J35" s="4">
        <f>IFERROR((D35/C35),0)</f>
        <v/>
      </c>
      <c r="K35" s="4">
        <f>IFERROR(((0+B11+B12+B13+B14+B15+B16+B17+B19+B20+B21+B22+B23+B24+B25+B27+B28+B29+B30+B31+B32+B33+B35)/T2),0)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2023-10-11</t>
        </is>
      </c>
      <c r="O35" s="5">
        <f>ROUND(0.0,2)</f>
        <v/>
      </c>
      <c r="P35" s="3">
        <f>ROUND(0.0,2)</f>
        <v/>
      </c>
      <c r="Q35" s="3">
        <f>ROUND(0.0,2)</f>
        <v/>
      </c>
      <c r="R35" s="3">
        <f>ROUND(0.0,2)</f>
        <v/>
      </c>
      <c r="S35" s="3">
        <f>ROUND(0.0,2)</f>
        <v/>
      </c>
      <c r="T35" s="3">
        <f>ROUND(0.0,2)</f>
        <v/>
      </c>
      <c r="U35" s="3">
        <f>ROUND(0.0,2)</f>
        <v/>
      </c>
      <c r="V35" s="3">
        <f>ROUND(0.0,2)</f>
        <v/>
      </c>
      <c r="W35" s="4">
        <f>IFERROR((Q35/P35),0)</f>
        <v/>
      </c>
      <c r="X35" s="4">
        <f>IFERROR(((0+O11+O12+O13+O14+O15+O16+O17+O19+O20+O21+O22+O23+O24+O25+O27+O28+O29+O30+O31+O32+O33+O35)/T2),0)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2023-10-11</t>
        </is>
      </c>
      <c r="AB35" s="5">
        <f>ROUND(0.0,2)</f>
        <v/>
      </c>
      <c r="AC35" s="3">
        <f>ROUND(0.0,2)</f>
        <v/>
      </c>
      <c r="AD35" s="3">
        <f>ROUND(0.0,2)</f>
        <v/>
      </c>
      <c r="AE35" s="3">
        <f>ROUND(0.0,2)</f>
        <v/>
      </c>
      <c r="AF35" s="3">
        <f>ROUND(0.0,2)</f>
        <v/>
      </c>
      <c r="AG35" s="3">
        <f>ROUND(0.0,2)</f>
        <v/>
      </c>
      <c r="AH35" s="3">
        <f>ROUND(0.0,2)</f>
        <v/>
      </c>
      <c r="AI35" s="3">
        <f>ROUND(0.0,2)</f>
        <v/>
      </c>
      <c r="AJ35" s="4">
        <f>IFERROR((AD35/AC35),0)</f>
        <v/>
      </c>
      <c r="AK35" s="4">
        <f>IFERROR(((0+AB11+AB12+AB13+AB14+AB15+AB16+AB17+AB19+AB20+AB21+AB22+AB23+AB24+AB25+AB27+AB28+AB29+AB30+AB31+AB32+AB33+AB35)/T2),0)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2023-10-11</t>
        </is>
      </c>
      <c r="AO35" s="5">
        <f>ROUND(0.0,2)</f>
        <v/>
      </c>
      <c r="AP35" s="3">
        <f>ROUND(0.0,2)</f>
        <v/>
      </c>
      <c r="AQ35" s="3">
        <f>ROUND(0.0,2)</f>
        <v/>
      </c>
      <c r="AR35" s="3">
        <f>ROUND(0.0,2)</f>
        <v/>
      </c>
      <c r="AS35" s="3">
        <f>ROUND(0.0,2)</f>
        <v/>
      </c>
      <c r="AT35" s="3">
        <f>ROUND(0.0,2)</f>
        <v/>
      </c>
      <c r="AU35" s="3">
        <f>ROUND(0.0,2)</f>
        <v/>
      </c>
      <c r="AV35" s="3">
        <f>ROUND(0.0,2)</f>
        <v/>
      </c>
      <c r="AW35" s="4">
        <f>IFERROR((AQ35/AP35),0)</f>
        <v/>
      </c>
      <c r="AX35" s="4">
        <f>IFERROR(((0+AO11+AO12+AO13+AO14+AO15+AO16+AO17+AO19+AO20+AO21+AO22+AO23+AO24+AO25+AO27+AO28+AO29+AO30+AO31+AO32+AO33+AO35)/T2),0)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2023-10-11</t>
        </is>
      </c>
      <c r="BB35" s="5">
        <f>ROUND(0.0,2)</f>
        <v/>
      </c>
      <c r="BC35" s="3">
        <f>ROUND(0.0,2)</f>
        <v/>
      </c>
      <c r="BD35" s="3">
        <f>ROUND(0.0,2)</f>
        <v/>
      </c>
      <c r="BE35" s="3">
        <f>ROUND(0.0,2)</f>
        <v/>
      </c>
      <c r="BF35" s="3">
        <f>ROUND(0.0,2)</f>
        <v/>
      </c>
      <c r="BG35" s="3">
        <f>ROUND(0.0,2)</f>
        <v/>
      </c>
      <c r="BH35" s="3">
        <f>ROUND(0.0,2)</f>
        <v/>
      </c>
      <c r="BI35" s="3">
        <f>ROUND(0.0,2)</f>
        <v/>
      </c>
      <c r="BJ35" s="4">
        <f>IFERROR((BD35/BC35),0)</f>
        <v/>
      </c>
      <c r="BK35" s="4">
        <f>IFERROR(((0+BB11+BB12+BB13+BB14+BB15+BB16+BB17+BB19+BB20+BB21+BB22+BB23+BB24+BB25+BB27+BB28+BB29+BB30+BB31+BB32+BB33+BB35)/T2),0)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2023-10-11</t>
        </is>
      </c>
      <c r="BO35" s="5">
        <f>ROUND(0.0,2)</f>
        <v/>
      </c>
      <c r="BP35" s="3">
        <f>ROUND(0.0,2)</f>
        <v/>
      </c>
      <c r="BQ35" s="3">
        <f>ROUND(0.0,2)</f>
        <v/>
      </c>
      <c r="BR35" s="3">
        <f>ROUND(0.0,2)</f>
        <v/>
      </c>
      <c r="BS35" s="3">
        <f>ROUND(0.0,2)</f>
        <v/>
      </c>
      <c r="BT35" s="3">
        <f>ROUND(0.0,2)</f>
        <v/>
      </c>
      <c r="BU35" s="3">
        <f>ROUND(0.0,2)</f>
        <v/>
      </c>
      <c r="BV35" s="3">
        <f>ROUND(0.0,2)</f>
        <v/>
      </c>
      <c r="BW35" s="4">
        <f>IFERROR((BQ35/BP35),0)</f>
        <v/>
      </c>
      <c r="BX35" s="4">
        <f>IFERROR(((0+BO11+BO12+BO13+BO14+BO15+BO16+BO17+BO19+BO20+BO21+BO22+BO23+BO24+BO25+BO27+BO28+BO29+BO30+BO31+BO32+BO33+BO35)/T2),0)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2023-10-11</t>
        </is>
      </c>
      <c r="CB35" s="5">
        <f>ROUND(0.0,2)</f>
        <v/>
      </c>
      <c r="CC35" s="3">
        <f>ROUND(0.0,2)</f>
        <v/>
      </c>
      <c r="CD35" s="3">
        <f>ROUND(0.0,2)</f>
        <v/>
      </c>
      <c r="CE35" s="3">
        <f>ROUND(0.0,2)</f>
        <v/>
      </c>
      <c r="CF35" s="3">
        <f>ROUND(0.0,2)</f>
        <v/>
      </c>
      <c r="CG35" s="3">
        <f>ROUND(0.0,2)</f>
        <v/>
      </c>
      <c r="CH35" s="3">
        <f>ROUND(0.0,2)</f>
        <v/>
      </c>
      <c r="CI35" s="3">
        <f>ROUND(0.0,2)</f>
        <v/>
      </c>
      <c r="CJ35" s="4">
        <f>IFERROR((CD35/CC35),0)</f>
        <v/>
      </c>
      <c r="CK35" s="4">
        <f>IFERROR(((0+CB11+CB12+CB13+CB14+CB15+CB16+CB17+CB19+CB20+CB21+CB22+CB23+CB24+CB25+CB27+CB28+CB29+CB30+CB31+CB32+CB33+CB35)/T2),0)</f>
        <v/>
      </c>
      <c r="CL35" s="5">
        <f>IFERROR(ROUND(CB35/CD35,2),0)</f>
        <v/>
      </c>
      <c r="CM35" s="5">
        <f>IFERROR(ROUND(CB35/CE35,2),0)</f>
        <v/>
      </c>
      <c r="CN35" s="2" t="inlineStr">
        <is>
          <t>2023-10-11</t>
        </is>
      </c>
      <c r="CO35" s="5">
        <f>ROUND(0.0,2)</f>
        <v/>
      </c>
      <c r="CP35" s="3">
        <f>ROUND(0.0,2)</f>
        <v/>
      </c>
      <c r="CQ35" s="3">
        <f>ROUND(0.0,2)</f>
        <v/>
      </c>
      <c r="CR35" s="3">
        <f>ROUND(0.0,2)</f>
        <v/>
      </c>
      <c r="CS35" s="3">
        <f>ROUND(0.0,2)</f>
        <v/>
      </c>
      <c r="CT35" s="3">
        <f>ROUND(0.0,2)</f>
        <v/>
      </c>
      <c r="CU35" s="3">
        <f>ROUND(0.0,2)</f>
        <v/>
      </c>
      <c r="CV35" s="3">
        <f>ROUND(0.0,2)</f>
        <v/>
      </c>
      <c r="CW35" s="4">
        <f>IFERROR((CQ35/CP35),0)</f>
        <v/>
      </c>
      <c r="CX35" s="4">
        <f>IFERROR(((0+CO11+CO12+CO13+CO14+CO15+CO16+CO17+CO19+CO20+CO21+CO22+CO23+CO24+CO25+CO27+CO28+CO29+CO30+CO31+CO32+CO33+CO35)/T2),0)</f>
        <v/>
      </c>
      <c r="CY35" s="5">
        <f>IFERROR(ROUND(CO35/CQ35,2),0)</f>
        <v/>
      </c>
      <c r="CZ35" s="5">
        <f>IFERROR(ROUND(CO35/CR35,2),0)</f>
        <v/>
      </c>
      <c r="DA35" s="2" t="inlineStr">
        <is>
          <t>2023-10-11</t>
        </is>
      </c>
      <c r="DB35" s="5">
        <f>ROUND(0.0,2)</f>
        <v/>
      </c>
      <c r="DC35" s="3">
        <f>ROUND(0.0,2)</f>
        <v/>
      </c>
      <c r="DD35" s="3">
        <f>ROUND(0.0,2)</f>
        <v/>
      </c>
      <c r="DE35" s="3">
        <f>ROUND(0.0,2)</f>
        <v/>
      </c>
      <c r="DF35" s="3">
        <f>ROUND(0.0,2)</f>
        <v/>
      </c>
      <c r="DG35" s="3">
        <f>ROUND(0.0,2)</f>
        <v/>
      </c>
      <c r="DH35" s="3">
        <f>ROUND(0.0,2)</f>
        <v/>
      </c>
      <c r="DI35" s="3">
        <f>ROUND(0.0,2)</f>
        <v/>
      </c>
      <c r="DJ35" s="4">
        <f>IFERROR((DD35/DC35),0)</f>
        <v/>
      </c>
      <c r="DK35" s="4">
        <f>IFERROR(((0+DB11+DB12+DB13+DB14+DB15+DB16+DB17+DB19+DB20+DB21+DB22+DB23+DB24+DB25+DB27+DB28+DB29+DB30+DB31+DB32+DB33+DB35)/T2),0)</f>
        <v/>
      </c>
      <c r="DL35" s="5">
        <f>IFERROR(ROUND(DB35/DD35,2),0)</f>
        <v/>
      </c>
      <c r="DM35" s="5">
        <f>IFERROR(ROUND(DB35/DE35,2),0)</f>
        <v/>
      </c>
      <c r="DN35" s="2" t="inlineStr">
        <is>
          <t>2023-10-11</t>
        </is>
      </c>
      <c r="DO35" s="5">
        <f>ROUND(0.0,2)</f>
        <v/>
      </c>
      <c r="DP35" s="3">
        <f>ROUND(0.0,2)</f>
        <v/>
      </c>
      <c r="DQ35" s="3">
        <f>ROUND(0.0,2)</f>
        <v/>
      </c>
      <c r="DR35" s="3">
        <f>ROUND(0.0,2)</f>
        <v/>
      </c>
      <c r="DS35" s="3">
        <f>ROUND(0.0,2)</f>
        <v/>
      </c>
      <c r="DT35" s="3">
        <f>ROUND(0.0,2)</f>
        <v/>
      </c>
      <c r="DU35" s="3">
        <f>ROUND(0.0,2)</f>
        <v/>
      </c>
      <c r="DV35" s="3">
        <f>ROUND(0.0,2)</f>
        <v/>
      </c>
      <c r="DW35" s="4">
        <f>IFERROR((DQ35/DP35),0)</f>
        <v/>
      </c>
      <c r="DX35" s="4">
        <f>IFERROR(((0+DO11+DO12+DO13+DO14+DO15+DO16+DO17+DO19+DO20+DO21+DO22+DO23+DO24+DO25+DO27+DO28+DO29+DO30+DO31+DO32+DO33+DO35)/T2),0)</f>
        <v/>
      </c>
      <c r="DY35" s="5">
        <f>IFERROR(ROUND(DO35/DQ35,2),0)</f>
        <v/>
      </c>
      <c r="DZ35" s="5">
        <f>IFERROR(ROUND(DO35/DR35,2),0)</f>
        <v/>
      </c>
      <c r="EA35" s="2" t="inlineStr">
        <is>
          <t>2023-10-11</t>
        </is>
      </c>
      <c r="EB35" s="5">
        <f>ROUND(0.0,2)</f>
        <v/>
      </c>
      <c r="EC35" s="3">
        <f>ROUND(0.0,2)</f>
        <v/>
      </c>
      <c r="ED35" s="3">
        <f>ROUND(0.0,2)</f>
        <v/>
      </c>
      <c r="EE35" s="3">
        <f>ROUND(0.0,2)</f>
        <v/>
      </c>
      <c r="EF35" s="3">
        <f>ROUND(0.0,2)</f>
        <v/>
      </c>
      <c r="EG35" s="3">
        <f>ROUND(0.0,2)</f>
        <v/>
      </c>
      <c r="EH35" s="3">
        <f>ROUND(0.0,2)</f>
        <v/>
      </c>
      <c r="EI35" s="3">
        <f>ROUND(0.0,2)</f>
        <v/>
      </c>
      <c r="EJ35" s="4">
        <f>IFERROR((ED35/EC35),0)</f>
        <v/>
      </c>
      <c r="EK35" s="4">
        <f>IFERROR(((0+EB11+EB12+EB13+EB14+EB15+EB16+EB17+EB19+EB20+EB21+EB22+EB23+EB24+EB25+EB27+EB28+EB29+EB30+EB31+EB32+EB33+EB35)/T2),0)</f>
        <v/>
      </c>
      <c r="EL35" s="5">
        <f>IFERROR(ROUND(EB35/ED35,2),0)</f>
        <v/>
      </c>
      <c r="EM35" s="5">
        <f>IFERROR(ROUND(EB35/EE35,2),0)</f>
        <v/>
      </c>
    </row>
    <row r="36">
      <c r="A36" s="2" t="inlineStr">
        <is>
          <t>2023-10-12</t>
        </is>
      </c>
      <c r="B36" s="5">
        <f>ROUND(0.0,2)</f>
        <v/>
      </c>
      <c r="C36" s="3">
        <f>ROUND(0.0,2)</f>
        <v/>
      </c>
      <c r="D36" s="3">
        <f>ROUND(0.0,2)</f>
        <v/>
      </c>
      <c r="E36" s="3">
        <f>ROUND(0.0,2)</f>
        <v/>
      </c>
      <c r="F36" s="3">
        <f>ROUND(0.0,2)</f>
        <v/>
      </c>
      <c r="G36" s="3">
        <f>ROUND(0.0,2)</f>
        <v/>
      </c>
      <c r="H36" s="3">
        <f>ROUND(0.0,2)</f>
        <v/>
      </c>
      <c r="I36" s="3">
        <f>ROUND(0.0,2)</f>
        <v/>
      </c>
      <c r="J36" s="4">
        <f>IFERROR((D36/C36),0)</f>
        <v/>
      </c>
      <c r="K36" s="4">
        <f>IFERROR(((0+B11+B12+B13+B14+B15+B16+B17+B19+B20+B21+B22+B23+B24+B25+B27+B28+B29+B30+B31+B32+B33+B35+B36)/T2),0)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2023-10-12</t>
        </is>
      </c>
      <c r="O36" s="5">
        <f>ROUND(0.0,2)</f>
        <v/>
      </c>
      <c r="P36" s="3">
        <f>ROUND(0.0,2)</f>
        <v/>
      </c>
      <c r="Q36" s="3">
        <f>ROUND(0.0,2)</f>
        <v/>
      </c>
      <c r="R36" s="3">
        <f>ROUND(0.0,2)</f>
        <v/>
      </c>
      <c r="S36" s="3">
        <f>ROUND(0.0,2)</f>
        <v/>
      </c>
      <c r="T36" s="3">
        <f>ROUND(0.0,2)</f>
        <v/>
      </c>
      <c r="U36" s="3">
        <f>ROUND(0.0,2)</f>
        <v/>
      </c>
      <c r="V36" s="3">
        <f>ROUND(0.0,2)</f>
        <v/>
      </c>
      <c r="W36" s="4">
        <f>IFERROR((Q36/P36),0)</f>
        <v/>
      </c>
      <c r="X36" s="4">
        <f>IFERROR(((0+O11+O12+O13+O14+O15+O16+O17+O19+O20+O21+O22+O23+O24+O25+O27+O28+O29+O30+O31+O32+O33+O35+O36)/T2),0)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2023-10-12</t>
        </is>
      </c>
      <c r="AB36" s="5">
        <f>ROUND(0.0,2)</f>
        <v/>
      </c>
      <c r="AC36" s="3">
        <f>ROUND(0.0,2)</f>
        <v/>
      </c>
      <c r="AD36" s="3">
        <f>ROUND(0.0,2)</f>
        <v/>
      </c>
      <c r="AE36" s="3">
        <f>ROUND(0.0,2)</f>
        <v/>
      </c>
      <c r="AF36" s="3">
        <f>ROUND(0.0,2)</f>
        <v/>
      </c>
      <c r="AG36" s="3">
        <f>ROUND(0.0,2)</f>
        <v/>
      </c>
      <c r="AH36" s="3">
        <f>ROUND(0.0,2)</f>
        <v/>
      </c>
      <c r="AI36" s="3">
        <f>ROUND(0.0,2)</f>
        <v/>
      </c>
      <c r="AJ36" s="4">
        <f>IFERROR((AD36/AC36),0)</f>
        <v/>
      </c>
      <c r="AK36" s="4">
        <f>IFERROR(((0+AB11+AB12+AB13+AB14+AB15+AB16+AB17+AB19+AB20+AB21+AB22+AB23+AB24+AB25+AB27+AB28+AB29+AB30+AB31+AB32+AB33+AB35+AB36)/T2),0)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2023-10-12</t>
        </is>
      </c>
      <c r="AO36" s="5">
        <f>ROUND(0.0,2)</f>
        <v/>
      </c>
      <c r="AP36" s="3">
        <f>ROUND(0.0,2)</f>
        <v/>
      </c>
      <c r="AQ36" s="3">
        <f>ROUND(0.0,2)</f>
        <v/>
      </c>
      <c r="AR36" s="3">
        <f>ROUND(0.0,2)</f>
        <v/>
      </c>
      <c r="AS36" s="3">
        <f>ROUND(0.0,2)</f>
        <v/>
      </c>
      <c r="AT36" s="3">
        <f>ROUND(0.0,2)</f>
        <v/>
      </c>
      <c r="AU36" s="3">
        <f>ROUND(0.0,2)</f>
        <v/>
      </c>
      <c r="AV36" s="3">
        <f>ROUND(0.0,2)</f>
        <v/>
      </c>
      <c r="AW36" s="4">
        <f>IFERROR((AQ36/AP36),0)</f>
        <v/>
      </c>
      <c r="AX36" s="4">
        <f>IFERROR(((0+AO11+AO12+AO13+AO14+AO15+AO16+AO17+AO19+AO20+AO21+AO22+AO23+AO24+AO25+AO27+AO28+AO29+AO30+AO31+AO32+AO33+AO35+AO36)/T2),0)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2023-10-12</t>
        </is>
      </c>
      <c r="BB36" s="5">
        <f>ROUND(0.0,2)</f>
        <v/>
      </c>
      <c r="BC36" s="3">
        <f>ROUND(0.0,2)</f>
        <v/>
      </c>
      <c r="BD36" s="3">
        <f>ROUND(0.0,2)</f>
        <v/>
      </c>
      <c r="BE36" s="3">
        <f>ROUND(0.0,2)</f>
        <v/>
      </c>
      <c r="BF36" s="3">
        <f>ROUND(0.0,2)</f>
        <v/>
      </c>
      <c r="BG36" s="3">
        <f>ROUND(0.0,2)</f>
        <v/>
      </c>
      <c r="BH36" s="3">
        <f>ROUND(0.0,2)</f>
        <v/>
      </c>
      <c r="BI36" s="3">
        <f>ROUND(0.0,2)</f>
        <v/>
      </c>
      <c r="BJ36" s="4">
        <f>IFERROR((BD36/BC36),0)</f>
        <v/>
      </c>
      <c r="BK36" s="4">
        <f>IFERROR(((0+BB11+BB12+BB13+BB14+BB15+BB16+BB17+BB19+BB20+BB21+BB22+BB23+BB24+BB25+BB27+BB28+BB29+BB30+BB31+BB32+BB33+BB35+BB36)/T2),0)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2023-10-12</t>
        </is>
      </c>
      <c r="BO36" s="5">
        <f>ROUND(0.0,2)</f>
        <v/>
      </c>
      <c r="BP36" s="3">
        <f>ROUND(0.0,2)</f>
        <v/>
      </c>
      <c r="BQ36" s="3">
        <f>ROUND(0.0,2)</f>
        <v/>
      </c>
      <c r="BR36" s="3">
        <f>ROUND(0.0,2)</f>
        <v/>
      </c>
      <c r="BS36" s="3">
        <f>ROUND(0.0,2)</f>
        <v/>
      </c>
      <c r="BT36" s="3">
        <f>ROUND(0.0,2)</f>
        <v/>
      </c>
      <c r="BU36" s="3">
        <f>ROUND(0.0,2)</f>
        <v/>
      </c>
      <c r="BV36" s="3">
        <f>ROUND(0.0,2)</f>
        <v/>
      </c>
      <c r="BW36" s="4">
        <f>IFERROR((BQ36/BP36),0)</f>
        <v/>
      </c>
      <c r="BX36" s="4">
        <f>IFERROR(((0+BO11+BO12+BO13+BO14+BO15+BO16+BO17+BO19+BO20+BO21+BO22+BO23+BO24+BO25+BO27+BO28+BO29+BO30+BO31+BO32+BO33+BO35+BO36)/T2),0)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2023-10-12</t>
        </is>
      </c>
      <c r="CB36" s="5">
        <f>ROUND(0.0,2)</f>
        <v/>
      </c>
      <c r="CC36" s="3">
        <f>ROUND(0.0,2)</f>
        <v/>
      </c>
      <c r="CD36" s="3">
        <f>ROUND(0.0,2)</f>
        <v/>
      </c>
      <c r="CE36" s="3">
        <f>ROUND(0.0,2)</f>
        <v/>
      </c>
      <c r="CF36" s="3">
        <f>ROUND(0.0,2)</f>
        <v/>
      </c>
      <c r="CG36" s="3">
        <f>ROUND(0.0,2)</f>
        <v/>
      </c>
      <c r="CH36" s="3">
        <f>ROUND(0.0,2)</f>
        <v/>
      </c>
      <c r="CI36" s="3">
        <f>ROUND(0.0,2)</f>
        <v/>
      </c>
      <c r="CJ36" s="4">
        <f>IFERROR((CD36/CC36),0)</f>
        <v/>
      </c>
      <c r="CK36" s="4">
        <f>IFERROR(((0+CB11+CB12+CB13+CB14+CB15+CB16+CB17+CB19+CB20+CB21+CB22+CB23+CB24+CB25+CB27+CB28+CB29+CB30+CB31+CB32+CB33+CB35+CB36)/T2),0)</f>
        <v/>
      </c>
      <c r="CL36" s="5">
        <f>IFERROR(ROUND(CB36/CD36,2),0)</f>
        <v/>
      </c>
      <c r="CM36" s="5">
        <f>IFERROR(ROUND(CB36/CE36,2),0)</f>
        <v/>
      </c>
      <c r="CN36" s="2" t="inlineStr">
        <is>
          <t>2023-10-12</t>
        </is>
      </c>
      <c r="CO36" s="5">
        <f>ROUND(0.0,2)</f>
        <v/>
      </c>
      <c r="CP36" s="3">
        <f>ROUND(0.0,2)</f>
        <v/>
      </c>
      <c r="CQ36" s="3">
        <f>ROUND(0.0,2)</f>
        <v/>
      </c>
      <c r="CR36" s="3">
        <f>ROUND(0.0,2)</f>
        <v/>
      </c>
      <c r="CS36" s="3">
        <f>ROUND(0.0,2)</f>
        <v/>
      </c>
      <c r="CT36" s="3">
        <f>ROUND(0.0,2)</f>
        <v/>
      </c>
      <c r="CU36" s="3">
        <f>ROUND(0.0,2)</f>
        <v/>
      </c>
      <c r="CV36" s="3">
        <f>ROUND(0.0,2)</f>
        <v/>
      </c>
      <c r="CW36" s="4">
        <f>IFERROR((CQ36/CP36),0)</f>
        <v/>
      </c>
      <c r="CX36" s="4">
        <f>IFERROR(((0+CO11+CO12+CO13+CO14+CO15+CO16+CO17+CO19+CO20+CO21+CO22+CO23+CO24+CO25+CO27+CO28+CO29+CO30+CO31+CO32+CO33+CO35+CO36)/T2),0)</f>
        <v/>
      </c>
      <c r="CY36" s="5">
        <f>IFERROR(ROUND(CO36/CQ36,2),0)</f>
        <v/>
      </c>
      <c r="CZ36" s="5">
        <f>IFERROR(ROUND(CO36/CR36,2),0)</f>
        <v/>
      </c>
      <c r="DA36" s="2" t="inlineStr">
        <is>
          <t>2023-10-12</t>
        </is>
      </c>
      <c r="DB36" s="5">
        <f>ROUND(0.0,2)</f>
        <v/>
      </c>
      <c r="DC36" s="3">
        <f>ROUND(0.0,2)</f>
        <v/>
      </c>
      <c r="DD36" s="3">
        <f>ROUND(0.0,2)</f>
        <v/>
      </c>
      <c r="DE36" s="3">
        <f>ROUND(0.0,2)</f>
        <v/>
      </c>
      <c r="DF36" s="3">
        <f>ROUND(0.0,2)</f>
        <v/>
      </c>
      <c r="DG36" s="3">
        <f>ROUND(0.0,2)</f>
        <v/>
      </c>
      <c r="DH36" s="3">
        <f>ROUND(0.0,2)</f>
        <v/>
      </c>
      <c r="DI36" s="3">
        <f>ROUND(0.0,2)</f>
        <v/>
      </c>
      <c r="DJ36" s="4">
        <f>IFERROR((DD36/DC36),0)</f>
        <v/>
      </c>
      <c r="DK36" s="4">
        <f>IFERROR(((0+DB11+DB12+DB13+DB14+DB15+DB16+DB17+DB19+DB20+DB21+DB22+DB23+DB24+DB25+DB27+DB28+DB29+DB30+DB31+DB32+DB33+DB35+DB36)/T2),0)</f>
        <v/>
      </c>
      <c r="DL36" s="5">
        <f>IFERROR(ROUND(DB36/DD36,2),0)</f>
        <v/>
      </c>
      <c r="DM36" s="5">
        <f>IFERROR(ROUND(DB36/DE36,2),0)</f>
        <v/>
      </c>
      <c r="DN36" s="2" t="inlineStr">
        <is>
          <t>2023-10-12</t>
        </is>
      </c>
      <c r="DO36" s="5">
        <f>ROUND(0.0,2)</f>
        <v/>
      </c>
      <c r="DP36" s="3">
        <f>ROUND(0.0,2)</f>
        <v/>
      </c>
      <c r="DQ36" s="3">
        <f>ROUND(0.0,2)</f>
        <v/>
      </c>
      <c r="DR36" s="3">
        <f>ROUND(0.0,2)</f>
        <v/>
      </c>
      <c r="DS36" s="3">
        <f>ROUND(0.0,2)</f>
        <v/>
      </c>
      <c r="DT36" s="3">
        <f>ROUND(0.0,2)</f>
        <v/>
      </c>
      <c r="DU36" s="3">
        <f>ROUND(0.0,2)</f>
        <v/>
      </c>
      <c r="DV36" s="3">
        <f>ROUND(0.0,2)</f>
        <v/>
      </c>
      <c r="DW36" s="4">
        <f>IFERROR((DQ36/DP36),0)</f>
        <v/>
      </c>
      <c r="DX36" s="4">
        <f>IFERROR(((0+DO11+DO12+DO13+DO14+DO15+DO16+DO17+DO19+DO20+DO21+DO22+DO23+DO24+DO25+DO27+DO28+DO29+DO30+DO31+DO32+DO33+DO35+DO36)/T2),0)</f>
        <v/>
      </c>
      <c r="DY36" s="5">
        <f>IFERROR(ROUND(DO36/DQ36,2),0)</f>
        <v/>
      </c>
      <c r="DZ36" s="5">
        <f>IFERROR(ROUND(DO36/DR36,2),0)</f>
        <v/>
      </c>
      <c r="EA36" s="2" t="inlineStr">
        <is>
          <t>2023-10-12</t>
        </is>
      </c>
      <c r="EB36" s="5">
        <f>ROUND(0.0,2)</f>
        <v/>
      </c>
      <c r="EC36" s="3">
        <f>ROUND(0.0,2)</f>
        <v/>
      </c>
      <c r="ED36" s="3">
        <f>ROUND(0.0,2)</f>
        <v/>
      </c>
      <c r="EE36" s="3">
        <f>ROUND(0.0,2)</f>
        <v/>
      </c>
      <c r="EF36" s="3">
        <f>ROUND(0.0,2)</f>
        <v/>
      </c>
      <c r="EG36" s="3">
        <f>ROUND(0.0,2)</f>
        <v/>
      </c>
      <c r="EH36" s="3">
        <f>ROUND(0.0,2)</f>
        <v/>
      </c>
      <c r="EI36" s="3">
        <f>ROUND(0.0,2)</f>
        <v/>
      </c>
      <c r="EJ36" s="4">
        <f>IFERROR((ED36/EC36),0)</f>
        <v/>
      </c>
      <c r="EK36" s="4">
        <f>IFERROR(((0+EB11+EB12+EB13+EB14+EB15+EB16+EB17+EB19+EB20+EB21+EB22+EB23+EB24+EB25+EB27+EB28+EB29+EB30+EB31+EB32+EB33+EB35+EB36)/T2),0)</f>
        <v/>
      </c>
      <c r="EL36" s="5">
        <f>IFERROR(ROUND(EB36/ED36,2),0)</f>
        <v/>
      </c>
      <c r="EM36" s="5">
        <f>IFERROR(ROUND(EB36/EE36,2),0)</f>
        <v/>
      </c>
    </row>
    <row r="37">
      <c r="A37" s="2" t="inlineStr">
        <is>
          <t>2023-10-13</t>
        </is>
      </c>
      <c r="B37" s="5">
        <f>ROUND(0.0,2)</f>
        <v/>
      </c>
      <c r="C37" s="3">
        <f>ROUND(0.0,2)</f>
        <v/>
      </c>
      <c r="D37" s="3">
        <f>ROUND(0.0,2)</f>
        <v/>
      </c>
      <c r="E37" s="3">
        <f>ROUND(0.0,2)</f>
        <v/>
      </c>
      <c r="F37" s="3">
        <f>ROUND(0.0,2)</f>
        <v/>
      </c>
      <c r="G37" s="3">
        <f>ROUND(0.0,2)</f>
        <v/>
      </c>
      <c r="H37" s="3">
        <f>ROUND(0.0,2)</f>
        <v/>
      </c>
      <c r="I37" s="3">
        <f>ROUND(0.0,2)</f>
        <v/>
      </c>
      <c r="J37" s="4">
        <f>IFERROR((D37/C37),0)</f>
        <v/>
      </c>
      <c r="K37" s="4">
        <f>IFERROR(((0+B11+B12+B13+B14+B15+B16+B17+B19+B20+B21+B22+B23+B24+B25+B27+B28+B29+B30+B31+B32+B33+B35+B36+B37)/T2),0)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2023-10-13</t>
        </is>
      </c>
      <c r="O37" s="5">
        <f>ROUND(0.0,2)</f>
        <v/>
      </c>
      <c r="P37" s="3">
        <f>ROUND(0.0,2)</f>
        <v/>
      </c>
      <c r="Q37" s="3">
        <f>ROUND(0.0,2)</f>
        <v/>
      </c>
      <c r="R37" s="3">
        <f>ROUND(0.0,2)</f>
        <v/>
      </c>
      <c r="S37" s="3">
        <f>ROUND(0.0,2)</f>
        <v/>
      </c>
      <c r="T37" s="3">
        <f>ROUND(0.0,2)</f>
        <v/>
      </c>
      <c r="U37" s="3">
        <f>ROUND(0.0,2)</f>
        <v/>
      </c>
      <c r="V37" s="3">
        <f>ROUND(0.0,2)</f>
        <v/>
      </c>
      <c r="W37" s="4">
        <f>IFERROR((Q37/P37),0)</f>
        <v/>
      </c>
      <c r="X37" s="4">
        <f>IFERROR(((0+O11+O12+O13+O14+O15+O16+O17+O19+O20+O21+O22+O23+O24+O25+O27+O28+O29+O30+O31+O32+O33+O35+O36+O37)/T2),0)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2023-10-13</t>
        </is>
      </c>
      <c r="AB37" s="5">
        <f>ROUND(0.0,2)</f>
        <v/>
      </c>
      <c r="AC37" s="3">
        <f>ROUND(0.0,2)</f>
        <v/>
      </c>
      <c r="AD37" s="3">
        <f>ROUND(0.0,2)</f>
        <v/>
      </c>
      <c r="AE37" s="3">
        <f>ROUND(0.0,2)</f>
        <v/>
      </c>
      <c r="AF37" s="3">
        <f>ROUND(0.0,2)</f>
        <v/>
      </c>
      <c r="AG37" s="3">
        <f>ROUND(0.0,2)</f>
        <v/>
      </c>
      <c r="AH37" s="3">
        <f>ROUND(0.0,2)</f>
        <v/>
      </c>
      <c r="AI37" s="3">
        <f>ROUND(0.0,2)</f>
        <v/>
      </c>
      <c r="AJ37" s="4">
        <f>IFERROR((AD37/AC37),0)</f>
        <v/>
      </c>
      <c r="AK37" s="4">
        <f>IFERROR(((0+AB11+AB12+AB13+AB14+AB15+AB16+AB17+AB19+AB20+AB21+AB22+AB23+AB24+AB25+AB27+AB28+AB29+AB30+AB31+AB32+AB33+AB35+AB36+AB37)/T2),0)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2023-10-13</t>
        </is>
      </c>
      <c r="AO37" s="5">
        <f>ROUND(0.0,2)</f>
        <v/>
      </c>
      <c r="AP37" s="3">
        <f>ROUND(0.0,2)</f>
        <v/>
      </c>
      <c r="AQ37" s="3">
        <f>ROUND(0.0,2)</f>
        <v/>
      </c>
      <c r="AR37" s="3">
        <f>ROUND(0.0,2)</f>
        <v/>
      </c>
      <c r="AS37" s="3">
        <f>ROUND(0.0,2)</f>
        <v/>
      </c>
      <c r="AT37" s="3">
        <f>ROUND(0.0,2)</f>
        <v/>
      </c>
      <c r="AU37" s="3">
        <f>ROUND(0.0,2)</f>
        <v/>
      </c>
      <c r="AV37" s="3">
        <f>ROUND(0.0,2)</f>
        <v/>
      </c>
      <c r="AW37" s="4">
        <f>IFERROR((AQ37/AP37),0)</f>
        <v/>
      </c>
      <c r="AX37" s="4">
        <f>IFERROR(((0+AO11+AO12+AO13+AO14+AO15+AO16+AO17+AO19+AO20+AO21+AO22+AO23+AO24+AO25+AO27+AO28+AO29+AO30+AO31+AO32+AO33+AO35+AO36+AO37)/T2),0)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2023-10-13</t>
        </is>
      </c>
      <c r="BB37" s="5">
        <f>ROUND(0.0,2)</f>
        <v/>
      </c>
      <c r="BC37" s="3">
        <f>ROUND(0.0,2)</f>
        <v/>
      </c>
      <c r="BD37" s="3">
        <f>ROUND(0.0,2)</f>
        <v/>
      </c>
      <c r="BE37" s="3">
        <f>ROUND(0.0,2)</f>
        <v/>
      </c>
      <c r="BF37" s="3">
        <f>ROUND(0.0,2)</f>
        <v/>
      </c>
      <c r="BG37" s="3">
        <f>ROUND(0.0,2)</f>
        <v/>
      </c>
      <c r="BH37" s="3">
        <f>ROUND(0.0,2)</f>
        <v/>
      </c>
      <c r="BI37" s="3">
        <f>ROUND(0.0,2)</f>
        <v/>
      </c>
      <c r="BJ37" s="4">
        <f>IFERROR((BD37/BC37),0)</f>
        <v/>
      </c>
      <c r="BK37" s="4">
        <f>IFERROR(((0+BB11+BB12+BB13+BB14+BB15+BB16+BB17+BB19+BB20+BB21+BB22+BB23+BB24+BB25+BB27+BB28+BB29+BB30+BB31+BB32+BB33+BB35+BB36+BB37)/T2),0)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2023-10-13</t>
        </is>
      </c>
      <c r="BO37" s="5">
        <f>ROUND(0.0,2)</f>
        <v/>
      </c>
      <c r="BP37" s="3">
        <f>ROUND(0.0,2)</f>
        <v/>
      </c>
      <c r="BQ37" s="3">
        <f>ROUND(0.0,2)</f>
        <v/>
      </c>
      <c r="BR37" s="3">
        <f>ROUND(0.0,2)</f>
        <v/>
      </c>
      <c r="BS37" s="3">
        <f>ROUND(0.0,2)</f>
        <v/>
      </c>
      <c r="BT37" s="3">
        <f>ROUND(0.0,2)</f>
        <v/>
      </c>
      <c r="BU37" s="3">
        <f>ROUND(0.0,2)</f>
        <v/>
      </c>
      <c r="BV37" s="3">
        <f>ROUND(0.0,2)</f>
        <v/>
      </c>
      <c r="BW37" s="4">
        <f>IFERROR((BQ37/BP37),0)</f>
        <v/>
      </c>
      <c r="BX37" s="4">
        <f>IFERROR(((0+BO11+BO12+BO13+BO14+BO15+BO16+BO17+BO19+BO20+BO21+BO22+BO23+BO24+BO25+BO27+BO28+BO29+BO30+BO31+BO32+BO33+BO35+BO36+BO37)/T2),0)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2023-10-13</t>
        </is>
      </c>
      <c r="CB37" s="5">
        <f>ROUND(0.0,2)</f>
        <v/>
      </c>
      <c r="CC37" s="3">
        <f>ROUND(0.0,2)</f>
        <v/>
      </c>
      <c r="CD37" s="3">
        <f>ROUND(0.0,2)</f>
        <v/>
      </c>
      <c r="CE37" s="3">
        <f>ROUND(0.0,2)</f>
        <v/>
      </c>
      <c r="CF37" s="3">
        <f>ROUND(0.0,2)</f>
        <v/>
      </c>
      <c r="CG37" s="3">
        <f>ROUND(0.0,2)</f>
        <v/>
      </c>
      <c r="CH37" s="3">
        <f>ROUND(0.0,2)</f>
        <v/>
      </c>
      <c r="CI37" s="3">
        <f>ROUND(0.0,2)</f>
        <v/>
      </c>
      <c r="CJ37" s="4">
        <f>IFERROR((CD37/CC37),0)</f>
        <v/>
      </c>
      <c r="CK37" s="4">
        <f>IFERROR(((0+CB11+CB12+CB13+CB14+CB15+CB16+CB17+CB19+CB20+CB21+CB22+CB23+CB24+CB25+CB27+CB28+CB29+CB30+CB31+CB32+CB33+CB35+CB36+CB37)/T2),0)</f>
        <v/>
      </c>
      <c r="CL37" s="5">
        <f>IFERROR(ROUND(CB37/CD37,2),0)</f>
        <v/>
      </c>
      <c r="CM37" s="5">
        <f>IFERROR(ROUND(CB37/CE37,2),0)</f>
        <v/>
      </c>
      <c r="CN37" s="2" t="inlineStr">
        <is>
          <t>2023-10-13</t>
        </is>
      </c>
      <c r="CO37" s="5">
        <f>ROUND(0.0,2)</f>
        <v/>
      </c>
      <c r="CP37" s="3">
        <f>ROUND(0.0,2)</f>
        <v/>
      </c>
      <c r="CQ37" s="3">
        <f>ROUND(0.0,2)</f>
        <v/>
      </c>
      <c r="CR37" s="3">
        <f>ROUND(0.0,2)</f>
        <v/>
      </c>
      <c r="CS37" s="3">
        <f>ROUND(0.0,2)</f>
        <v/>
      </c>
      <c r="CT37" s="3">
        <f>ROUND(0.0,2)</f>
        <v/>
      </c>
      <c r="CU37" s="3">
        <f>ROUND(0.0,2)</f>
        <v/>
      </c>
      <c r="CV37" s="3">
        <f>ROUND(0.0,2)</f>
        <v/>
      </c>
      <c r="CW37" s="4">
        <f>IFERROR((CQ37/CP37),0)</f>
        <v/>
      </c>
      <c r="CX37" s="4">
        <f>IFERROR(((0+CO11+CO12+CO13+CO14+CO15+CO16+CO17+CO19+CO20+CO21+CO22+CO23+CO24+CO25+CO27+CO28+CO29+CO30+CO31+CO32+CO33+CO35+CO36+CO37)/T2),0)</f>
        <v/>
      </c>
      <c r="CY37" s="5">
        <f>IFERROR(ROUND(CO37/CQ37,2),0)</f>
        <v/>
      </c>
      <c r="CZ37" s="5">
        <f>IFERROR(ROUND(CO37/CR37,2),0)</f>
        <v/>
      </c>
      <c r="DA37" s="2" t="inlineStr">
        <is>
          <t>2023-10-13</t>
        </is>
      </c>
      <c r="DB37" s="5">
        <f>ROUND(0.0,2)</f>
        <v/>
      </c>
      <c r="DC37" s="3">
        <f>ROUND(0.0,2)</f>
        <v/>
      </c>
      <c r="DD37" s="3">
        <f>ROUND(0.0,2)</f>
        <v/>
      </c>
      <c r="DE37" s="3">
        <f>ROUND(0.0,2)</f>
        <v/>
      </c>
      <c r="DF37" s="3">
        <f>ROUND(0.0,2)</f>
        <v/>
      </c>
      <c r="DG37" s="3">
        <f>ROUND(0.0,2)</f>
        <v/>
      </c>
      <c r="DH37" s="3">
        <f>ROUND(0.0,2)</f>
        <v/>
      </c>
      <c r="DI37" s="3">
        <f>ROUND(0.0,2)</f>
        <v/>
      </c>
      <c r="DJ37" s="4">
        <f>IFERROR((DD37/DC37),0)</f>
        <v/>
      </c>
      <c r="DK37" s="4">
        <f>IFERROR(((0+DB11+DB12+DB13+DB14+DB15+DB16+DB17+DB19+DB20+DB21+DB22+DB23+DB24+DB25+DB27+DB28+DB29+DB30+DB31+DB32+DB33+DB35+DB36+DB37)/T2),0)</f>
        <v/>
      </c>
      <c r="DL37" s="5">
        <f>IFERROR(ROUND(DB37/DD37,2),0)</f>
        <v/>
      </c>
      <c r="DM37" s="5">
        <f>IFERROR(ROUND(DB37/DE37,2),0)</f>
        <v/>
      </c>
      <c r="DN37" s="2" t="inlineStr">
        <is>
          <t>2023-10-13</t>
        </is>
      </c>
      <c r="DO37" s="5">
        <f>ROUND(0.0,2)</f>
        <v/>
      </c>
      <c r="DP37" s="3">
        <f>ROUND(0.0,2)</f>
        <v/>
      </c>
      <c r="DQ37" s="3">
        <f>ROUND(0.0,2)</f>
        <v/>
      </c>
      <c r="DR37" s="3">
        <f>ROUND(0.0,2)</f>
        <v/>
      </c>
      <c r="DS37" s="3">
        <f>ROUND(0.0,2)</f>
        <v/>
      </c>
      <c r="DT37" s="3">
        <f>ROUND(0.0,2)</f>
        <v/>
      </c>
      <c r="DU37" s="3">
        <f>ROUND(0.0,2)</f>
        <v/>
      </c>
      <c r="DV37" s="3">
        <f>ROUND(0.0,2)</f>
        <v/>
      </c>
      <c r="DW37" s="4">
        <f>IFERROR((DQ37/DP37),0)</f>
        <v/>
      </c>
      <c r="DX37" s="4">
        <f>IFERROR(((0+DO11+DO12+DO13+DO14+DO15+DO16+DO17+DO19+DO20+DO21+DO22+DO23+DO24+DO25+DO27+DO28+DO29+DO30+DO31+DO32+DO33+DO35+DO36+DO37)/T2),0)</f>
        <v/>
      </c>
      <c r="DY37" s="5">
        <f>IFERROR(ROUND(DO37/DQ37,2),0)</f>
        <v/>
      </c>
      <c r="DZ37" s="5">
        <f>IFERROR(ROUND(DO37/DR37,2),0)</f>
        <v/>
      </c>
      <c r="EA37" s="2" t="inlineStr">
        <is>
          <t>2023-10-13</t>
        </is>
      </c>
      <c r="EB37" s="5">
        <f>ROUND(0.0,2)</f>
        <v/>
      </c>
      <c r="EC37" s="3">
        <f>ROUND(0.0,2)</f>
        <v/>
      </c>
      <c r="ED37" s="3">
        <f>ROUND(0.0,2)</f>
        <v/>
      </c>
      <c r="EE37" s="3">
        <f>ROUND(0.0,2)</f>
        <v/>
      </c>
      <c r="EF37" s="3">
        <f>ROUND(0.0,2)</f>
        <v/>
      </c>
      <c r="EG37" s="3">
        <f>ROUND(0.0,2)</f>
        <v/>
      </c>
      <c r="EH37" s="3">
        <f>ROUND(0.0,2)</f>
        <v/>
      </c>
      <c r="EI37" s="3">
        <f>ROUND(0.0,2)</f>
        <v/>
      </c>
      <c r="EJ37" s="4">
        <f>IFERROR((ED37/EC37),0)</f>
        <v/>
      </c>
      <c r="EK37" s="4">
        <f>IFERROR(((0+EB11+EB12+EB13+EB14+EB15+EB16+EB17+EB19+EB20+EB21+EB22+EB23+EB24+EB25+EB27+EB28+EB29+EB30+EB31+EB32+EB33+EB35+EB36+EB37)/T2),0)</f>
        <v/>
      </c>
      <c r="EL37" s="5">
        <f>IFERROR(ROUND(EB37/ED37,2),0)</f>
        <v/>
      </c>
      <c r="EM37" s="5">
        <f>IFERROR(ROUND(EB37/EE37,2),0)</f>
        <v/>
      </c>
    </row>
    <row r="38">
      <c r="A38" s="2" t="inlineStr">
        <is>
          <t>2023-10-14</t>
        </is>
      </c>
      <c r="B38" s="5">
        <f>ROUND(0.0,2)</f>
        <v/>
      </c>
      <c r="C38" s="3">
        <f>ROUND(0.0,2)</f>
        <v/>
      </c>
      <c r="D38" s="3">
        <f>ROUND(0.0,2)</f>
        <v/>
      </c>
      <c r="E38" s="3">
        <f>ROUND(0.0,2)</f>
        <v/>
      </c>
      <c r="F38" s="3">
        <f>ROUND(0.0,2)</f>
        <v/>
      </c>
      <c r="G38" s="3">
        <f>ROUND(0.0,2)</f>
        <v/>
      </c>
      <c r="H38" s="3">
        <f>ROUND(0.0,2)</f>
        <v/>
      </c>
      <c r="I38" s="3">
        <f>ROUND(0.0,2)</f>
        <v/>
      </c>
      <c r="J38" s="4">
        <f>IFERROR((D38/C38),0)</f>
        <v/>
      </c>
      <c r="K38" s="4">
        <f>IFERROR(((0+B11+B12+B13+B14+B15+B16+B17+B19+B20+B21+B22+B23+B24+B25+B27+B28+B29+B30+B31+B32+B33+B35+B36+B37+B38)/T2),0)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2023-10-14</t>
        </is>
      </c>
      <c r="O38" s="5">
        <f>ROUND(0.0,2)</f>
        <v/>
      </c>
      <c r="P38" s="3">
        <f>ROUND(0.0,2)</f>
        <v/>
      </c>
      <c r="Q38" s="3">
        <f>ROUND(0.0,2)</f>
        <v/>
      </c>
      <c r="R38" s="3">
        <f>ROUND(0.0,2)</f>
        <v/>
      </c>
      <c r="S38" s="3">
        <f>ROUND(0.0,2)</f>
        <v/>
      </c>
      <c r="T38" s="3">
        <f>ROUND(0.0,2)</f>
        <v/>
      </c>
      <c r="U38" s="3">
        <f>ROUND(0.0,2)</f>
        <v/>
      </c>
      <c r="V38" s="3">
        <f>ROUND(0.0,2)</f>
        <v/>
      </c>
      <c r="W38" s="4">
        <f>IFERROR((Q38/P38),0)</f>
        <v/>
      </c>
      <c r="X38" s="4">
        <f>IFERROR(((0+O11+O12+O13+O14+O15+O16+O17+O19+O20+O21+O22+O23+O24+O25+O27+O28+O29+O30+O31+O32+O33+O35+O36+O37+O38)/T2),0)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2023-10-14</t>
        </is>
      </c>
      <c r="AB38" s="5">
        <f>ROUND(0.0,2)</f>
        <v/>
      </c>
      <c r="AC38" s="3">
        <f>ROUND(0.0,2)</f>
        <v/>
      </c>
      <c r="AD38" s="3">
        <f>ROUND(0.0,2)</f>
        <v/>
      </c>
      <c r="AE38" s="3">
        <f>ROUND(0.0,2)</f>
        <v/>
      </c>
      <c r="AF38" s="3">
        <f>ROUND(0.0,2)</f>
        <v/>
      </c>
      <c r="AG38" s="3">
        <f>ROUND(0.0,2)</f>
        <v/>
      </c>
      <c r="AH38" s="3">
        <f>ROUND(0.0,2)</f>
        <v/>
      </c>
      <c r="AI38" s="3">
        <f>ROUND(0.0,2)</f>
        <v/>
      </c>
      <c r="AJ38" s="4">
        <f>IFERROR((AD38/AC38),0)</f>
        <v/>
      </c>
      <c r="AK38" s="4">
        <f>IFERROR(((0+AB11+AB12+AB13+AB14+AB15+AB16+AB17+AB19+AB20+AB21+AB22+AB23+AB24+AB25+AB27+AB28+AB29+AB30+AB31+AB32+AB33+AB35+AB36+AB37+AB38)/T2),0)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2023-10-14</t>
        </is>
      </c>
      <c r="AO38" s="5">
        <f>ROUND(0.0,2)</f>
        <v/>
      </c>
      <c r="AP38" s="3">
        <f>ROUND(0.0,2)</f>
        <v/>
      </c>
      <c r="AQ38" s="3">
        <f>ROUND(0.0,2)</f>
        <v/>
      </c>
      <c r="AR38" s="3">
        <f>ROUND(0.0,2)</f>
        <v/>
      </c>
      <c r="AS38" s="3">
        <f>ROUND(0.0,2)</f>
        <v/>
      </c>
      <c r="AT38" s="3">
        <f>ROUND(0.0,2)</f>
        <v/>
      </c>
      <c r="AU38" s="3">
        <f>ROUND(0.0,2)</f>
        <v/>
      </c>
      <c r="AV38" s="3">
        <f>ROUND(0.0,2)</f>
        <v/>
      </c>
      <c r="AW38" s="4">
        <f>IFERROR((AQ38/AP38),0)</f>
        <v/>
      </c>
      <c r="AX38" s="4">
        <f>IFERROR(((0+AO11+AO12+AO13+AO14+AO15+AO16+AO17+AO19+AO20+AO21+AO22+AO23+AO24+AO25+AO27+AO28+AO29+AO30+AO31+AO32+AO33+AO35+AO36+AO37+AO38)/T2),0)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2023-10-14</t>
        </is>
      </c>
      <c r="BB38" s="5">
        <f>ROUND(0.0,2)</f>
        <v/>
      </c>
      <c r="BC38" s="3">
        <f>ROUND(0.0,2)</f>
        <v/>
      </c>
      <c r="BD38" s="3">
        <f>ROUND(0.0,2)</f>
        <v/>
      </c>
      <c r="BE38" s="3">
        <f>ROUND(0.0,2)</f>
        <v/>
      </c>
      <c r="BF38" s="3">
        <f>ROUND(0.0,2)</f>
        <v/>
      </c>
      <c r="BG38" s="3">
        <f>ROUND(0.0,2)</f>
        <v/>
      </c>
      <c r="BH38" s="3">
        <f>ROUND(0.0,2)</f>
        <v/>
      </c>
      <c r="BI38" s="3">
        <f>ROUND(0.0,2)</f>
        <v/>
      </c>
      <c r="BJ38" s="4">
        <f>IFERROR((BD38/BC38),0)</f>
        <v/>
      </c>
      <c r="BK38" s="4">
        <f>IFERROR(((0+BB11+BB12+BB13+BB14+BB15+BB16+BB17+BB19+BB20+BB21+BB22+BB23+BB24+BB25+BB27+BB28+BB29+BB30+BB31+BB32+BB33+BB35+BB36+BB37+BB38)/T2),0)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2023-10-14</t>
        </is>
      </c>
      <c r="BO38" s="5">
        <f>ROUND(0.0,2)</f>
        <v/>
      </c>
      <c r="BP38" s="3">
        <f>ROUND(0.0,2)</f>
        <v/>
      </c>
      <c r="BQ38" s="3">
        <f>ROUND(0.0,2)</f>
        <v/>
      </c>
      <c r="BR38" s="3">
        <f>ROUND(0.0,2)</f>
        <v/>
      </c>
      <c r="BS38" s="3">
        <f>ROUND(0.0,2)</f>
        <v/>
      </c>
      <c r="BT38" s="3">
        <f>ROUND(0.0,2)</f>
        <v/>
      </c>
      <c r="BU38" s="3">
        <f>ROUND(0.0,2)</f>
        <v/>
      </c>
      <c r="BV38" s="3">
        <f>ROUND(0.0,2)</f>
        <v/>
      </c>
      <c r="BW38" s="4">
        <f>IFERROR((BQ38/BP38),0)</f>
        <v/>
      </c>
      <c r="BX38" s="4">
        <f>IFERROR(((0+BO11+BO12+BO13+BO14+BO15+BO16+BO17+BO19+BO20+BO21+BO22+BO23+BO24+BO25+BO27+BO28+BO29+BO30+BO31+BO32+BO33+BO35+BO36+BO37+BO38)/T2),0)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2023-10-14</t>
        </is>
      </c>
      <c r="CB38" s="5">
        <f>ROUND(0.0,2)</f>
        <v/>
      </c>
      <c r="CC38" s="3">
        <f>ROUND(0.0,2)</f>
        <v/>
      </c>
      <c r="CD38" s="3">
        <f>ROUND(0.0,2)</f>
        <v/>
      </c>
      <c r="CE38" s="3">
        <f>ROUND(0.0,2)</f>
        <v/>
      </c>
      <c r="CF38" s="3">
        <f>ROUND(0.0,2)</f>
        <v/>
      </c>
      <c r="CG38" s="3">
        <f>ROUND(0.0,2)</f>
        <v/>
      </c>
      <c r="CH38" s="3">
        <f>ROUND(0.0,2)</f>
        <v/>
      </c>
      <c r="CI38" s="3">
        <f>ROUND(0.0,2)</f>
        <v/>
      </c>
      <c r="CJ38" s="4">
        <f>IFERROR((CD38/CC38),0)</f>
        <v/>
      </c>
      <c r="CK38" s="4">
        <f>IFERROR(((0+CB11+CB12+CB13+CB14+CB15+CB16+CB17+CB19+CB20+CB21+CB22+CB23+CB24+CB25+CB27+CB28+CB29+CB30+CB31+CB32+CB33+CB35+CB36+CB37+CB38)/T2),0)</f>
        <v/>
      </c>
      <c r="CL38" s="5">
        <f>IFERROR(ROUND(CB38/CD38,2),0)</f>
        <v/>
      </c>
      <c r="CM38" s="5">
        <f>IFERROR(ROUND(CB38/CE38,2),0)</f>
        <v/>
      </c>
      <c r="CN38" s="2" t="inlineStr">
        <is>
          <t>2023-10-14</t>
        </is>
      </c>
      <c r="CO38" s="5">
        <f>ROUND(0.0,2)</f>
        <v/>
      </c>
      <c r="CP38" s="3">
        <f>ROUND(0.0,2)</f>
        <v/>
      </c>
      <c r="CQ38" s="3">
        <f>ROUND(0.0,2)</f>
        <v/>
      </c>
      <c r="CR38" s="3">
        <f>ROUND(0.0,2)</f>
        <v/>
      </c>
      <c r="CS38" s="3">
        <f>ROUND(0.0,2)</f>
        <v/>
      </c>
      <c r="CT38" s="3">
        <f>ROUND(0.0,2)</f>
        <v/>
      </c>
      <c r="CU38" s="3">
        <f>ROUND(0.0,2)</f>
        <v/>
      </c>
      <c r="CV38" s="3">
        <f>ROUND(0.0,2)</f>
        <v/>
      </c>
      <c r="CW38" s="4">
        <f>IFERROR((CQ38/CP38),0)</f>
        <v/>
      </c>
      <c r="CX38" s="4">
        <f>IFERROR(((0+CO11+CO12+CO13+CO14+CO15+CO16+CO17+CO19+CO20+CO21+CO22+CO23+CO24+CO25+CO27+CO28+CO29+CO30+CO31+CO32+CO33+CO35+CO36+CO37+CO38)/T2),0)</f>
        <v/>
      </c>
      <c r="CY38" s="5">
        <f>IFERROR(ROUND(CO38/CQ38,2),0)</f>
        <v/>
      </c>
      <c r="CZ38" s="5">
        <f>IFERROR(ROUND(CO38/CR38,2),0)</f>
        <v/>
      </c>
      <c r="DA38" s="2" t="inlineStr">
        <is>
          <t>2023-10-14</t>
        </is>
      </c>
      <c r="DB38" s="5">
        <f>ROUND(0.0,2)</f>
        <v/>
      </c>
      <c r="DC38" s="3">
        <f>ROUND(0.0,2)</f>
        <v/>
      </c>
      <c r="DD38" s="3">
        <f>ROUND(0.0,2)</f>
        <v/>
      </c>
      <c r="DE38" s="3">
        <f>ROUND(0.0,2)</f>
        <v/>
      </c>
      <c r="DF38" s="3">
        <f>ROUND(0.0,2)</f>
        <v/>
      </c>
      <c r="DG38" s="3">
        <f>ROUND(0.0,2)</f>
        <v/>
      </c>
      <c r="DH38" s="3">
        <f>ROUND(0.0,2)</f>
        <v/>
      </c>
      <c r="DI38" s="3">
        <f>ROUND(0.0,2)</f>
        <v/>
      </c>
      <c r="DJ38" s="4">
        <f>IFERROR((DD38/DC38),0)</f>
        <v/>
      </c>
      <c r="DK38" s="4">
        <f>IFERROR(((0+DB11+DB12+DB13+DB14+DB15+DB16+DB17+DB19+DB20+DB21+DB22+DB23+DB24+DB25+DB27+DB28+DB29+DB30+DB31+DB32+DB33+DB35+DB36+DB37+DB38)/T2),0)</f>
        <v/>
      </c>
      <c r="DL38" s="5">
        <f>IFERROR(ROUND(DB38/DD38,2),0)</f>
        <v/>
      </c>
      <c r="DM38" s="5">
        <f>IFERROR(ROUND(DB38/DE38,2),0)</f>
        <v/>
      </c>
      <c r="DN38" s="2" t="inlineStr">
        <is>
          <t>2023-10-14</t>
        </is>
      </c>
      <c r="DO38" s="5">
        <f>ROUND(0.0,2)</f>
        <v/>
      </c>
      <c r="DP38" s="3">
        <f>ROUND(0.0,2)</f>
        <v/>
      </c>
      <c r="DQ38" s="3">
        <f>ROUND(0.0,2)</f>
        <v/>
      </c>
      <c r="DR38" s="3">
        <f>ROUND(0.0,2)</f>
        <v/>
      </c>
      <c r="DS38" s="3">
        <f>ROUND(0.0,2)</f>
        <v/>
      </c>
      <c r="DT38" s="3">
        <f>ROUND(0.0,2)</f>
        <v/>
      </c>
      <c r="DU38" s="3">
        <f>ROUND(0.0,2)</f>
        <v/>
      </c>
      <c r="DV38" s="3">
        <f>ROUND(0.0,2)</f>
        <v/>
      </c>
      <c r="DW38" s="4">
        <f>IFERROR((DQ38/DP38),0)</f>
        <v/>
      </c>
      <c r="DX38" s="4">
        <f>IFERROR(((0+DO11+DO12+DO13+DO14+DO15+DO16+DO17+DO19+DO20+DO21+DO22+DO23+DO24+DO25+DO27+DO28+DO29+DO30+DO31+DO32+DO33+DO35+DO36+DO37+DO38)/T2),0)</f>
        <v/>
      </c>
      <c r="DY38" s="5">
        <f>IFERROR(ROUND(DO38/DQ38,2),0)</f>
        <v/>
      </c>
      <c r="DZ38" s="5">
        <f>IFERROR(ROUND(DO38/DR38,2),0)</f>
        <v/>
      </c>
      <c r="EA38" s="2" t="inlineStr">
        <is>
          <t>2023-10-14</t>
        </is>
      </c>
      <c r="EB38" s="5">
        <f>ROUND(0.0,2)</f>
        <v/>
      </c>
      <c r="EC38" s="3">
        <f>ROUND(0.0,2)</f>
        <v/>
      </c>
      <c r="ED38" s="3">
        <f>ROUND(0.0,2)</f>
        <v/>
      </c>
      <c r="EE38" s="3">
        <f>ROUND(0.0,2)</f>
        <v/>
      </c>
      <c r="EF38" s="3">
        <f>ROUND(0.0,2)</f>
        <v/>
      </c>
      <c r="EG38" s="3">
        <f>ROUND(0.0,2)</f>
        <v/>
      </c>
      <c r="EH38" s="3">
        <f>ROUND(0.0,2)</f>
        <v/>
      </c>
      <c r="EI38" s="3">
        <f>ROUND(0.0,2)</f>
        <v/>
      </c>
      <c r="EJ38" s="4">
        <f>IFERROR((ED38/EC38),0)</f>
        <v/>
      </c>
      <c r="EK38" s="4">
        <f>IFERROR(((0+EB11+EB12+EB13+EB14+EB15+EB16+EB17+EB19+EB20+EB21+EB22+EB23+EB24+EB25+EB27+EB28+EB29+EB30+EB31+EB32+EB33+EB35+EB36+EB37+EB38)/T2),0)</f>
        <v/>
      </c>
      <c r="EL38" s="5">
        <f>IFERROR(ROUND(EB38/ED38,2),0)</f>
        <v/>
      </c>
      <c r="EM38" s="5">
        <f>IFERROR(ROUND(EB38/EE38,2),0)</f>
        <v/>
      </c>
    </row>
    <row r="39">
      <c r="A39" s="2" t="inlineStr">
        <is>
          <t>2023-10-15</t>
        </is>
      </c>
      <c r="B39" s="5">
        <f>ROUND(0.0,2)</f>
        <v/>
      </c>
      <c r="C39" s="3">
        <f>ROUND(0.0,2)</f>
        <v/>
      </c>
      <c r="D39" s="3">
        <f>ROUND(0.0,2)</f>
        <v/>
      </c>
      <c r="E39" s="3">
        <f>ROUND(0.0,2)</f>
        <v/>
      </c>
      <c r="F39" s="3">
        <f>ROUND(0.0,2)</f>
        <v/>
      </c>
      <c r="G39" s="3">
        <f>ROUND(0.0,2)</f>
        <v/>
      </c>
      <c r="H39" s="3">
        <f>ROUND(0.0,2)</f>
        <v/>
      </c>
      <c r="I39" s="3">
        <f>ROUND(0.0,2)</f>
        <v/>
      </c>
      <c r="J39" s="4">
        <f>IFERROR((D39/C39),0)</f>
        <v/>
      </c>
      <c r="K39" s="4">
        <f>IFERROR(((0+B11+B12+B13+B14+B15+B16+B17+B19+B20+B21+B22+B23+B24+B25+B27+B28+B29+B30+B31+B32+B33+B35+B36+B37+B38+B39)/T2),0)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2023-10-15</t>
        </is>
      </c>
      <c r="O39" s="5">
        <f>ROUND(0.0,2)</f>
        <v/>
      </c>
      <c r="P39" s="3">
        <f>ROUND(0.0,2)</f>
        <v/>
      </c>
      <c r="Q39" s="3">
        <f>ROUND(0.0,2)</f>
        <v/>
      </c>
      <c r="R39" s="3">
        <f>ROUND(0.0,2)</f>
        <v/>
      </c>
      <c r="S39" s="3">
        <f>ROUND(0.0,2)</f>
        <v/>
      </c>
      <c r="T39" s="3">
        <f>ROUND(0.0,2)</f>
        <v/>
      </c>
      <c r="U39" s="3">
        <f>ROUND(0.0,2)</f>
        <v/>
      </c>
      <c r="V39" s="3">
        <f>ROUND(0.0,2)</f>
        <v/>
      </c>
      <c r="W39" s="4">
        <f>IFERROR((Q39/P39),0)</f>
        <v/>
      </c>
      <c r="X39" s="4">
        <f>IFERROR(((0+O11+O12+O13+O14+O15+O16+O17+O19+O20+O21+O22+O23+O24+O25+O27+O28+O29+O30+O31+O32+O33+O35+O36+O37+O38+O39)/T2),0)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2023-10-15</t>
        </is>
      </c>
      <c r="AB39" s="5">
        <f>ROUND(0.0,2)</f>
        <v/>
      </c>
      <c r="AC39" s="3">
        <f>ROUND(0.0,2)</f>
        <v/>
      </c>
      <c r="AD39" s="3">
        <f>ROUND(0.0,2)</f>
        <v/>
      </c>
      <c r="AE39" s="3">
        <f>ROUND(0.0,2)</f>
        <v/>
      </c>
      <c r="AF39" s="3">
        <f>ROUND(0.0,2)</f>
        <v/>
      </c>
      <c r="AG39" s="3">
        <f>ROUND(0.0,2)</f>
        <v/>
      </c>
      <c r="AH39" s="3">
        <f>ROUND(0.0,2)</f>
        <v/>
      </c>
      <c r="AI39" s="3">
        <f>ROUND(0.0,2)</f>
        <v/>
      </c>
      <c r="AJ39" s="4">
        <f>IFERROR((AD39/AC39),0)</f>
        <v/>
      </c>
      <c r="AK39" s="4">
        <f>IFERROR(((0+AB11+AB12+AB13+AB14+AB15+AB16+AB17+AB19+AB20+AB21+AB22+AB23+AB24+AB25+AB27+AB28+AB29+AB30+AB31+AB32+AB33+AB35+AB36+AB37+AB38+AB39)/T2),0)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2023-10-15</t>
        </is>
      </c>
      <c r="AO39" s="5">
        <f>ROUND(0.0,2)</f>
        <v/>
      </c>
      <c r="AP39" s="3">
        <f>ROUND(0.0,2)</f>
        <v/>
      </c>
      <c r="AQ39" s="3">
        <f>ROUND(0.0,2)</f>
        <v/>
      </c>
      <c r="AR39" s="3">
        <f>ROUND(0.0,2)</f>
        <v/>
      </c>
      <c r="AS39" s="3">
        <f>ROUND(0.0,2)</f>
        <v/>
      </c>
      <c r="AT39" s="3">
        <f>ROUND(0.0,2)</f>
        <v/>
      </c>
      <c r="AU39" s="3">
        <f>ROUND(0.0,2)</f>
        <v/>
      </c>
      <c r="AV39" s="3">
        <f>ROUND(0.0,2)</f>
        <v/>
      </c>
      <c r="AW39" s="4">
        <f>IFERROR((AQ39/AP39),0)</f>
        <v/>
      </c>
      <c r="AX39" s="4">
        <f>IFERROR(((0+AO11+AO12+AO13+AO14+AO15+AO16+AO17+AO19+AO20+AO21+AO22+AO23+AO24+AO25+AO27+AO28+AO29+AO30+AO31+AO32+AO33+AO35+AO36+AO37+AO38+AO39)/T2),0)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2023-10-15</t>
        </is>
      </c>
      <c r="BB39" s="5">
        <f>ROUND(0.0,2)</f>
        <v/>
      </c>
      <c r="BC39" s="3">
        <f>ROUND(0.0,2)</f>
        <v/>
      </c>
      <c r="BD39" s="3">
        <f>ROUND(0.0,2)</f>
        <v/>
      </c>
      <c r="BE39" s="3">
        <f>ROUND(0.0,2)</f>
        <v/>
      </c>
      <c r="BF39" s="3">
        <f>ROUND(0.0,2)</f>
        <v/>
      </c>
      <c r="BG39" s="3">
        <f>ROUND(0.0,2)</f>
        <v/>
      </c>
      <c r="BH39" s="3">
        <f>ROUND(0.0,2)</f>
        <v/>
      </c>
      <c r="BI39" s="3">
        <f>ROUND(0.0,2)</f>
        <v/>
      </c>
      <c r="BJ39" s="4">
        <f>IFERROR((BD39/BC39),0)</f>
        <v/>
      </c>
      <c r="BK39" s="4">
        <f>IFERROR(((0+BB11+BB12+BB13+BB14+BB15+BB16+BB17+BB19+BB20+BB21+BB22+BB23+BB24+BB25+BB27+BB28+BB29+BB30+BB31+BB32+BB33+BB35+BB36+BB37+BB38+BB39)/T2),0)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2023-10-15</t>
        </is>
      </c>
      <c r="BO39" s="5">
        <f>ROUND(0.0,2)</f>
        <v/>
      </c>
      <c r="BP39" s="3">
        <f>ROUND(0.0,2)</f>
        <v/>
      </c>
      <c r="BQ39" s="3">
        <f>ROUND(0.0,2)</f>
        <v/>
      </c>
      <c r="BR39" s="3">
        <f>ROUND(0.0,2)</f>
        <v/>
      </c>
      <c r="BS39" s="3">
        <f>ROUND(0.0,2)</f>
        <v/>
      </c>
      <c r="BT39" s="3">
        <f>ROUND(0.0,2)</f>
        <v/>
      </c>
      <c r="BU39" s="3">
        <f>ROUND(0.0,2)</f>
        <v/>
      </c>
      <c r="BV39" s="3">
        <f>ROUND(0.0,2)</f>
        <v/>
      </c>
      <c r="BW39" s="4">
        <f>IFERROR((BQ39/BP39),0)</f>
        <v/>
      </c>
      <c r="BX39" s="4">
        <f>IFERROR(((0+BO11+BO12+BO13+BO14+BO15+BO16+BO17+BO19+BO20+BO21+BO22+BO23+BO24+BO25+BO27+BO28+BO29+BO30+BO31+BO32+BO33+BO35+BO36+BO37+BO38+BO39)/T2),0)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2023-10-15</t>
        </is>
      </c>
      <c r="CB39" s="5">
        <f>ROUND(0.0,2)</f>
        <v/>
      </c>
      <c r="CC39" s="3">
        <f>ROUND(0.0,2)</f>
        <v/>
      </c>
      <c r="CD39" s="3">
        <f>ROUND(0.0,2)</f>
        <v/>
      </c>
      <c r="CE39" s="3">
        <f>ROUND(0.0,2)</f>
        <v/>
      </c>
      <c r="CF39" s="3">
        <f>ROUND(0.0,2)</f>
        <v/>
      </c>
      <c r="CG39" s="3">
        <f>ROUND(0.0,2)</f>
        <v/>
      </c>
      <c r="CH39" s="3">
        <f>ROUND(0.0,2)</f>
        <v/>
      </c>
      <c r="CI39" s="3">
        <f>ROUND(0.0,2)</f>
        <v/>
      </c>
      <c r="CJ39" s="4">
        <f>IFERROR((CD39/CC39),0)</f>
        <v/>
      </c>
      <c r="CK39" s="4">
        <f>IFERROR(((0+CB11+CB12+CB13+CB14+CB15+CB16+CB17+CB19+CB20+CB21+CB22+CB23+CB24+CB25+CB27+CB28+CB29+CB30+CB31+CB32+CB33+CB35+CB36+CB37+CB38+CB39)/T2),0)</f>
        <v/>
      </c>
      <c r="CL39" s="5">
        <f>IFERROR(ROUND(CB39/CD39,2),0)</f>
        <v/>
      </c>
      <c r="CM39" s="5">
        <f>IFERROR(ROUND(CB39/CE39,2),0)</f>
        <v/>
      </c>
      <c r="CN39" s="2" t="inlineStr">
        <is>
          <t>2023-10-15</t>
        </is>
      </c>
      <c r="CO39" s="5">
        <f>ROUND(0.0,2)</f>
        <v/>
      </c>
      <c r="CP39" s="3">
        <f>ROUND(0.0,2)</f>
        <v/>
      </c>
      <c r="CQ39" s="3">
        <f>ROUND(0.0,2)</f>
        <v/>
      </c>
      <c r="CR39" s="3">
        <f>ROUND(0.0,2)</f>
        <v/>
      </c>
      <c r="CS39" s="3">
        <f>ROUND(0.0,2)</f>
        <v/>
      </c>
      <c r="CT39" s="3">
        <f>ROUND(0.0,2)</f>
        <v/>
      </c>
      <c r="CU39" s="3">
        <f>ROUND(0.0,2)</f>
        <v/>
      </c>
      <c r="CV39" s="3">
        <f>ROUND(0.0,2)</f>
        <v/>
      </c>
      <c r="CW39" s="4">
        <f>IFERROR((CQ39/CP39),0)</f>
        <v/>
      </c>
      <c r="CX39" s="4">
        <f>IFERROR(((0+CO11+CO12+CO13+CO14+CO15+CO16+CO17+CO19+CO20+CO21+CO22+CO23+CO24+CO25+CO27+CO28+CO29+CO30+CO31+CO32+CO33+CO35+CO36+CO37+CO38+CO39)/T2),0)</f>
        <v/>
      </c>
      <c r="CY39" s="5">
        <f>IFERROR(ROUND(CO39/CQ39,2),0)</f>
        <v/>
      </c>
      <c r="CZ39" s="5">
        <f>IFERROR(ROUND(CO39/CR39,2),0)</f>
        <v/>
      </c>
      <c r="DA39" s="2" t="inlineStr">
        <is>
          <t>2023-10-15</t>
        </is>
      </c>
      <c r="DB39" s="5">
        <f>ROUND(0.0,2)</f>
        <v/>
      </c>
      <c r="DC39" s="3">
        <f>ROUND(0.0,2)</f>
        <v/>
      </c>
      <c r="DD39" s="3">
        <f>ROUND(0.0,2)</f>
        <v/>
      </c>
      <c r="DE39" s="3">
        <f>ROUND(0.0,2)</f>
        <v/>
      </c>
      <c r="DF39" s="3">
        <f>ROUND(0.0,2)</f>
        <v/>
      </c>
      <c r="DG39" s="3">
        <f>ROUND(0.0,2)</f>
        <v/>
      </c>
      <c r="DH39" s="3">
        <f>ROUND(0.0,2)</f>
        <v/>
      </c>
      <c r="DI39" s="3">
        <f>ROUND(0.0,2)</f>
        <v/>
      </c>
      <c r="DJ39" s="4">
        <f>IFERROR((DD39/DC39),0)</f>
        <v/>
      </c>
      <c r="DK39" s="4">
        <f>IFERROR(((0+DB11+DB12+DB13+DB14+DB15+DB16+DB17+DB19+DB20+DB21+DB22+DB23+DB24+DB25+DB27+DB28+DB29+DB30+DB31+DB32+DB33+DB35+DB36+DB37+DB38+DB39)/T2),0)</f>
        <v/>
      </c>
      <c r="DL39" s="5">
        <f>IFERROR(ROUND(DB39/DD39,2),0)</f>
        <v/>
      </c>
      <c r="DM39" s="5">
        <f>IFERROR(ROUND(DB39/DE39,2),0)</f>
        <v/>
      </c>
      <c r="DN39" s="2" t="inlineStr">
        <is>
          <t>2023-10-15</t>
        </is>
      </c>
      <c r="DO39" s="5">
        <f>ROUND(0.0,2)</f>
        <v/>
      </c>
      <c r="DP39" s="3">
        <f>ROUND(0.0,2)</f>
        <v/>
      </c>
      <c r="DQ39" s="3">
        <f>ROUND(0.0,2)</f>
        <v/>
      </c>
      <c r="DR39" s="3">
        <f>ROUND(0.0,2)</f>
        <v/>
      </c>
      <c r="DS39" s="3">
        <f>ROUND(0.0,2)</f>
        <v/>
      </c>
      <c r="DT39" s="3">
        <f>ROUND(0.0,2)</f>
        <v/>
      </c>
      <c r="DU39" s="3">
        <f>ROUND(0.0,2)</f>
        <v/>
      </c>
      <c r="DV39" s="3">
        <f>ROUND(0.0,2)</f>
        <v/>
      </c>
      <c r="DW39" s="4">
        <f>IFERROR((DQ39/DP39),0)</f>
        <v/>
      </c>
      <c r="DX39" s="4">
        <f>IFERROR(((0+DO11+DO12+DO13+DO14+DO15+DO16+DO17+DO19+DO20+DO21+DO22+DO23+DO24+DO25+DO27+DO28+DO29+DO30+DO31+DO32+DO33+DO35+DO36+DO37+DO38+DO39)/T2),0)</f>
        <v/>
      </c>
      <c r="DY39" s="5">
        <f>IFERROR(ROUND(DO39/DQ39,2),0)</f>
        <v/>
      </c>
      <c r="DZ39" s="5">
        <f>IFERROR(ROUND(DO39/DR39,2),0)</f>
        <v/>
      </c>
      <c r="EA39" s="2" t="inlineStr">
        <is>
          <t>2023-10-15</t>
        </is>
      </c>
      <c r="EB39" s="5">
        <f>ROUND(0.0,2)</f>
        <v/>
      </c>
      <c r="EC39" s="3">
        <f>ROUND(0.0,2)</f>
        <v/>
      </c>
      <c r="ED39" s="3">
        <f>ROUND(0.0,2)</f>
        <v/>
      </c>
      <c r="EE39" s="3">
        <f>ROUND(0.0,2)</f>
        <v/>
      </c>
      <c r="EF39" s="3">
        <f>ROUND(0.0,2)</f>
        <v/>
      </c>
      <c r="EG39" s="3">
        <f>ROUND(0.0,2)</f>
        <v/>
      </c>
      <c r="EH39" s="3">
        <f>ROUND(0.0,2)</f>
        <v/>
      </c>
      <c r="EI39" s="3">
        <f>ROUND(0.0,2)</f>
        <v/>
      </c>
      <c r="EJ39" s="4">
        <f>IFERROR((ED39/EC39),0)</f>
        <v/>
      </c>
      <c r="EK39" s="4">
        <f>IFERROR(((0+EB11+EB12+EB13+EB14+EB15+EB16+EB17+EB19+EB20+EB21+EB22+EB23+EB24+EB25+EB27+EB28+EB29+EB30+EB31+EB32+EB33+EB35+EB36+EB37+EB38+EB39)/T2),0)</f>
        <v/>
      </c>
      <c r="EL39" s="5">
        <f>IFERROR(ROUND(EB39/ED39,2),0)</f>
        <v/>
      </c>
      <c r="EM39" s="5">
        <f>IFERROR(ROUND(EB39/EE39,2),0)</f>
        <v/>
      </c>
    </row>
    <row r="40">
      <c r="A40" s="2" t="inlineStr">
        <is>
          <t>2023-10-16</t>
        </is>
      </c>
      <c r="B40" s="5">
        <f>ROUND(0.0,2)</f>
        <v/>
      </c>
      <c r="C40" s="3">
        <f>ROUND(0.0,2)</f>
        <v/>
      </c>
      <c r="D40" s="3">
        <f>ROUND(0.0,2)</f>
        <v/>
      </c>
      <c r="E40" s="3">
        <f>ROUND(0.0,2)</f>
        <v/>
      </c>
      <c r="F40" s="3">
        <f>ROUND(0.0,2)</f>
        <v/>
      </c>
      <c r="G40" s="3">
        <f>ROUND(0.0,2)</f>
        <v/>
      </c>
      <c r="H40" s="3">
        <f>ROUND(0.0,2)</f>
        <v/>
      </c>
      <c r="I40" s="3">
        <f>ROUND(0.0,2)</f>
        <v/>
      </c>
      <c r="J40" s="4">
        <f>IFERROR((D40/C40),0)</f>
        <v/>
      </c>
      <c r="K40" s="4">
        <f>IFERROR(((0+B11+B12+B13+B14+B15+B16+B17+B19+B20+B21+B22+B23+B24+B25+B27+B28+B29+B30+B31+B32+B33+B35+B36+B37+B38+B39+B40)/T2),0)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2023-10-16</t>
        </is>
      </c>
      <c r="O40" s="5">
        <f>ROUND(0.0,2)</f>
        <v/>
      </c>
      <c r="P40" s="3">
        <f>ROUND(0.0,2)</f>
        <v/>
      </c>
      <c r="Q40" s="3">
        <f>ROUND(0.0,2)</f>
        <v/>
      </c>
      <c r="R40" s="3">
        <f>ROUND(0.0,2)</f>
        <v/>
      </c>
      <c r="S40" s="3">
        <f>ROUND(0.0,2)</f>
        <v/>
      </c>
      <c r="T40" s="3">
        <f>ROUND(0.0,2)</f>
        <v/>
      </c>
      <c r="U40" s="3">
        <f>ROUND(0.0,2)</f>
        <v/>
      </c>
      <c r="V40" s="3">
        <f>ROUND(0.0,2)</f>
        <v/>
      </c>
      <c r="W40" s="4">
        <f>IFERROR((Q40/P40),0)</f>
        <v/>
      </c>
      <c r="X40" s="4">
        <f>IFERROR(((0+O11+O12+O13+O14+O15+O16+O17+O19+O20+O21+O22+O23+O24+O25+O27+O28+O29+O30+O31+O32+O33+O35+O36+O37+O38+O39+O40)/T2),0)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2023-10-16</t>
        </is>
      </c>
      <c r="AB40" s="5">
        <f>ROUND(0.0,2)</f>
        <v/>
      </c>
      <c r="AC40" s="3">
        <f>ROUND(0.0,2)</f>
        <v/>
      </c>
      <c r="AD40" s="3">
        <f>ROUND(0.0,2)</f>
        <v/>
      </c>
      <c r="AE40" s="3">
        <f>ROUND(0.0,2)</f>
        <v/>
      </c>
      <c r="AF40" s="3">
        <f>ROUND(0.0,2)</f>
        <v/>
      </c>
      <c r="AG40" s="3">
        <f>ROUND(0.0,2)</f>
        <v/>
      </c>
      <c r="AH40" s="3">
        <f>ROUND(0.0,2)</f>
        <v/>
      </c>
      <c r="AI40" s="3">
        <f>ROUND(0.0,2)</f>
        <v/>
      </c>
      <c r="AJ40" s="4">
        <f>IFERROR((AD40/AC40),0)</f>
        <v/>
      </c>
      <c r="AK40" s="4">
        <f>IFERROR(((0+AB11+AB12+AB13+AB14+AB15+AB16+AB17+AB19+AB20+AB21+AB22+AB23+AB24+AB25+AB27+AB28+AB29+AB30+AB31+AB32+AB33+AB35+AB36+AB37+AB38+AB39+AB40)/T2),0)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2023-10-16</t>
        </is>
      </c>
      <c r="AO40" s="5">
        <f>ROUND(0.0,2)</f>
        <v/>
      </c>
      <c r="AP40" s="3">
        <f>ROUND(0.0,2)</f>
        <v/>
      </c>
      <c r="AQ40" s="3">
        <f>ROUND(0.0,2)</f>
        <v/>
      </c>
      <c r="AR40" s="3">
        <f>ROUND(0.0,2)</f>
        <v/>
      </c>
      <c r="AS40" s="3">
        <f>ROUND(0.0,2)</f>
        <v/>
      </c>
      <c r="AT40" s="3">
        <f>ROUND(0.0,2)</f>
        <v/>
      </c>
      <c r="AU40" s="3">
        <f>ROUND(0.0,2)</f>
        <v/>
      </c>
      <c r="AV40" s="3">
        <f>ROUND(0.0,2)</f>
        <v/>
      </c>
      <c r="AW40" s="4">
        <f>IFERROR((AQ40/AP40),0)</f>
        <v/>
      </c>
      <c r="AX40" s="4">
        <f>IFERROR(((0+AO11+AO12+AO13+AO14+AO15+AO16+AO17+AO19+AO20+AO21+AO22+AO23+AO24+AO25+AO27+AO28+AO29+AO30+AO31+AO32+AO33+AO35+AO36+AO37+AO38+AO39+AO40)/T2),0)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2023-10-16</t>
        </is>
      </c>
      <c r="BB40" s="5">
        <f>ROUND(0.0,2)</f>
        <v/>
      </c>
      <c r="BC40" s="3">
        <f>ROUND(0.0,2)</f>
        <v/>
      </c>
      <c r="BD40" s="3">
        <f>ROUND(0.0,2)</f>
        <v/>
      </c>
      <c r="BE40" s="3">
        <f>ROUND(0.0,2)</f>
        <v/>
      </c>
      <c r="BF40" s="3">
        <f>ROUND(0.0,2)</f>
        <v/>
      </c>
      <c r="BG40" s="3">
        <f>ROUND(0.0,2)</f>
        <v/>
      </c>
      <c r="BH40" s="3">
        <f>ROUND(0.0,2)</f>
        <v/>
      </c>
      <c r="BI40" s="3">
        <f>ROUND(0.0,2)</f>
        <v/>
      </c>
      <c r="BJ40" s="4">
        <f>IFERROR((BD40/BC40),0)</f>
        <v/>
      </c>
      <c r="BK40" s="4">
        <f>IFERROR(((0+BB11+BB12+BB13+BB14+BB15+BB16+BB17+BB19+BB20+BB21+BB22+BB23+BB24+BB25+BB27+BB28+BB29+BB30+BB31+BB32+BB33+BB35+BB36+BB37+BB38+BB39+BB40)/T2),0)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2023-10-16</t>
        </is>
      </c>
      <c r="BO40" s="5">
        <f>ROUND(0.0,2)</f>
        <v/>
      </c>
      <c r="BP40" s="3">
        <f>ROUND(0.0,2)</f>
        <v/>
      </c>
      <c r="BQ40" s="3">
        <f>ROUND(0.0,2)</f>
        <v/>
      </c>
      <c r="BR40" s="3">
        <f>ROUND(0.0,2)</f>
        <v/>
      </c>
      <c r="BS40" s="3">
        <f>ROUND(0.0,2)</f>
        <v/>
      </c>
      <c r="BT40" s="3">
        <f>ROUND(0.0,2)</f>
        <v/>
      </c>
      <c r="BU40" s="3">
        <f>ROUND(0.0,2)</f>
        <v/>
      </c>
      <c r="BV40" s="3">
        <f>ROUND(0.0,2)</f>
        <v/>
      </c>
      <c r="BW40" s="4">
        <f>IFERROR((BQ40/BP40),0)</f>
        <v/>
      </c>
      <c r="BX40" s="4">
        <f>IFERROR(((0+BO11+BO12+BO13+BO14+BO15+BO16+BO17+BO19+BO20+BO21+BO22+BO23+BO24+BO25+BO27+BO28+BO29+BO30+BO31+BO32+BO33+BO35+BO36+BO37+BO38+BO39+BO40)/T2),0)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2023-10-16</t>
        </is>
      </c>
      <c r="CB40" s="5">
        <f>ROUND(0.0,2)</f>
        <v/>
      </c>
      <c r="CC40" s="3">
        <f>ROUND(0.0,2)</f>
        <v/>
      </c>
      <c r="CD40" s="3">
        <f>ROUND(0.0,2)</f>
        <v/>
      </c>
      <c r="CE40" s="3">
        <f>ROUND(0.0,2)</f>
        <v/>
      </c>
      <c r="CF40" s="3">
        <f>ROUND(0.0,2)</f>
        <v/>
      </c>
      <c r="CG40" s="3">
        <f>ROUND(0.0,2)</f>
        <v/>
      </c>
      <c r="CH40" s="3">
        <f>ROUND(0.0,2)</f>
        <v/>
      </c>
      <c r="CI40" s="3">
        <f>ROUND(0.0,2)</f>
        <v/>
      </c>
      <c r="CJ40" s="4">
        <f>IFERROR((CD40/CC40),0)</f>
        <v/>
      </c>
      <c r="CK40" s="4">
        <f>IFERROR(((0+CB11+CB12+CB13+CB14+CB15+CB16+CB17+CB19+CB20+CB21+CB22+CB23+CB24+CB25+CB27+CB28+CB29+CB30+CB31+CB32+CB33+CB35+CB36+CB37+CB38+CB39+CB40)/T2),0)</f>
        <v/>
      </c>
      <c r="CL40" s="5">
        <f>IFERROR(ROUND(CB40/CD40,2),0)</f>
        <v/>
      </c>
      <c r="CM40" s="5">
        <f>IFERROR(ROUND(CB40/CE40,2),0)</f>
        <v/>
      </c>
      <c r="CN40" s="2" t="inlineStr">
        <is>
          <t>2023-10-16</t>
        </is>
      </c>
      <c r="CO40" s="5">
        <f>ROUND(0.0,2)</f>
        <v/>
      </c>
      <c r="CP40" s="3">
        <f>ROUND(0.0,2)</f>
        <v/>
      </c>
      <c r="CQ40" s="3">
        <f>ROUND(0.0,2)</f>
        <v/>
      </c>
      <c r="CR40" s="3">
        <f>ROUND(0.0,2)</f>
        <v/>
      </c>
      <c r="CS40" s="3">
        <f>ROUND(0.0,2)</f>
        <v/>
      </c>
      <c r="CT40" s="3">
        <f>ROUND(0.0,2)</f>
        <v/>
      </c>
      <c r="CU40" s="3">
        <f>ROUND(0.0,2)</f>
        <v/>
      </c>
      <c r="CV40" s="3">
        <f>ROUND(0.0,2)</f>
        <v/>
      </c>
      <c r="CW40" s="4">
        <f>IFERROR((CQ40/CP40),0)</f>
        <v/>
      </c>
      <c r="CX40" s="4">
        <f>IFERROR(((0+CO11+CO12+CO13+CO14+CO15+CO16+CO17+CO19+CO20+CO21+CO22+CO23+CO24+CO25+CO27+CO28+CO29+CO30+CO31+CO32+CO33+CO35+CO36+CO37+CO38+CO39+CO40)/T2),0)</f>
        <v/>
      </c>
      <c r="CY40" s="5">
        <f>IFERROR(ROUND(CO40/CQ40,2),0)</f>
        <v/>
      </c>
      <c r="CZ40" s="5">
        <f>IFERROR(ROUND(CO40/CR40,2),0)</f>
        <v/>
      </c>
      <c r="DA40" s="2" t="inlineStr">
        <is>
          <t>2023-10-16</t>
        </is>
      </c>
      <c r="DB40" s="5">
        <f>ROUND(0.0,2)</f>
        <v/>
      </c>
      <c r="DC40" s="3">
        <f>ROUND(0.0,2)</f>
        <v/>
      </c>
      <c r="DD40" s="3">
        <f>ROUND(0.0,2)</f>
        <v/>
      </c>
      <c r="DE40" s="3">
        <f>ROUND(0.0,2)</f>
        <v/>
      </c>
      <c r="DF40" s="3">
        <f>ROUND(0.0,2)</f>
        <v/>
      </c>
      <c r="DG40" s="3">
        <f>ROUND(0.0,2)</f>
        <v/>
      </c>
      <c r="DH40" s="3">
        <f>ROUND(0.0,2)</f>
        <v/>
      </c>
      <c r="DI40" s="3">
        <f>ROUND(0.0,2)</f>
        <v/>
      </c>
      <c r="DJ40" s="4">
        <f>IFERROR((DD40/DC40),0)</f>
        <v/>
      </c>
      <c r="DK40" s="4">
        <f>IFERROR(((0+DB11+DB12+DB13+DB14+DB15+DB16+DB17+DB19+DB20+DB21+DB22+DB23+DB24+DB25+DB27+DB28+DB29+DB30+DB31+DB32+DB33+DB35+DB36+DB37+DB38+DB39+DB40)/T2),0)</f>
        <v/>
      </c>
      <c r="DL40" s="5">
        <f>IFERROR(ROUND(DB40/DD40,2),0)</f>
        <v/>
      </c>
      <c r="DM40" s="5">
        <f>IFERROR(ROUND(DB40/DE40,2),0)</f>
        <v/>
      </c>
      <c r="DN40" s="2" t="inlineStr">
        <is>
          <t>2023-10-16</t>
        </is>
      </c>
      <c r="DO40" s="5">
        <f>ROUND(0.0,2)</f>
        <v/>
      </c>
      <c r="DP40" s="3">
        <f>ROUND(0.0,2)</f>
        <v/>
      </c>
      <c r="DQ40" s="3">
        <f>ROUND(0.0,2)</f>
        <v/>
      </c>
      <c r="DR40" s="3">
        <f>ROUND(0.0,2)</f>
        <v/>
      </c>
      <c r="DS40" s="3">
        <f>ROUND(0.0,2)</f>
        <v/>
      </c>
      <c r="DT40" s="3">
        <f>ROUND(0.0,2)</f>
        <v/>
      </c>
      <c r="DU40" s="3">
        <f>ROUND(0.0,2)</f>
        <v/>
      </c>
      <c r="DV40" s="3">
        <f>ROUND(0.0,2)</f>
        <v/>
      </c>
      <c r="DW40" s="4">
        <f>IFERROR((DQ40/DP40),0)</f>
        <v/>
      </c>
      <c r="DX40" s="4">
        <f>IFERROR(((0+DO11+DO12+DO13+DO14+DO15+DO16+DO17+DO19+DO20+DO21+DO22+DO23+DO24+DO25+DO27+DO28+DO29+DO30+DO31+DO32+DO33+DO35+DO36+DO37+DO38+DO39+DO40)/T2),0)</f>
        <v/>
      </c>
      <c r="DY40" s="5">
        <f>IFERROR(ROUND(DO40/DQ40,2),0)</f>
        <v/>
      </c>
      <c r="DZ40" s="5">
        <f>IFERROR(ROUND(DO40/DR40,2),0)</f>
        <v/>
      </c>
      <c r="EA40" s="2" t="inlineStr">
        <is>
          <t>2023-10-16</t>
        </is>
      </c>
      <c r="EB40" s="5">
        <f>ROUND(0.0,2)</f>
        <v/>
      </c>
      <c r="EC40" s="3">
        <f>ROUND(0.0,2)</f>
        <v/>
      </c>
      <c r="ED40" s="3">
        <f>ROUND(0.0,2)</f>
        <v/>
      </c>
      <c r="EE40" s="3">
        <f>ROUND(0.0,2)</f>
        <v/>
      </c>
      <c r="EF40" s="3">
        <f>ROUND(0.0,2)</f>
        <v/>
      </c>
      <c r="EG40" s="3">
        <f>ROUND(0.0,2)</f>
        <v/>
      </c>
      <c r="EH40" s="3">
        <f>ROUND(0.0,2)</f>
        <v/>
      </c>
      <c r="EI40" s="3">
        <f>ROUND(0.0,2)</f>
        <v/>
      </c>
      <c r="EJ40" s="4">
        <f>IFERROR((ED40/EC40),0)</f>
        <v/>
      </c>
      <c r="EK40" s="4">
        <f>IFERROR(((0+EB11+EB12+EB13+EB14+EB15+EB16+EB17+EB19+EB20+EB21+EB22+EB23+EB24+EB25+EB27+EB28+EB29+EB30+EB31+EB32+EB33+EB35+EB36+EB37+EB38+EB39+EB40)/T2),0)</f>
        <v/>
      </c>
      <c r="EL40" s="5">
        <f>IFERROR(ROUND(EB40/ED40,2),0)</f>
        <v/>
      </c>
      <c r="EM40" s="5">
        <f>IFERROR(ROUND(EB40/EE40,2),0)</f>
        <v/>
      </c>
    </row>
    <row r="41">
      <c r="A41" s="2" t="inlineStr">
        <is>
          <t>2023-10-17</t>
        </is>
      </c>
      <c r="B41" s="5">
        <f>ROUND(0.0,2)</f>
        <v/>
      </c>
      <c r="C41" s="3">
        <f>ROUND(0.0,2)</f>
        <v/>
      </c>
      <c r="D41" s="3">
        <f>ROUND(0.0,2)</f>
        <v/>
      </c>
      <c r="E41" s="3">
        <f>ROUND(0.0,2)</f>
        <v/>
      </c>
      <c r="F41" s="3">
        <f>ROUND(0.0,2)</f>
        <v/>
      </c>
      <c r="G41" s="3">
        <f>ROUND(0.0,2)</f>
        <v/>
      </c>
      <c r="H41" s="3">
        <f>ROUND(0.0,2)</f>
        <v/>
      </c>
      <c r="I41" s="3">
        <f>ROUND(0.0,2)</f>
        <v/>
      </c>
      <c r="J41" s="4">
        <f>IFERROR((D41/C41),0)</f>
        <v/>
      </c>
      <c r="K41" s="4">
        <f>IFERROR(((0+B11+B12+B13+B14+B15+B16+B17+B19+B20+B21+B22+B23+B24+B25+B27+B28+B29+B30+B31+B32+B33+B35+B36+B37+B38+B39+B40+B41)/T2),0)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2023-10-17</t>
        </is>
      </c>
      <c r="O41" s="5">
        <f>ROUND(0.0,2)</f>
        <v/>
      </c>
      <c r="P41" s="3">
        <f>ROUND(0.0,2)</f>
        <v/>
      </c>
      <c r="Q41" s="3">
        <f>ROUND(0.0,2)</f>
        <v/>
      </c>
      <c r="R41" s="3">
        <f>ROUND(0.0,2)</f>
        <v/>
      </c>
      <c r="S41" s="3">
        <f>ROUND(0.0,2)</f>
        <v/>
      </c>
      <c r="T41" s="3">
        <f>ROUND(0.0,2)</f>
        <v/>
      </c>
      <c r="U41" s="3">
        <f>ROUND(0.0,2)</f>
        <v/>
      </c>
      <c r="V41" s="3">
        <f>ROUND(0.0,2)</f>
        <v/>
      </c>
      <c r="W41" s="4">
        <f>IFERROR((Q41/P41),0)</f>
        <v/>
      </c>
      <c r="X41" s="4">
        <f>IFERROR(((0+O11+O12+O13+O14+O15+O16+O17+O19+O20+O21+O22+O23+O24+O25+O27+O28+O29+O30+O31+O32+O33+O35+O36+O37+O38+O39+O40+O41)/T2),0)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2023-10-17</t>
        </is>
      </c>
      <c r="AB41" s="5">
        <f>ROUND(0.0,2)</f>
        <v/>
      </c>
      <c r="AC41" s="3">
        <f>ROUND(0.0,2)</f>
        <v/>
      </c>
      <c r="AD41" s="3">
        <f>ROUND(0.0,2)</f>
        <v/>
      </c>
      <c r="AE41" s="3">
        <f>ROUND(0.0,2)</f>
        <v/>
      </c>
      <c r="AF41" s="3">
        <f>ROUND(0.0,2)</f>
        <v/>
      </c>
      <c r="AG41" s="3">
        <f>ROUND(0.0,2)</f>
        <v/>
      </c>
      <c r="AH41" s="3">
        <f>ROUND(0.0,2)</f>
        <v/>
      </c>
      <c r="AI41" s="3">
        <f>ROUND(0.0,2)</f>
        <v/>
      </c>
      <c r="AJ41" s="4">
        <f>IFERROR((AD41/AC41),0)</f>
        <v/>
      </c>
      <c r="AK41" s="4">
        <f>IFERROR(((0+AB11+AB12+AB13+AB14+AB15+AB16+AB17+AB19+AB20+AB21+AB22+AB23+AB24+AB25+AB27+AB28+AB29+AB30+AB31+AB32+AB33+AB35+AB36+AB37+AB38+AB39+AB40+AB41)/T2),0)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2023-10-17</t>
        </is>
      </c>
      <c r="AO41" s="5">
        <f>ROUND(0.0,2)</f>
        <v/>
      </c>
      <c r="AP41" s="3">
        <f>ROUND(0.0,2)</f>
        <v/>
      </c>
      <c r="AQ41" s="3">
        <f>ROUND(0.0,2)</f>
        <v/>
      </c>
      <c r="AR41" s="3">
        <f>ROUND(0.0,2)</f>
        <v/>
      </c>
      <c r="AS41" s="3">
        <f>ROUND(0.0,2)</f>
        <v/>
      </c>
      <c r="AT41" s="3">
        <f>ROUND(0.0,2)</f>
        <v/>
      </c>
      <c r="AU41" s="3">
        <f>ROUND(0.0,2)</f>
        <v/>
      </c>
      <c r="AV41" s="3">
        <f>ROUND(0.0,2)</f>
        <v/>
      </c>
      <c r="AW41" s="4">
        <f>IFERROR((AQ41/AP41),0)</f>
        <v/>
      </c>
      <c r="AX41" s="4">
        <f>IFERROR(((0+AO11+AO12+AO13+AO14+AO15+AO16+AO17+AO19+AO20+AO21+AO22+AO23+AO24+AO25+AO27+AO28+AO29+AO30+AO31+AO32+AO33+AO35+AO36+AO37+AO38+AO39+AO40+AO41)/T2),0)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2023-10-17</t>
        </is>
      </c>
      <c r="BB41" s="5">
        <f>ROUND(0.0,2)</f>
        <v/>
      </c>
      <c r="BC41" s="3">
        <f>ROUND(0.0,2)</f>
        <v/>
      </c>
      <c r="BD41" s="3">
        <f>ROUND(0.0,2)</f>
        <v/>
      </c>
      <c r="BE41" s="3">
        <f>ROUND(0.0,2)</f>
        <v/>
      </c>
      <c r="BF41" s="3">
        <f>ROUND(0.0,2)</f>
        <v/>
      </c>
      <c r="BG41" s="3">
        <f>ROUND(0.0,2)</f>
        <v/>
      </c>
      <c r="BH41" s="3">
        <f>ROUND(0.0,2)</f>
        <v/>
      </c>
      <c r="BI41" s="3">
        <f>ROUND(0.0,2)</f>
        <v/>
      </c>
      <c r="BJ41" s="4">
        <f>IFERROR((BD41/BC41),0)</f>
        <v/>
      </c>
      <c r="BK41" s="4">
        <f>IFERROR(((0+BB11+BB12+BB13+BB14+BB15+BB16+BB17+BB19+BB20+BB21+BB22+BB23+BB24+BB25+BB27+BB28+BB29+BB30+BB31+BB32+BB33+BB35+BB36+BB37+BB38+BB39+BB40+BB41)/T2),0)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2023-10-17</t>
        </is>
      </c>
      <c r="BO41" s="5">
        <f>ROUND(0.0,2)</f>
        <v/>
      </c>
      <c r="BP41" s="3">
        <f>ROUND(0.0,2)</f>
        <v/>
      </c>
      <c r="BQ41" s="3">
        <f>ROUND(0.0,2)</f>
        <v/>
      </c>
      <c r="BR41" s="3">
        <f>ROUND(0.0,2)</f>
        <v/>
      </c>
      <c r="BS41" s="3">
        <f>ROUND(0.0,2)</f>
        <v/>
      </c>
      <c r="BT41" s="3">
        <f>ROUND(0.0,2)</f>
        <v/>
      </c>
      <c r="BU41" s="3">
        <f>ROUND(0.0,2)</f>
        <v/>
      </c>
      <c r="BV41" s="3">
        <f>ROUND(0.0,2)</f>
        <v/>
      </c>
      <c r="BW41" s="4">
        <f>IFERROR((BQ41/BP41),0)</f>
        <v/>
      </c>
      <c r="BX41" s="4">
        <f>IFERROR(((0+BO11+BO12+BO13+BO14+BO15+BO16+BO17+BO19+BO20+BO21+BO22+BO23+BO24+BO25+BO27+BO28+BO29+BO30+BO31+BO32+BO33+BO35+BO36+BO37+BO38+BO39+BO40+BO41)/T2),0)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2023-10-17</t>
        </is>
      </c>
      <c r="CB41" s="5">
        <f>ROUND(0.0,2)</f>
        <v/>
      </c>
      <c r="CC41" s="3">
        <f>ROUND(0.0,2)</f>
        <v/>
      </c>
      <c r="CD41" s="3">
        <f>ROUND(0.0,2)</f>
        <v/>
      </c>
      <c r="CE41" s="3">
        <f>ROUND(0.0,2)</f>
        <v/>
      </c>
      <c r="CF41" s="3">
        <f>ROUND(0.0,2)</f>
        <v/>
      </c>
      <c r="CG41" s="3">
        <f>ROUND(0.0,2)</f>
        <v/>
      </c>
      <c r="CH41" s="3">
        <f>ROUND(0.0,2)</f>
        <v/>
      </c>
      <c r="CI41" s="3">
        <f>ROUND(0.0,2)</f>
        <v/>
      </c>
      <c r="CJ41" s="4">
        <f>IFERROR((CD41/CC41),0)</f>
        <v/>
      </c>
      <c r="CK41" s="4">
        <f>IFERROR(((0+CB11+CB12+CB13+CB14+CB15+CB16+CB17+CB19+CB20+CB21+CB22+CB23+CB24+CB25+CB27+CB28+CB29+CB30+CB31+CB32+CB33+CB35+CB36+CB37+CB38+CB39+CB40+CB41)/T2),0)</f>
        <v/>
      </c>
      <c r="CL41" s="5">
        <f>IFERROR(ROUND(CB41/CD41,2),0)</f>
        <v/>
      </c>
      <c r="CM41" s="5">
        <f>IFERROR(ROUND(CB41/CE41,2),0)</f>
        <v/>
      </c>
      <c r="CN41" s="2" t="inlineStr">
        <is>
          <t>2023-10-17</t>
        </is>
      </c>
      <c r="CO41" s="5">
        <f>ROUND(0.0,2)</f>
        <v/>
      </c>
      <c r="CP41" s="3">
        <f>ROUND(0.0,2)</f>
        <v/>
      </c>
      <c r="CQ41" s="3">
        <f>ROUND(0.0,2)</f>
        <v/>
      </c>
      <c r="CR41" s="3">
        <f>ROUND(0.0,2)</f>
        <v/>
      </c>
      <c r="CS41" s="3">
        <f>ROUND(0.0,2)</f>
        <v/>
      </c>
      <c r="CT41" s="3">
        <f>ROUND(0.0,2)</f>
        <v/>
      </c>
      <c r="CU41" s="3">
        <f>ROUND(0.0,2)</f>
        <v/>
      </c>
      <c r="CV41" s="3">
        <f>ROUND(0.0,2)</f>
        <v/>
      </c>
      <c r="CW41" s="4">
        <f>IFERROR((CQ41/CP41),0)</f>
        <v/>
      </c>
      <c r="CX41" s="4">
        <f>IFERROR(((0+CO11+CO12+CO13+CO14+CO15+CO16+CO17+CO19+CO20+CO21+CO22+CO23+CO24+CO25+CO27+CO28+CO29+CO30+CO31+CO32+CO33+CO35+CO36+CO37+CO38+CO39+CO40+CO41)/T2),0)</f>
        <v/>
      </c>
      <c r="CY41" s="5">
        <f>IFERROR(ROUND(CO41/CQ41,2),0)</f>
        <v/>
      </c>
      <c r="CZ41" s="5">
        <f>IFERROR(ROUND(CO41/CR41,2),0)</f>
        <v/>
      </c>
      <c r="DA41" s="2" t="inlineStr">
        <is>
          <t>2023-10-17</t>
        </is>
      </c>
      <c r="DB41" s="5">
        <f>ROUND(0.0,2)</f>
        <v/>
      </c>
      <c r="DC41" s="3">
        <f>ROUND(0.0,2)</f>
        <v/>
      </c>
      <c r="DD41" s="3">
        <f>ROUND(0.0,2)</f>
        <v/>
      </c>
      <c r="DE41" s="3">
        <f>ROUND(0.0,2)</f>
        <v/>
      </c>
      <c r="DF41" s="3">
        <f>ROUND(0.0,2)</f>
        <v/>
      </c>
      <c r="DG41" s="3">
        <f>ROUND(0.0,2)</f>
        <v/>
      </c>
      <c r="DH41" s="3">
        <f>ROUND(0.0,2)</f>
        <v/>
      </c>
      <c r="DI41" s="3">
        <f>ROUND(0.0,2)</f>
        <v/>
      </c>
      <c r="DJ41" s="4">
        <f>IFERROR((DD41/DC41),0)</f>
        <v/>
      </c>
      <c r="DK41" s="4">
        <f>IFERROR(((0+DB11+DB12+DB13+DB14+DB15+DB16+DB17+DB19+DB20+DB21+DB22+DB23+DB24+DB25+DB27+DB28+DB29+DB30+DB31+DB32+DB33+DB35+DB36+DB37+DB38+DB39+DB40+DB41)/T2),0)</f>
        <v/>
      </c>
      <c r="DL41" s="5">
        <f>IFERROR(ROUND(DB41/DD41,2),0)</f>
        <v/>
      </c>
      <c r="DM41" s="5">
        <f>IFERROR(ROUND(DB41/DE41,2),0)</f>
        <v/>
      </c>
      <c r="DN41" s="2" t="inlineStr">
        <is>
          <t>2023-10-17</t>
        </is>
      </c>
      <c r="DO41" s="5">
        <f>ROUND(0.0,2)</f>
        <v/>
      </c>
      <c r="DP41" s="3">
        <f>ROUND(0.0,2)</f>
        <v/>
      </c>
      <c r="DQ41" s="3">
        <f>ROUND(0.0,2)</f>
        <v/>
      </c>
      <c r="DR41" s="3">
        <f>ROUND(0.0,2)</f>
        <v/>
      </c>
      <c r="DS41" s="3">
        <f>ROUND(0.0,2)</f>
        <v/>
      </c>
      <c r="DT41" s="3">
        <f>ROUND(0.0,2)</f>
        <v/>
      </c>
      <c r="DU41" s="3">
        <f>ROUND(0.0,2)</f>
        <v/>
      </c>
      <c r="DV41" s="3">
        <f>ROUND(0.0,2)</f>
        <v/>
      </c>
      <c r="DW41" s="4">
        <f>IFERROR((DQ41/DP41),0)</f>
        <v/>
      </c>
      <c r="DX41" s="4">
        <f>IFERROR(((0+DO11+DO12+DO13+DO14+DO15+DO16+DO17+DO19+DO20+DO21+DO22+DO23+DO24+DO25+DO27+DO28+DO29+DO30+DO31+DO32+DO33+DO35+DO36+DO37+DO38+DO39+DO40+DO41)/T2),0)</f>
        <v/>
      </c>
      <c r="DY41" s="5">
        <f>IFERROR(ROUND(DO41/DQ41,2),0)</f>
        <v/>
      </c>
      <c r="DZ41" s="5">
        <f>IFERROR(ROUND(DO41/DR41,2),0)</f>
        <v/>
      </c>
      <c r="EA41" s="2" t="inlineStr">
        <is>
          <t>2023-10-17</t>
        </is>
      </c>
      <c r="EB41" s="5">
        <f>ROUND(0.0,2)</f>
        <v/>
      </c>
      <c r="EC41" s="3">
        <f>ROUND(0.0,2)</f>
        <v/>
      </c>
      <c r="ED41" s="3">
        <f>ROUND(0.0,2)</f>
        <v/>
      </c>
      <c r="EE41" s="3">
        <f>ROUND(0.0,2)</f>
        <v/>
      </c>
      <c r="EF41" s="3">
        <f>ROUND(0.0,2)</f>
        <v/>
      </c>
      <c r="EG41" s="3">
        <f>ROUND(0.0,2)</f>
        <v/>
      </c>
      <c r="EH41" s="3">
        <f>ROUND(0.0,2)</f>
        <v/>
      </c>
      <c r="EI41" s="3">
        <f>ROUND(0.0,2)</f>
        <v/>
      </c>
      <c r="EJ41" s="4">
        <f>IFERROR((ED41/EC41),0)</f>
        <v/>
      </c>
      <c r="EK41" s="4">
        <f>IFERROR(((0+EB11+EB12+EB13+EB14+EB15+EB16+EB17+EB19+EB20+EB21+EB22+EB23+EB24+EB25+EB27+EB28+EB29+EB30+EB31+EB32+EB33+EB35+EB36+EB37+EB38+EB39+EB40+EB41)/T2),0)</f>
        <v/>
      </c>
      <c r="EL41" s="5">
        <f>IFERROR(ROUND(EB41/ED41,2),0)</f>
        <v/>
      </c>
      <c r="EM41" s="5">
        <f>IFERROR(ROUND(EB41/EE41,2),0)</f>
        <v/>
      </c>
    </row>
    <row r="42">
      <c r="A42" s="2" t="inlineStr">
        <is>
          <t>4 Weekly Total</t>
        </is>
      </c>
      <c r="B42" s="5">
        <f>ROUND(0.0,2)</f>
        <v/>
      </c>
      <c r="C42" s="3">
        <f>ROUND(0.0,2)</f>
        <v/>
      </c>
      <c r="D42" s="3">
        <f>ROUND(0.0,2)</f>
        <v/>
      </c>
      <c r="E42" s="3">
        <f>ROUND(0.0,2)</f>
        <v/>
      </c>
      <c r="F42" s="3">
        <f>ROUND(0.0,2)</f>
        <v/>
      </c>
      <c r="G42" s="3">
        <f>ROUND(0.0,2)</f>
        <v/>
      </c>
      <c r="H42" s="3">
        <f>ROUND(0.0,2)</f>
        <v/>
      </c>
      <c r="I42" s="3">
        <f>ROUND(0.0,2)</f>
        <v/>
      </c>
      <c r="J42" s="4">
        <f>IFERROR((D42/C42),0)</f>
        <v/>
      </c>
      <c r="K42" s="4">
        <f>IFERROR(((0+B11+B12+B13+B14+B15+B16+B17+B19+B20+B21+B22+B23+B24+B25+B27+B28+B29+B30+B31+B32+B33+B35+B36+B37+B38+B39+B40+B41)/T2),0)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4 Weekly Total</t>
        </is>
      </c>
      <c r="O42" s="5">
        <f>ROUND(0.0,2)</f>
        <v/>
      </c>
      <c r="P42" s="3">
        <f>ROUND(0.0,2)</f>
        <v/>
      </c>
      <c r="Q42" s="3">
        <f>ROUND(0.0,2)</f>
        <v/>
      </c>
      <c r="R42" s="3">
        <f>ROUND(0.0,2)</f>
        <v/>
      </c>
      <c r="S42" s="3">
        <f>ROUND(0.0,2)</f>
        <v/>
      </c>
      <c r="T42" s="3">
        <f>ROUND(0.0,2)</f>
        <v/>
      </c>
      <c r="U42" s="3">
        <f>ROUND(0.0,2)</f>
        <v/>
      </c>
      <c r="V42" s="3">
        <f>ROUND(0.0,2)</f>
        <v/>
      </c>
      <c r="W42" s="4">
        <f>IFERROR((Q42/P42),0)</f>
        <v/>
      </c>
      <c r="X42" s="4">
        <f>IFERROR(((0+O11+O12+O13+O14+O15+O16+O17+O19+O20+O21+O22+O23+O24+O25+O27+O28+O29+O30+O31+O32+O33+O35+O36+O37+O38+O39+O40+O41)/T2),0)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4 Weekly Total</t>
        </is>
      </c>
      <c r="AB42" s="5">
        <f>ROUND(0.0,2)</f>
        <v/>
      </c>
      <c r="AC42" s="3">
        <f>ROUND(0.0,2)</f>
        <v/>
      </c>
      <c r="AD42" s="3">
        <f>ROUND(0.0,2)</f>
        <v/>
      </c>
      <c r="AE42" s="3">
        <f>ROUND(0.0,2)</f>
        <v/>
      </c>
      <c r="AF42" s="3">
        <f>ROUND(0.0,2)</f>
        <v/>
      </c>
      <c r="AG42" s="3">
        <f>ROUND(0.0,2)</f>
        <v/>
      </c>
      <c r="AH42" s="3">
        <f>ROUND(0.0,2)</f>
        <v/>
      </c>
      <c r="AI42" s="3">
        <f>ROUND(0.0,2)</f>
        <v/>
      </c>
      <c r="AJ42" s="4">
        <f>IFERROR((AD42/AC42),0)</f>
        <v/>
      </c>
      <c r="AK42" s="4">
        <f>IFERROR(((0+AB11+AB12+AB13+AB14+AB15+AB16+AB17+AB19+AB20+AB21+AB22+AB23+AB24+AB25+AB27+AB28+AB29+AB30+AB31+AB32+AB33+AB35+AB36+AB37+AB38+AB39+AB40+AB41)/T2),0)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4 Weekly Total</t>
        </is>
      </c>
      <c r="AO42" s="5">
        <f>ROUND(0.0,2)</f>
        <v/>
      </c>
      <c r="AP42" s="3">
        <f>ROUND(0.0,2)</f>
        <v/>
      </c>
      <c r="AQ42" s="3">
        <f>ROUND(0.0,2)</f>
        <v/>
      </c>
      <c r="AR42" s="3">
        <f>ROUND(0.0,2)</f>
        <v/>
      </c>
      <c r="AS42" s="3">
        <f>ROUND(0.0,2)</f>
        <v/>
      </c>
      <c r="AT42" s="3">
        <f>ROUND(0.0,2)</f>
        <v/>
      </c>
      <c r="AU42" s="3">
        <f>ROUND(0.0,2)</f>
        <v/>
      </c>
      <c r="AV42" s="3">
        <f>ROUND(0.0,2)</f>
        <v/>
      </c>
      <c r="AW42" s="4">
        <f>IFERROR((AQ42/AP42),0)</f>
        <v/>
      </c>
      <c r="AX42" s="4">
        <f>IFERROR(((0+AO11+AO12+AO13+AO14+AO15+AO16+AO17+AO19+AO20+AO21+AO22+AO23+AO24+AO25+AO27+AO28+AO29+AO30+AO31+AO32+AO33+AO35+AO36+AO37+AO38+AO39+AO40+AO41)/T2),0)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4 Weekly Total</t>
        </is>
      </c>
      <c r="BB42" s="5">
        <f>ROUND(0.0,2)</f>
        <v/>
      </c>
      <c r="BC42" s="3">
        <f>ROUND(0.0,2)</f>
        <v/>
      </c>
      <c r="BD42" s="3">
        <f>ROUND(0.0,2)</f>
        <v/>
      </c>
      <c r="BE42" s="3">
        <f>ROUND(0.0,2)</f>
        <v/>
      </c>
      <c r="BF42" s="3">
        <f>ROUND(0.0,2)</f>
        <v/>
      </c>
      <c r="BG42" s="3">
        <f>ROUND(0.0,2)</f>
        <v/>
      </c>
      <c r="BH42" s="3">
        <f>ROUND(0.0,2)</f>
        <v/>
      </c>
      <c r="BI42" s="3">
        <f>ROUND(0.0,2)</f>
        <v/>
      </c>
      <c r="BJ42" s="4">
        <f>IFERROR((BD42/BC42),0)</f>
        <v/>
      </c>
      <c r="BK42" s="4">
        <f>IFERROR(((0+BB11+BB12+BB13+BB14+BB15+BB16+BB17+BB19+BB20+BB21+BB22+BB23+BB24+BB25+BB27+BB28+BB29+BB30+BB31+BB32+BB33+BB35+BB36+BB37+BB38+BB39+BB40+BB41)/T2),0)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4 Weekly Total</t>
        </is>
      </c>
      <c r="BO42" s="5">
        <f>ROUND(0.0,2)</f>
        <v/>
      </c>
      <c r="BP42" s="3">
        <f>ROUND(0.0,2)</f>
        <v/>
      </c>
      <c r="BQ42" s="3">
        <f>ROUND(0.0,2)</f>
        <v/>
      </c>
      <c r="BR42" s="3">
        <f>ROUND(0.0,2)</f>
        <v/>
      </c>
      <c r="BS42" s="3">
        <f>ROUND(0.0,2)</f>
        <v/>
      </c>
      <c r="BT42" s="3">
        <f>ROUND(0.0,2)</f>
        <v/>
      </c>
      <c r="BU42" s="3">
        <f>ROUND(0.0,2)</f>
        <v/>
      </c>
      <c r="BV42" s="3">
        <f>ROUND(0.0,2)</f>
        <v/>
      </c>
      <c r="BW42" s="4">
        <f>IFERROR((BQ42/BP42),0)</f>
        <v/>
      </c>
      <c r="BX42" s="4">
        <f>IFERROR(((0+BO11+BO12+BO13+BO14+BO15+BO16+BO17+BO19+BO20+BO21+BO22+BO23+BO24+BO25+BO27+BO28+BO29+BO30+BO31+BO32+BO33+BO35+BO36+BO37+BO38+BO39+BO40+BO41)/T2),0)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4 Weekly Total</t>
        </is>
      </c>
      <c r="CB42" s="5">
        <f>ROUND(0.0,2)</f>
        <v/>
      </c>
      <c r="CC42" s="3">
        <f>ROUND(0.0,2)</f>
        <v/>
      </c>
      <c r="CD42" s="3">
        <f>ROUND(0.0,2)</f>
        <v/>
      </c>
      <c r="CE42" s="3">
        <f>ROUND(0.0,2)</f>
        <v/>
      </c>
      <c r="CF42" s="3">
        <f>ROUND(0.0,2)</f>
        <v/>
      </c>
      <c r="CG42" s="3">
        <f>ROUND(0.0,2)</f>
        <v/>
      </c>
      <c r="CH42" s="3">
        <f>ROUND(0.0,2)</f>
        <v/>
      </c>
      <c r="CI42" s="3">
        <f>ROUND(0.0,2)</f>
        <v/>
      </c>
      <c r="CJ42" s="4">
        <f>IFERROR((CD42/CC42),0)</f>
        <v/>
      </c>
      <c r="CK42" s="4">
        <f>IFERROR(((0+CB11+CB12+CB13+CB14+CB15+CB16+CB17+CB19+CB20+CB21+CB22+CB23+CB24+CB25+CB27+CB28+CB29+CB30+CB31+CB32+CB33+CB35+CB36+CB37+CB38+CB39+CB40+CB41)/T2),0)</f>
        <v/>
      </c>
      <c r="CL42" s="5">
        <f>IFERROR(ROUND(CB42/CD42,2),0)</f>
        <v/>
      </c>
      <c r="CM42" s="5">
        <f>IFERROR(ROUND(CB42/CE42,2),0)</f>
        <v/>
      </c>
      <c r="CN42" s="2" t="inlineStr">
        <is>
          <t>4 Weekly Total</t>
        </is>
      </c>
      <c r="CO42" s="5">
        <f>ROUND(0.0,2)</f>
        <v/>
      </c>
      <c r="CP42" s="3">
        <f>ROUND(0.0,2)</f>
        <v/>
      </c>
      <c r="CQ42" s="3">
        <f>ROUND(0.0,2)</f>
        <v/>
      </c>
      <c r="CR42" s="3">
        <f>ROUND(0.0,2)</f>
        <v/>
      </c>
      <c r="CS42" s="3">
        <f>ROUND(0.0,2)</f>
        <v/>
      </c>
      <c r="CT42" s="3">
        <f>ROUND(0.0,2)</f>
        <v/>
      </c>
      <c r="CU42" s="3">
        <f>ROUND(0.0,2)</f>
        <v/>
      </c>
      <c r="CV42" s="3">
        <f>ROUND(0.0,2)</f>
        <v/>
      </c>
      <c r="CW42" s="4">
        <f>IFERROR((CQ42/CP42),0)</f>
        <v/>
      </c>
      <c r="CX42" s="4">
        <f>IFERROR(((0+CO11+CO12+CO13+CO14+CO15+CO16+CO17+CO19+CO20+CO21+CO22+CO23+CO24+CO25+CO27+CO28+CO29+CO30+CO31+CO32+CO33+CO35+CO36+CO37+CO38+CO39+CO40+CO41)/T2),0)</f>
        <v/>
      </c>
      <c r="CY42" s="5">
        <f>IFERROR(ROUND(CO42/CQ42,2),0)</f>
        <v/>
      </c>
      <c r="CZ42" s="5">
        <f>IFERROR(ROUND(CO42/CR42,2),0)</f>
        <v/>
      </c>
      <c r="DA42" s="2" t="inlineStr">
        <is>
          <t>4 Weekly Total</t>
        </is>
      </c>
      <c r="DB42" s="5">
        <f>ROUND(0.0,2)</f>
        <v/>
      </c>
      <c r="DC42" s="3">
        <f>ROUND(0.0,2)</f>
        <v/>
      </c>
      <c r="DD42" s="3">
        <f>ROUND(0.0,2)</f>
        <v/>
      </c>
      <c r="DE42" s="3">
        <f>ROUND(0.0,2)</f>
        <v/>
      </c>
      <c r="DF42" s="3">
        <f>ROUND(0.0,2)</f>
        <v/>
      </c>
      <c r="DG42" s="3">
        <f>ROUND(0.0,2)</f>
        <v/>
      </c>
      <c r="DH42" s="3">
        <f>ROUND(0.0,2)</f>
        <v/>
      </c>
      <c r="DI42" s="3">
        <f>ROUND(0.0,2)</f>
        <v/>
      </c>
      <c r="DJ42" s="4">
        <f>IFERROR((DD42/DC42),0)</f>
        <v/>
      </c>
      <c r="DK42" s="4">
        <f>IFERROR(((0+DB11+DB12+DB13+DB14+DB15+DB16+DB17+DB19+DB20+DB21+DB22+DB23+DB24+DB25+DB27+DB28+DB29+DB30+DB31+DB32+DB33+DB35+DB36+DB37+DB38+DB39+DB40+DB41)/T2),0)</f>
        <v/>
      </c>
      <c r="DL42" s="5">
        <f>IFERROR(ROUND(DB42/DD42,2),0)</f>
        <v/>
      </c>
      <c r="DM42" s="5">
        <f>IFERROR(ROUND(DB42/DE42,2),0)</f>
        <v/>
      </c>
      <c r="DN42" s="2" t="inlineStr">
        <is>
          <t>4 Weekly Total</t>
        </is>
      </c>
      <c r="DO42" s="5">
        <f>ROUND(0.0,2)</f>
        <v/>
      </c>
      <c r="DP42" s="3">
        <f>ROUND(0.0,2)</f>
        <v/>
      </c>
      <c r="DQ42" s="3">
        <f>ROUND(0.0,2)</f>
        <v/>
      </c>
      <c r="DR42" s="3">
        <f>ROUND(0.0,2)</f>
        <v/>
      </c>
      <c r="DS42" s="3">
        <f>ROUND(0.0,2)</f>
        <v/>
      </c>
      <c r="DT42" s="3">
        <f>ROUND(0.0,2)</f>
        <v/>
      </c>
      <c r="DU42" s="3">
        <f>ROUND(0.0,2)</f>
        <v/>
      </c>
      <c r="DV42" s="3">
        <f>ROUND(0.0,2)</f>
        <v/>
      </c>
      <c r="DW42" s="4">
        <f>IFERROR((DQ42/DP42),0)</f>
        <v/>
      </c>
      <c r="DX42" s="4">
        <f>IFERROR(((0+DO11+DO12+DO13+DO14+DO15+DO16+DO17+DO19+DO20+DO21+DO22+DO23+DO24+DO25+DO27+DO28+DO29+DO30+DO31+DO32+DO33+DO35+DO36+DO37+DO38+DO39+DO40+DO41)/T2),0)</f>
        <v/>
      </c>
      <c r="DY42" s="5">
        <f>IFERROR(ROUND(DO42/DQ42,2),0)</f>
        <v/>
      </c>
      <c r="DZ42" s="5">
        <f>IFERROR(ROUND(DO42/DR42,2),0)</f>
        <v/>
      </c>
      <c r="EA42" s="2" t="inlineStr">
        <is>
          <t>4 Weekly Total</t>
        </is>
      </c>
      <c r="EB42" s="5">
        <f>ROUND(0.0,2)</f>
        <v/>
      </c>
      <c r="EC42" s="3">
        <f>ROUND(0.0,2)</f>
        <v/>
      </c>
      <c r="ED42" s="3">
        <f>ROUND(0.0,2)</f>
        <v/>
      </c>
      <c r="EE42" s="3">
        <f>ROUND(0.0,2)</f>
        <v/>
      </c>
      <c r="EF42" s="3">
        <f>ROUND(0.0,2)</f>
        <v/>
      </c>
      <c r="EG42" s="3">
        <f>ROUND(0.0,2)</f>
        <v/>
      </c>
      <c r="EH42" s="3">
        <f>ROUND(0.0,2)</f>
        <v/>
      </c>
      <c r="EI42" s="3">
        <f>ROUND(0.0,2)</f>
        <v/>
      </c>
      <c r="EJ42" s="4">
        <f>IFERROR((ED42/EC42),0)</f>
        <v/>
      </c>
      <c r="EK42" s="4">
        <f>IFERROR(((0+EB11+EB12+EB13+EB14+EB15+EB16+EB17+EB19+EB20+EB21+EB22+EB23+EB24+EB25+EB27+EB28+EB29+EB30+EB31+EB32+EB33+EB35+EB36+EB37+EB38+EB39+EB40+EB41)/T2),0)</f>
        <v/>
      </c>
      <c r="EL42" s="5">
        <f>IFERROR(ROUND(EB42/ED42,2),0)</f>
        <v/>
      </c>
      <c r="EM42" s="5">
        <f>IFERROR(ROUND(EB42/EE42,2),0)</f>
        <v/>
      </c>
    </row>
    <row r="43">
      <c r="A43" s="2" t="inlineStr">
        <is>
          <t>2023-10-18</t>
        </is>
      </c>
      <c r="B43" s="5">
        <f>ROUND(0.0,2)</f>
        <v/>
      </c>
      <c r="C43" s="3">
        <f>ROUND(0.0,2)</f>
        <v/>
      </c>
      <c r="D43" s="3">
        <f>ROUND(0.0,2)</f>
        <v/>
      </c>
      <c r="E43" s="3">
        <f>ROUND(0.0,2)</f>
        <v/>
      </c>
      <c r="F43" s="3">
        <f>ROUND(0.0,2)</f>
        <v/>
      </c>
      <c r="G43" s="3">
        <f>ROUND(0.0,2)</f>
        <v/>
      </c>
      <c r="H43" s="3">
        <f>ROUND(0.0,2)</f>
        <v/>
      </c>
      <c r="I43" s="3">
        <f>ROUND(0.0,2)</f>
        <v/>
      </c>
      <c r="J43" s="4">
        <f>IFERROR((D43/C43),0)</f>
        <v/>
      </c>
      <c r="K43" s="4">
        <f>IFERROR(((0+B11+B12+B13+B14+B15+B16+B17+B19+B20+B21+B22+B23+B24+B25+B27+B28+B29+B30+B31+B32+B33+B35+B36+B37+B38+B39+B40+B41+B43)/T2),0)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2023-10-18</t>
        </is>
      </c>
      <c r="O43" s="5">
        <f>ROUND(0.0,2)</f>
        <v/>
      </c>
      <c r="P43" s="3">
        <f>ROUND(0.0,2)</f>
        <v/>
      </c>
      <c r="Q43" s="3">
        <f>ROUND(0.0,2)</f>
        <v/>
      </c>
      <c r="R43" s="3">
        <f>ROUND(0.0,2)</f>
        <v/>
      </c>
      <c r="S43" s="3">
        <f>ROUND(0.0,2)</f>
        <v/>
      </c>
      <c r="T43" s="3">
        <f>ROUND(0.0,2)</f>
        <v/>
      </c>
      <c r="U43" s="3">
        <f>ROUND(0.0,2)</f>
        <v/>
      </c>
      <c r="V43" s="3">
        <f>ROUND(0.0,2)</f>
        <v/>
      </c>
      <c r="W43" s="4">
        <f>IFERROR((Q43/P43),0)</f>
        <v/>
      </c>
      <c r="X43" s="4">
        <f>IFERROR(((0+O11+O12+O13+O14+O15+O16+O17+O19+O20+O21+O22+O23+O24+O25+O27+O28+O29+O30+O31+O32+O33+O35+O36+O37+O38+O39+O40+O41+O43)/T2),0)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2023-10-18</t>
        </is>
      </c>
      <c r="AB43" s="5">
        <f>ROUND(0.0,2)</f>
        <v/>
      </c>
      <c r="AC43" s="3">
        <f>ROUND(0.0,2)</f>
        <v/>
      </c>
      <c r="AD43" s="3">
        <f>ROUND(0.0,2)</f>
        <v/>
      </c>
      <c r="AE43" s="3">
        <f>ROUND(0.0,2)</f>
        <v/>
      </c>
      <c r="AF43" s="3">
        <f>ROUND(0.0,2)</f>
        <v/>
      </c>
      <c r="AG43" s="3">
        <f>ROUND(0.0,2)</f>
        <v/>
      </c>
      <c r="AH43" s="3">
        <f>ROUND(0.0,2)</f>
        <v/>
      </c>
      <c r="AI43" s="3">
        <f>ROUND(0.0,2)</f>
        <v/>
      </c>
      <c r="AJ43" s="4">
        <f>IFERROR((AD43/AC43),0)</f>
        <v/>
      </c>
      <c r="AK43" s="4">
        <f>IFERROR(((0+AB11+AB12+AB13+AB14+AB15+AB16+AB17+AB19+AB20+AB21+AB22+AB23+AB24+AB25+AB27+AB28+AB29+AB30+AB31+AB32+AB33+AB35+AB36+AB37+AB38+AB39+AB40+AB41+AB43)/T2),0)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2023-10-18</t>
        </is>
      </c>
      <c r="AO43" s="5">
        <f>ROUND(0.0,2)</f>
        <v/>
      </c>
      <c r="AP43" s="3">
        <f>ROUND(0.0,2)</f>
        <v/>
      </c>
      <c r="AQ43" s="3">
        <f>ROUND(0.0,2)</f>
        <v/>
      </c>
      <c r="AR43" s="3">
        <f>ROUND(0.0,2)</f>
        <v/>
      </c>
      <c r="AS43" s="3">
        <f>ROUND(0.0,2)</f>
        <v/>
      </c>
      <c r="AT43" s="3">
        <f>ROUND(0.0,2)</f>
        <v/>
      </c>
      <c r="AU43" s="3">
        <f>ROUND(0.0,2)</f>
        <v/>
      </c>
      <c r="AV43" s="3">
        <f>ROUND(0.0,2)</f>
        <v/>
      </c>
      <c r="AW43" s="4">
        <f>IFERROR((AQ43/AP43),0)</f>
        <v/>
      </c>
      <c r="AX43" s="4">
        <f>IFERROR(((0+AO11+AO12+AO13+AO14+AO15+AO16+AO17+AO19+AO20+AO21+AO22+AO23+AO24+AO25+AO27+AO28+AO29+AO30+AO31+AO32+AO33+AO35+AO36+AO37+AO38+AO39+AO40+AO41+AO43)/T2),0)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2023-10-18</t>
        </is>
      </c>
      <c r="BB43" s="5">
        <f>ROUND(0.0,2)</f>
        <v/>
      </c>
      <c r="BC43" s="3">
        <f>ROUND(0.0,2)</f>
        <v/>
      </c>
      <c r="BD43" s="3">
        <f>ROUND(0.0,2)</f>
        <v/>
      </c>
      <c r="BE43" s="3">
        <f>ROUND(0.0,2)</f>
        <v/>
      </c>
      <c r="BF43" s="3">
        <f>ROUND(0.0,2)</f>
        <v/>
      </c>
      <c r="BG43" s="3">
        <f>ROUND(0.0,2)</f>
        <v/>
      </c>
      <c r="BH43" s="3">
        <f>ROUND(0.0,2)</f>
        <v/>
      </c>
      <c r="BI43" s="3">
        <f>ROUND(0.0,2)</f>
        <v/>
      </c>
      <c r="BJ43" s="4">
        <f>IFERROR((BD43/BC43),0)</f>
        <v/>
      </c>
      <c r="BK43" s="4">
        <f>IFERROR(((0+BB11+BB12+BB13+BB14+BB15+BB16+BB17+BB19+BB20+BB21+BB22+BB23+BB24+BB25+BB27+BB28+BB29+BB30+BB31+BB32+BB33+BB35+BB36+BB37+BB38+BB39+BB40+BB41+BB43)/T2),0)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2023-10-18</t>
        </is>
      </c>
      <c r="BO43" s="5">
        <f>ROUND(0.0,2)</f>
        <v/>
      </c>
      <c r="BP43" s="3">
        <f>ROUND(0.0,2)</f>
        <v/>
      </c>
      <c r="BQ43" s="3">
        <f>ROUND(0.0,2)</f>
        <v/>
      </c>
      <c r="BR43" s="3">
        <f>ROUND(0.0,2)</f>
        <v/>
      </c>
      <c r="BS43" s="3">
        <f>ROUND(0.0,2)</f>
        <v/>
      </c>
      <c r="BT43" s="3">
        <f>ROUND(0.0,2)</f>
        <v/>
      </c>
      <c r="BU43" s="3">
        <f>ROUND(0.0,2)</f>
        <v/>
      </c>
      <c r="BV43" s="3">
        <f>ROUND(0.0,2)</f>
        <v/>
      </c>
      <c r="BW43" s="4">
        <f>IFERROR((BQ43/BP43),0)</f>
        <v/>
      </c>
      <c r="BX43" s="4">
        <f>IFERROR(((0+BO11+BO12+BO13+BO14+BO15+BO16+BO17+BO19+BO20+BO21+BO22+BO23+BO24+BO25+BO27+BO28+BO29+BO30+BO31+BO32+BO33+BO35+BO36+BO37+BO38+BO39+BO40+BO41+BO43)/T2),0)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2023-10-18</t>
        </is>
      </c>
      <c r="CB43" s="5">
        <f>ROUND(0.0,2)</f>
        <v/>
      </c>
      <c r="CC43" s="3">
        <f>ROUND(0.0,2)</f>
        <v/>
      </c>
      <c r="CD43" s="3">
        <f>ROUND(0.0,2)</f>
        <v/>
      </c>
      <c r="CE43" s="3">
        <f>ROUND(0.0,2)</f>
        <v/>
      </c>
      <c r="CF43" s="3">
        <f>ROUND(0.0,2)</f>
        <v/>
      </c>
      <c r="CG43" s="3">
        <f>ROUND(0.0,2)</f>
        <v/>
      </c>
      <c r="CH43" s="3">
        <f>ROUND(0.0,2)</f>
        <v/>
      </c>
      <c r="CI43" s="3">
        <f>ROUND(0.0,2)</f>
        <v/>
      </c>
      <c r="CJ43" s="4">
        <f>IFERROR((CD43/CC43),0)</f>
        <v/>
      </c>
      <c r="CK43" s="4">
        <f>IFERROR(((0+CB11+CB12+CB13+CB14+CB15+CB16+CB17+CB19+CB20+CB21+CB22+CB23+CB24+CB25+CB27+CB28+CB29+CB30+CB31+CB32+CB33+CB35+CB36+CB37+CB38+CB39+CB40+CB41+CB43)/T2),0)</f>
        <v/>
      </c>
      <c r="CL43" s="5">
        <f>IFERROR(ROUND(CB43/CD43,2),0)</f>
        <v/>
      </c>
      <c r="CM43" s="5">
        <f>IFERROR(ROUND(CB43/CE43,2),0)</f>
        <v/>
      </c>
      <c r="CN43" s="2" t="inlineStr">
        <is>
          <t>2023-10-18</t>
        </is>
      </c>
      <c r="CO43" s="5">
        <f>ROUND(0.0,2)</f>
        <v/>
      </c>
      <c r="CP43" s="3">
        <f>ROUND(0.0,2)</f>
        <v/>
      </c>
      <c r="CQ43" s="3">
        <f>ROUND(0.0,2)</f>
        <v/>
      </c>
      <c r="CR43" s="3">
        <f>ROUND(0.0,2)</f>
        <v/>
      </c>
      <c r="CS43" s="3">
        <f>ROUND(0.0,2)</f>
        <v/>
      </c>
      <c r="CT43" s="3">
        <f>ROUND(0.0,2)</f>
        <v/>
      </c>
      <c r="CU43" s="3">
        <f>ROUND(0.0,2)</f>
        <v/>
      </c>
      <c r="CV43" s="3">
        <f>ROUND(0.0,2)</f>
        <v/>
      </c>
      <c r="CW43" s="4">
        <f>IFERROR((CQ43/CP43),0)</f>
        <v/>
      </c>
      <c r="CX43" s="4">
        <f>IFERROR(((0+CO11+CO12+CO13+CO14+CO15+CO16+CO17+CO19+CO20+CO21+CO22+CO23+CO24+CO25+CO27+CO28+CO29+CO30+CO31+CO32+CO33+CO35+CO36+CO37+CO38+CO39+CO40+CO41+CO43)/T2),0)</f>
        <v/>
      </c>
      <c r="CY43" s="5">
        <f>IFERROR(ROUND(CO43/CQ43,2),0)</f>
        <v/>
      </c>
      <c r="CZ43" s="5">
        <f>IFERROR(ROUND(CO43/CR43,2),0)</f>
        <v/>
      </c>
      <c r="DA43" s="2" t="inlineStr">
        <is>
          <t>2023-10-18</t>
        </is>
      </c>
      <c r="DB43" s="5">
        <f>ROUND(0.0,2)</f>
        <v/>
      </c>
      <c r="DC43" s="3">
        <f>ROUND(0.0,2)</f>
        <v/>
      </c>
      <c r="DD43" s="3">
        <f>ROUND(0.0,2)</f>
        <v/>
      </c>
      <c r="DE43" s="3">
        <f>ROUND(0.0,2)</f>
        <v/>
      </c>
      <c r="DF43" s="3">
        <f>ROUND(0.0,2)</f>
        <v/>
      </c>
      <c r="DG43" s="3">
        <f>ROUND(0.0,2)</f>
        <v/>
      </c>
      <c r="DH43" s="3">
        <f>ROUND(0.0,2)</f>
        <v/>
      </c>
      <c r="DI43" s="3">
        <f>ROUND(0.0,2)</f>
        <v/>
      </c>
      <c r="DJ43" s="4">
        <f>IFERROR((DD43/DC43),0)</f>
        <v/>
      </c>
      <c r="DK43" s="4">
        <f>IFERROR(((0+DB11+DB12+DB13+DB14+DB15+DB16+DB17+DB19+DB20+DB21+DB22+DB23+DB24+DB25+DB27+DB28+DB29+DB30+DB31+DB32+DB33+DB35+DB36+DB37+DB38+DB39+DB40+DB41+DB43)/T2),0)</f>
        <v/>
      </c>
      <c r="DL43" s="5">
        <f>IFERROR(ROUND(DB43/DD43,2),0)</f>
        <v/>
      </c>
      <c r="DM43" s="5">
        <f>IFERROR(ROUND(DB43/DE43,2),0)</f>
        <v/>
      </c>
      <c r="DN43" s="2" t="inlineStr">
        <is>
          <t>2023-10-18</t>
        </is>
      </c>
      <c r="DO43" s="5">
        <f>ROUND(0.0,2)</f>
        <v/>
      </c>
      <c r="DP43" s="3">
        <f>ROUND(0.0,2)</f>
        <v/>
      </c>
      <c r="DQ43" s="3">
        <f>ROUND(0.0,2)</f>
        <v/>
      </c>
      <c r="DR43" s="3">
        <f>ROUND(0.0,2)</f>
        <v/>
      </c>
      <c r="DS43" s="3">
        <f>ROUND(0.0,2)</f>
        <v/>
      </c>
      <c r="DT43" s="3">
        <f>ROUND(0.0,2)</f>
        <v/>
      </c>
      <c r="DU43" s="3">
        <f>ROUND(0.0,2)</f>
        <v/>
      </c>
      <c r="DV43" s="3">
        <f>ROUND(0.0,2)</f>
        <v/>
      </c>
      <c r="DW43" s="4">
        <f>IFERROR((DQ43/DP43),0)</f>
        <v/>
      </c>
      <c r="DX43" s="4">
        <f>IFERROR(((0+DO11+DO12+DO13+DO14+DO15+DO16+DO17+DO19+DO20+DO21+DO22+DO23+DO24+DO25+DO27+DO28+DO29+DO30+DO31+DO32+DO33+DO35+DO36+DO37+DO38+DO39+DO40+DO41+DO43)/T2),0)</f>
        <v/>
      </c>
      <c r="DY43" s="5">
        <f>IFERROR(ROUND(DO43/DQ43,2),0)</f>
        <v/>
      </c>
      <c r="DZ43" s="5">
        <f>IFERROR(ROUND(DO43/DR43,2),0)</f>
        <v/>
      </c>
      <c r="EA43" s="2" t="inlineStr">
        <is>
          <t>2023-10-18</t>
        </is>
      </c>
      <c r="EB43" s="5">
        <f>ROUND(0.0,2)</f>
        <v/>
      </c>
      <c r="EC43" s="3">
        <f>ROUND(0.0,2)</f>
        <v/>
      </c>
      <c r="ED43" s="3">
        <f>ROUND(0.0,2)</f>
        <v/>
      </c>
      <c r="EE43" s="3">
        <f>ROUND(0.0,2)</f>
        <v/>
      </c>
      <c r="EF43" s="3">
        <f>ROUND(0.0,2)</f>
        <v/>
      </c>
      <c r="EG43" s="3">
        <f>ROUND(0.0,2)</f>
        <v/>
      </c>
      <c r="EH43" s="3">
        <f>ROUND(0.0,2)</f>
        <v/>
      </c>
      <c r="EI43" s="3">
        <f>ROUND(0.0,2)</f>
        <v/>
      </c>
      <c r="EJ43" s="4">
        <f>IFERROR((ED43/EC43),0)</f>
        <v/>
      </c>
      <c r="EK43" s="4">
        <f>IFERROR(((0+EB11+EB12+EB13+EB14+EB15+EB16+EB17+EB19+EB20+EB21+EB22+EB23+EB24+EB25+EB27+EB28+EB29+EB30+EB31+EB32+EB33+EB35+EB36+EB37+EB38+EB39+EB40+EB41+EB43)/T2),0)</f>
        <v/>
      </c>
      <c r="EL43" s="5">
        <f>IFERROR(ROUND(EB43/ED43,2),0)</f>
        <v/>
      </c>
      <c r="EM43" s="5">
        <f>IFERROR(ROUND(EB43/EE43,2),0)</f>
        <v/>
      </c>
    </row>
    <row r="44">
      <c r="A44" s="2" t="inlineStr">
        <is>
          <t>2023-10-19</t>
        </is>
      </c>
      <c r="B44" s="5">
        <f>ROUND(0.0,2)</f>
        <v/>
      </c>
      <c r="C44" s="3">
        <f>ROUND(0.0,2)</f>
        <v/>
      </c>
      <c r="D44" s="3">
        <f>ROUND(0.0,2)</f>
        <v/>
      </c>
      <c r="E44" s="3">
        <f>ROUND(0.0,2)</f>
        <v/>
      </c>
      <c r="F44" s="3">
        <f>ROUND(0.0,2)</f>
        <v/>
      </c>
      <c r="G44" s="3">
        <f>ROUND(0.0,2)</f>
        <v/>
      </c>
      <c r="H44" s="3">
        <f>ROUND(0.0,2)</f>
        <v/>
      </c>
      <c r="I44" s="3">
        <f>ROUND(0.0,2)</f>
        <v/>
      </c>
      <c r="J44" s="4">
        <f>IFERROR((D44/C44),0)</f>
        <v/>
      </c>
      <c r="K44" s="4">
        <f>IFERROR(((0+B11+B12+B13+B14+B15+B16+B17+B19+B20+B21+B22+B23+B24+B25+B27+B28+B29+B30+B31+B32+B33+B35+B36+B37+B38+B39+B40+B41+B43+B44)/T2),0)</f>
        <v/>
      </c>
      <c r="L44" s="5">
        <f>IFERROR(ROUND(B44/D44,2),0)</f>
        <v/>
      </c>
      <c r="M44" s="5">
        <f>IFERROR(ROUND(B44/E44,2),0)</f>
        <v/>
      </c>
      <c r="N44" s="2" t="inlineStr">
        <is>
          <t>2023-10-19</t>
        </is>
      </c>
      <c r="O44" s="5">
        <f>ROUND(0.0,2)</f>
        <v/>
      </c>
      <c r="P44" s="3">
        <f>ROUND(0.0,2)</f>
        <v/>
      </c>
      <c r="Q44" s="3">
        <f>ROUND(0.0,2)</f>
        <v/>
      </c>
      <c r="R44" s="3">
        <f>ROUND(0.0,2)</f>
        <v/>
      </c>
      <c r="S44" s="3">
        <f>ROUND(0.0,2)</f>
        <v/>
      </c>
      <c r="T44" s="3">
        <f>ROUND(0.0,2)</f>
        <v/>
      </c>
      <c r="U44" s="3">
        <f>ROUND(0.0,2)</f>
        <v/>
      </c>
      <c r="V44" s="3">
        <f>ROUND(0.0,2)</f>
        <v/>
      </c>
      <c r="W44" s="4">
        <f>IFERROR((Q44/P44),0)</f>
        <v/>
      </c>
      <c r="X44" s="4">
        <f>IFERROR(((0+O11+O12+O13+O14+O15+O16+O17+O19+O20+O21+O22+O23+O24+O25+O27+O28+O29+O30+O31+O32+O33+O35+O36+O37+O38+O39+O40+O41+O43+O44)/T2),0)</f>
        <v/>
      </c>
      <c r="Y44" s="5">
        <f>IFERROR(ROUND(O44/Q44,2),0)</f>
        <v/>
      </c>
      <c r="Z44" s="5">
        <f>IFERROR(ROUND(O44/R44,2),0)</f>
        <v/>
      </c>
      <c r="AA44" s="2" t="inlineStr">
        <is>
          <t>2023-10-19</t>
        </is>
      </c>
      <c r="AB44" s="5">
        <f>ROUND(0.0,2)</f>
        <v/>
      </c>
      <c r="AC44" s="3">
        <f>ROUND(0.0,2)</f>
        <v/>
      </c>
      <c r="AD44" s="3">
        <f>ROUND(0.0,2)</f>
        <v/>
      </c>
      <c r="AE44" s="3">
        <f>ROUND(0.0,2)</f>
        <v/>
      </c>
      <c r="AF44" s="3">
        <f>ROUND(0.0,2)</f>
        <v/>
      </c>
      <c r="AG44" s="3">
        <f>ROUND(0.0,2)</f>
        <v/>
      </c>
      <c r="AH44" s="3">
        <f>ROUND(0.0,2)</f>
        <v/>
      </c>
      <c r="AI44" s="3">
        <f>ROUND(0.0,2)</f>
        <v/>
      </c>
      <c r="AJ44" s="4">
        <f>IFERROR((AD44/AC44),0)</f>
        <v/>
      </c>
      <c r="AK44" s="4">
        <f>IFERROR(((0+AB11+AB12+AB13+AB14+AB15+AB16+AB17+AB19+AB20+AB21+AB22+AB23+AB24+AB25+AB27+AB28+AB29+AB30+AB31+AB32+AB33+AB35+AB36+AB37+AB38+AB39+AB40+AB41+AB43+AB44)/T2),0)</f>
        <v/>
      </c>
      <c r="AL44" s="5">
        <f>IFERROR(ROUND(AB44/AD44,2),0)</f>
        <v/>
      </c>
      <c r="AM44" s="5">
        <f>IFERROR(ROUND(AB44/AE44,2),0)</f>
        <v/>
      </c>
      <c r="AN44" s="2" t="inlineStr">
        <is>
          <t>2023-10-19</t>
        </is>
      </c>
      <c r="AO44" s="5">
        <f>ROUND(0.0,2)</f>
        <v/>
      </c>
      <c r="AP44" s="3">
        <f>ROUND(0.0,2)</f>
        <v/>
      </c>
      <c r="AQ44" s="3">
        <f>ROUND(0.0,2)</f>
        <v/>
      </c>
      <c r="AR44" s="3">
        <f>ROUND(0.0,2)</f>
        <v/>
      </c>
      <c r="AS44" s="3">
        <f>ROUND(0.0,2)</f>
        <v/>
      </c>
      <c r="AT44" s="3">
        <f>ROUND(0.0,2)</f>
        <v/>
      </c>
      <c r="AU44" s="3">
        <f>ROUND(0.0,2)</f>
        <v/>
      </c>
      <c r="AV44" s="3">
        <f>ROUND(0.0,2)</f>
        <v/>
      </c>
      <c r="AW44" s="4">
        <f>IFERROR((AQ44/AP44),0)</f>
        <v/>
      </c>
      <c r="AX44" s="4">
        <f>IFERROR(((0+AO11+AO12+AO13+AO14+AO15+AO16+AO17+AO19+AO20+AO21+AO22+AO23+AO24+AO25+AO27+AO28+AO29+AO30+AO31+AO32+AO33+AO35+AO36+AO37+AO38+AO39+AO40+AO41+AO43+AO44)/T2),0)</f>
        <v/>
      </c>
      <c r="AY44" s="5">
        <f>IFERROR(ROUND(AO44/AQ44,2),0)</f>
        <v/>
      </c>
      <c r="AZ44" s="5">
        <f>IFERROR(ROUND(AO44/AR44,2),0)</f>
        <v/>
      </c>
      <c r="BA44" s="2" t="inlineStr">
        <is>
          <t>2023-10-19</t>
        </is>
      </c>
      <c r="BB44" s="5">
        <f>ROUND(0.0,2)</f>
        <v/>
      </c>
      <c r="BC44" s="3">
        <f>ROUND(0.0,2)</f>
        <v/>
      </c>
      <c r="BD44" s="3">
        <f>ROUND(0.0,2)</f>
        <v/>
      </c>
      <c r="BE44" s="3">
        <f>ROUND(0.0,2)</f>
        <v/>
      </c>
      <c r="BF44" s="3">
        <f>ROUND(0.0,2)</f>
        <v/>
      </c>
      <c r="BG44" s="3">
        <f>ROUND(0.0,2)</f>
        <v/>
      </c>
      <c r="BH44" s="3">
        <f>ROUND(0.0,2)</f>
        <v/>
      </c>
      <c r="BI44" s="3">
        <f>ROUND(0.0,2)</f>
        <v/>
      </c>
      <c r="BJ44" s="4">
        <f>IFERROR((BD44/BC44),0)</f>
        <v/>
      </c>
      <c r="BK44" s="4">
        <f>IFERROR(((0+BB11+BB12+BB13+BB14+BB15+BB16+BB17+BB19+BB20+BB21+BB22+BB23+BB24+BB25+BB27+BB28+BB29+BB30+BB31+BB32+BB33+BB35+BB36+BB37+BB38+BB39+BB40+BB41+BB43+BB44)/T2),0)</f>
        <v/>
      </c>
      <c r="BL44" s="5">
        <f>IFERROR(ROUND(BB44/BD44,2),0)</f>
        <v/>
      </c>
      <c r="BM44" s="5">
        <f>IFERROR(ROUND(BB44/BE44,2),0)</f>
        <v/>
      </c>
      <c r="BN44" s="2" t="inlineStr">
        <is>
          <t>2023-10-19</t>
        </is>
      </c>
      <c r="BO44" s="5">
        <f>ROUND(0.0,2)</f>
        <v/>
      </c>
      <c r="BP44" s="3">
        <f>ROUND(0.0,2)</f>
        <v/>
      </c>
      <c r="BQ44" s="3">
        <f>ROUND(0.0,2)</f>
        <v/>
      </c>
      <c r="BR44" s="3">
        <f>ROUND(0.0,2)</f>
        <v/>
      </c>
      <c r="BS44" s="3">
        <f>ROUND(0.0,2)</f>
        <v/>
      </c>
      <c r="BT44" s="3">
        <f>ROUND(0.0,2)</f>
        <v/>
      </c>
      <c r="BU44" s="3">
        <f>ROUND(0.0,2)</f>
        <v/>
      </c>
      <c r="BV44" s="3">
        <f>ROUND(0.0,2)</f>
        <v/>
      </c>
      <c r="BW44" s="4">
        <f>IFERROR((BQ44/BP44),0)</f>
        <v/>
      </c>
      <c r="BX44" s="4">
        <f>IFERROR(((0+BO11+BO12+BO13+BO14+BO15+BO16+BO17+BO19+BO20+BO21+BO22+BO23+BO24+BO25+BO27+BO28+BO29+BO30+BO31+BO32+BO33+BO35+BO36+BO37+BO38+BO39+BO40+BO41+BO43+BO44)/T2),0)</f>
        <v/>
      </c>
      <c r="BY44" s="5">
        <f>IFERROR(ROUND(BO44/BQ44,2),0)</f>
        <v/>
      </c>
      <c r="BZ44" s="5">
        <f>IFERROR(ROUND(BO44/BR44,2),0)</f>
        <v/>
      </c>
      <c r="CA44" s="2" t="inlineStr">
        <is>
          <t>2023-10-19</t>
        </is>
      </c>
      <c r="CB44" s="5">
        <f>ROUND(0.0,2)</f>
        <v/>
      </c>
      <c r="CC44" s="3">
        <f>ROUND(0.0,2)</f>
        <v/>
      </c>
      <c r="CD44" s="3">
        <f>ROUND(0.0,2)</f>
        <v/>
      </c>
      <c r="CE44" s="3">
        <f>ROUND(0.0,2)</f>
        <v/>
      </c>
      <c r="CF44" s="3">
        <f>ROUND(0.0,2)</f>
        <v/>
      </c>
      <c r="CG44" s="3">
        <f>ROUND(0.0,2)</f>
        <v/>
      </c>
      <c r="CH44" s="3">
        <f>ROUND(0.0,2)</f>
        <v/>
      </c>
      <c r="CI44" s="3">
        <f>ROUND(0.0,2)</f>
        <v/>
      </c>
      <c r="CJ44" s="4">
        <f>IFERROR((CD44/CC44),0)</f>
        <v/>
      </c>
      <c r="CK44" s="4">
        <f>IFERROR(((0+CB11+CB12+CB13+CB14+CB15+CB16+CB17+CB19+CB20+CB21+CB22+CB23+CB24+CB25+CB27+CB28+CB29+CB30+CB31+CB32+CB33+CB35+CB36+CB37+CB38+CB39+CB40+CB41+CB43+CB44)/T2),0)</f>
        <v/>
      </c>
      <c r="CL44" s="5">
        <f>IFERROR(ROUND(CB44/CD44,2),0)</f>
        <v/>
      </c>
      <c r="CM44" s="5">
        <f>IFERROR(ROUND(CB44/CE44,2),0)</f>
        <v/>
      </c>
      <c r="CN44" s="2" t="inlineStr">
        <is>
          <t>2023-10-19</t>
        </is>
      </c>
      <c r="CO44" s="5">
        <f>ROUND(0.0,2)</f>
        <v/>
      </c>
      <c r="CP44" s="3">
        <f>ROUND(0.0,2)</f>
        <v/>
      </c>
      <c r="CQ44" s="3">
        <f>ROUND(0.0,2)</f>
        <v/>
      </c>
      <c r="CR44" s="3">
        <f>ROUND(0.0,2)</f>
        <v/>
      </c>
      <c r="CS44" s="3">
        <f>ROUND(0.0,2)</f>
        <v/>
      </c>
      <c r="CT44" s="3">
        <f>ROUND(0.0,2)</f>
        <v/>
      </c>
      <c r="CU44" s="3">
        <f>ROUND(0.0,2)</f>
        <v/>
      </c>
      <c r="CV44" s="3">
        <f>ROUND(0.0,2)</f>
        <v/>
      </c>
      <c r="CW44" s="4">
        <f>IFERROR((CQ44/CP44),0)</f>
        <v/>
      </c>
      <c r="CX44" s="4">
        <f>IFERROR(((0+CO11+CO12+CO13+CO14+CO15+CO16+CO17+CO19+CO20+CO21+CO22+CO23+CO24+CO25+CO27+CO28+CO29+CO30+CO31+CO32+CO33+CO35+CO36+CO37+CO38+CO39+CO40+CO41+CO43+CO44)/T2),0)</f>
        <v/>
      </c>
      <c r="CY44" s="5">
        <f>IFERROR(ROUND(CO44/CQ44,2),0)</f>
        <v/>
      </c>
      <c r="CZ44" s="5">
        <f>IFERROR(ROUND(CO44/CR44,2),0)</f>
        <v/>
      </c>
      <c r="DA44" s="2" t="inlineStr">
        <is>
          <t>2023-10-19</t>
        </is>
      </c>
      <c r="DB44" s="5">
        <f>ROUND(0.0,2)</f>
        <v/>
      </c>
      <c r="DC44" s="3">
        <f>ROUND(0.0,2)</f>
        <v/>
      </c>
      <c r="DD44" s="3">
        <f>ROUND(0.0,2)</f>
        <v/>
      </c>
      <c r="DE44" s="3">
        <f>ROUND(0.0,2)</f>
        <v/>
      </c>
      <c r="DF44" s="3">
        <f>ROUND(0.0,2)</f>
        <v/>
      </c>
      <c r="DG44" s="3">
        <f>ROUND(0.0,2)</f>
        <v/>
      </c>
      <c r="DH44" s="3">
        <f>ROUND(0.0,2)</f>
        <v/>
      </c>
      <c r="DI44" s="3">
        <f>ROUND(0.0,2)</f>
        <v/>
      </c>
      <c r="DJ44" s="4">
        <f>IFERROR((DD44/DC44),0)</f>
        <v/>
      </c>
      <c r="DK44" s="4">
        <f>IFERROR(((0+DB11+DB12+DB13+DB14+DB15+DB16+DB17+DB19+DB20+DB21+DB22+DB23+DB24+DB25+DB27+DB28+DB29+DB30+DB31+DB32+DB33+DB35+DB36+DB37+DB38+DB39+DB40+DB41+DB43+DB44)/T2),0)</f>
        <v/>
      </c>
      <c r="DL44" s="5">
        <f>IFERROR(ROUND(DB44/DD44,2),0)</f>
        <v/>
      </c>
      <c r="DM44" s="5">
        <f>IFERROR(ROUND(DB44/DE44,2),0)</f>
        <v/>
      </c>
      <c r="DN44" s="2" t="inlineStr">
        <is>
          <t>2023-10-19</t>
        </is>
      </c>
      <c r="DO44" s="5">
        <f>ROUND(0.0,2)</f>
        <v/>
      </c>
      <c r="DP44" s="3">
        <f>ROUND(0.0,2)</f>
        <v/>
      </c>
      <c r="DQ44" s="3">
        <f>ROUND(0.0,2)</f>
        <v/>
      </c>
      <c r="DR44" s="3">
        <f>ROUND(0.0,2)</f>
        <v/>
      </c>
      <c r="DS44" s="3">
        <f>ROUND(0.0,2)</f>
        <v/>
      </c>
      <c r="DT44" s="3">
        <f>ROUND(0.0,2)</f>
        <v/>
      </c>
      <c r="DU44" s="3">
        <f>ROUND(0.0,2)</f>
        <v/>
      </c>
      <c r="DV44" s="3">
        <f>ROUND(0.0,2)</f>
        <v/>
      </c>
      <c r="DW44" s="4">
        <f>IFERROR((DQ44/DP44),0)</f>
        <v/>
      </c>
      <c r="DX44" s="4">
        <f>IFERROR(((0+DO11+DO12+DO13+DO14+DO15+DO16+DO17+DO19+DO20+DO21+DO22+DO23+DO24+DO25+DO27+DO28+DO29+DO30+DO31+DO32+DO33+DO35+DO36+DO37+DO38+DO39+DO40+DO41+DO43+DO44)/T2),0)</f>
        <v/>
      </c>
      <c r="DY44" s="5">
        <f>IFERROR(ROUND(DO44/DQ44,2),0)</f>
        <v/>
      </c>
      <c r="DZ44" s="5">
        <f>IFERROR(ROUND(DO44/DR44,2),0)</f>
        <v/>
      </c>
      <c r="EA44" s="2" t="inlineStr">
        <is>
          <t>2023-10-19</t>
        </is>
      </c>
      <c r="EB44" s="5">
        <f>ROUND(0.0,2)</f>
        <v/>
      </c>
      <c r="EC44" s="3">
        <f>ROUND(0.0,2)</f>
        <v/>
      </c>
      <c r="ED44" s="3">
        <f>ROUND(0.0,2)</f>
        <v/>
      </c>
      <c r="EE44" s="3">
        <f>ROUND(0.0,2)</f>
        <v/>
      </c>
      <c r="EF44" s="3">
        <f>ROUND(0.0,2)</f>
        <v/>
      </c>
      <c r="EG44" s="3">
        <f>ROUND(0.0,2)</f>
        <v/>
      </c>
      <c r="EH44" s="3">
        <f>ROUND(0.0,2)</f>
        <v/>
      </c>
      <c r="EI44" s="3">
        <f>ROUND(0.0,2)</f>
        <v/>
      </c>
      <c r="EJ44" s="4">
        <f>IFERROR((ED44/EC44),0)</f>
        <v/>
      </c>
      <c r="EK44" s="4">
        <f>IFERROR(((0+EB11+EB12+EB13+EB14+EB15+EB16+EB17+EB19+EB20+EB21+EB22+EB23+EB24+EB25+EB27+EB28+EB29+EB30+EB31+EB32+EB33+EB35+EB36+EB37+EB38+EB39+EB40+EB41+EB43+EB44)/T2),0)</f>
        <v/>
      </c>
      <c r="EL44" s="5">
        <f>IFERROR(ROUND(EB44/ED44,2),0)</f>
        <v/>
      </c>
      <c r="EM44" s="5">
        <f>IFERROR(ROUND(EB44/EE44,2),0)</f>
        <v/>
      </c>
    </row>
    <row r="45">
      <c r="A45" s="2" t="inlineStr">
        <is>
          <t>2023-10-20</t>
        </is>
      </c>
      <c r="B45" s="5">
        <f>ROUND(20.25,2)</f>
        <v/>
      </c>
      <c r="C45" s="3">
        <f>ROUND(8490.0,2)</f>
        <v/>
      </c>
      <c r="D45" s="3">
        <f>ROUND(186.0,2)</f>
        <v/>
      </c>
      <c r="E45" s="3">
        <f>ROUND(1979.0,2)</f>
        <v/>
      </c>
      <c r="F45" s="3">
        <f>ROUND(1517.0,2)</f>
        <v/>
      </c>
      <c r="G45" s="3">
        <f>ROUND(1028.0,2)</f>
        <v/>
      </c>
      <c r="H45" s="3">
        <f>ROUND(902.0,2)</f>
        <v/>
      </c>
      <c r="I45" s="3">
        <f>ROUND(767.0,2)</f>
        <v/>
      </c>
      <c r="J45" s="4">
        <f>IFERROR((D45/C45),0)</f>
        <v/>
      </c>
      <c r="K45" s="4">
        <f>IFERROR(((0+B11+B12+B13+B14+B15+B16+B17+B19+B20+B21+B22+B23+B24+B25+B27+B28+B29+B30+B31+B32+B33+B35+B36+B37+B38+B39+B40+B41+B43+B44+B45)/T2),0)</f>
        <v/>
      </c>
      <c r="L45" s="5">
        <f>IFERROR(ROUND(B45/D45,2),0)</f>
        <v/>
      </c>
      <c r="M45" s="5">
        <f>IFERROR(ROUND(B45/E45,2),0)</f>
        <v/>
      </c>
      <c r="N45" s="2" t="inlineStr">
        <is>
          <t>2023-10-20</t>
        </is>
      </c>
      <c r="O45" s="5">
        <f>ROUND(0.02,2)</f>
        <v/>
      </c>
      <c r="P45" s="3">
        <f>ROUND(103.0,2)</f>
        <v/>
      </c>
      <c r="Q45" s="3">
        <f>ROUND(0.0,2)</f>
        <v/>
      </c>
      <c r="R45" s="3">
        <f>ROUND(0.0,2)</f>
        <v/>
      </c>
      <c r="S45" s="3">
        <f>ROUND(0.0,2)</f>
        <v/>
      </c>
      <c r="T45" s="3">
        <f>ROUND(0.0,2)</f>
        <v/>
      </c>
      <c r="U45" s="3">
        <f>ROUND(0.0,2)</f>
        <v/>
      </c>
      <c r="V45" s="3">
        <f>ROUND(0.0,2)</f>
        <v/>
      </c>
      <c r="W45" s="4">
        <f>IFERROR((Q45/P45),0)</f>
        <v/>
      </c>
      <c r="X45" s="4">
        <f>IFERROR(((0+O11+O12+O13+O14+O15+O16+O17+O19+O20+O21+O22+O23+O24+O25+O27+O28+O29+O30+O31+O32+O33+O35+O36+O37+O38+O39+O40+O41+O43+O44+O45)/T2),0)</f>
        <v/>
      </c>
      <c r="Y45" s="5">
        <f>IFERROR(ROUND(O45/Q45,2),0)</f>
        <v/>
      </c>
      <c r="Z45" s="5">
        <f>IFERROR(ROUND(O45/R45,2),0)</f>
        <v/>
      </c>
      <c r="AA45" s="2" t="inlineStr">
        <is>
          <t>2023-10-20</t>
        </is>
      </c>
      <c r="AB45" s="5">
        <f>ROUND(0.0,2)</f>
        <v/>
      </c>
      <c r="AC45" s="3">
        <f>ROUND(62.0,2)</f>
        <v/>
      </c>
      <c r="AD45" s="3">
        <f>ROUND(0.0,2)</f>
        <v/>
      </c>
      <c r="AE45" s="3">
        <f>ROUND(0.0,2)</f>
        <v/>
      </c>
      <c r="AF45" s="3">
        <f>ROUND(0.0,2)</f>
        <v/>
      </c>
      <c r="AG45" s="3">
        <f>ROUND(0.0,2)</f>
        <v/>
      </c>
      <c r="AH45" s="3">
        <f>ROUND(0.0,2)</f>
        <v/>
      </c>
      <c r="AI45" s="3">
        <f>ROUND(0.0,2)</f>
        <v/>
      </c>
      <c r="AJ45" s="4">
        <f>IFERROR((AD45/AC45),0)</f>
        <v/>
      </c>
      <c r="AK45" s="4">
        <f>IFERROR(((0+AB11+AB12+AB13+AB14+AB15+AB16+AB17+AB19+AB20+AB21+AB22+AB23+AB24+AB25+AB27+AB28+AB29+AB30+AB31+AB32+AB33+AB35+AB36+AB37+AB38+AB39+AB40+AB41+AB43+AB44+AB45)/T2),0)</f>
        <v/>
      </c>
      <c r="AL45" s="5">
        <f>IFERROR(ROUND(AB45/AD45,2),0)</f>
        <v/>
      </c>
      <c r="AM45" s="5">
        <f>IFERROR(ROUND(AB45/AE45,2),0)</f>
        <v/>
      </c>
      <c r="AN45" s="2" t="inlineStr">
        <is>
          <t>2023-10-20</t>
        </is>
      </c>
      <c r="AO45" s="5">
        <f>ROUND(0.08,2)</f>
        <v/>
      </c>
      <c r="AP45" s="3">
        <f>ROUND(78.0,2)</f>
        <v/>
      </c>
      <c r="AQ45" s="3">
        <f>ROUND(1.0,2)</f>
        <v/>
      </c>
      <c r="AR45" s="3">
        <f>ROUND(0.0,2)</f>
        <v/>
      </c>
      <c r="AS45" s="3">
        <f>ROUND(0.0,2)</f>
        <v/>
      </c>
      <c r="AT45" s="3">
        <f>ROUND(0.0,2)</f>
        <v/>
      </c>
      <c r="AU45" s="3">
        <f>ROUND(0.0,2)</f>
        <v/>
      </c>
      <c r="AV45" s="3">
        <f>ROUND(0.0,2)</f>
        <v/>
      </c>
      <c r="AW45" s="4">
        <f>IFERROR((AQ45/AP45),0)</f>
        <v/>
      </c>
      <c r="AX45" s="4">
        <f>IFERROR(((0+AO11+AO12+AO13+AO14+AO15+AO16+AO17+AO19+AO20+AO21+AO22+AO23+AO24+AO25+AO27+AO28+AO29+AO30+AO31+AO32+AO33+AO35+AO36+AO37+AO38+AO39+AO40+AO41+AO43+AO44+AO45)/T2),0)</f>
        <v/>
      </c>
      <c r="AY45" s="5">
        <f>IFERROR(ROUND(AO45/AQ45,2),0)</f>
        <v/>
      </c>
      <c r="AZ45" s="5">
        <f>IFERROR(ROUND(AO45/AR45,2),0)</f>
        <v/>
      </c>
      <c r="BA45" s="2" t="inlineStr">
        <is>
          <t>2023-10-20</t>
        </is>
      </c>
      <c r="BB45" s="5">
        <f>ROUND(0.6900000000000001,2)</f>
        <v/>
      </c>
      <c r="BC45" s="3">
        <f>ROUND(547.0,2)</f>
        <v/>
      </c>
      <c r="BD45" s="3">
        <f>ROUND(3.0,2)</f>
        <v/>
      </c>
      <c r="BE45" s="3">
        <f>ROUND(0.0,2)</f>
        <v/>
      </c>
      <c r="BF45" s="3">
        <f>ROUND(0.0,2)</f>
        <v/>
      </c>
      <c r="BG45" s="3">
        <f>ROUND(0.0,2)</f>
        <v/>
      </c>
      <c r="BH45" s="3">
        <f>ROUND(0.0,2)</f>
        <v/>
      </c>
      <c r="BI45" s="3">
        <f>ROUND(0.0,2)</f>
        <v/>
      </c>
      <c r="BJ45" s="4">
        <f>IFERROR((BD45/BC45),0)</f>
        <v/>
      </c>
      <c r="BK45" s="4">
        <f>IFERROR(((0+BB11+BB12+BB13+BB14+BB15+BB16+BB17+BB19+BB20+BB21+BB22+BB23+BB24+BB25+BB27+BB28+BB29+BB30+BB31+BB32+BB33+BB35+BB36+BB37+BB38+BB39+BB40+BB41+BB43+BB44+BB45)/T2),0)</f>
        <v/>
      </c>
      <c r="BL45" s="5">
        <f>IFERROR(ROUND(BB45/BD45,2),0)</f>
        <v/>
      </c>
      <c r="BM45" s="5">
        <f>IFERROR(ROUND(BB45/BE45,2),0)</f>
        <v/>
      </c>
      <c r="BN45" s="2" t="inlineStr">
        <is>
          <t>2023-10-20</t>
        </is>
      </c>
      <c r="BO45" s="5">
        <f>ROUND(0.53,2)</f>
        <v/>
      </c>
      <c r="BP45" s="3">
        <f>ROUND(326.0,2)</f>
        <v/>
      </c>
      <c r="BQ45" s="3">
        <f>ROUND(1.0,2)</f>
        <v/>
      </c>
      <c r="BR45" s="3">
        <f>ROUND(0.0,2)</f>
        <v/>
      </c>
      <c r="BS45" s="3">
        <f>ROUND(0.0,2)</f>
        <v/>
      </c>
      <c r="BT45" s="3">
        <f>ROUND(0.0,2)</f>
        <v/>
      </c>
      <c r="BU45" s="3">
        <f>ROUND(0.0,2)</f>
        <v/>
      </c>
      <c r="BV45" s="3">
        <f>ROUND(0.0,2)</f>
        <v/>
      </c>
      <c r="BW45" s="4">
        <f>IFERROR((BQ45/BP45),0)</f>
        <v/>
      </c>
      <c r="BX45" s="4">
        <f>IFERROR(((0+BO11+BO12+BO13+BO14+BO15+BO16+BO17+BO19+BO20+BO21+BO22+BO23+BO24+BO25+BO27+BO28+BO29+BO30+BO31+BO32+BO33+BO35+BO36+BO37+BO38+BO39+BO40+BO41+BO43+BO44+BO45)/T2),0)</f>
        <v/>
      </c>
      <c r="BY45" s="5">
        <f>IFERROR(ROUND(BO45/BQ45,2),0)</f>
        <v/>
      </c>
      <c r="BZ45" s="5">
        <f>IFERROR(ROUND(BO45/BR45,2),0)</f>
        <v/>
      </c>
      <c r="CA45" s="2" t="inlineStr">
        <is>
          <t>2023-10-20</t>
        </is>
      </c>
      <c r="CB45" s="5">
        <f>ROUND(0.02,2)</f>
        <v/>
      </c>
      <c r="CC45" s="3">
        <f>ROUND(21.0,2)</f>
        <v/>
      </c>
      <c r="CD45" s="3">
        <f>ROUND(0.0,2)</f>
        <v/>
      </c>
      <c r="CE45" s="3">
        <f>ROUND(0.0,2)</f>
        <v/>
      </c>
      <c r="CF45" s="3">
        <f>ROUND(0.0,2)</f>
        <v/>
      </c>
      <c r="CG45" s="3">
        <f>ROUND(0.0,2)</f>
        <v/>
      </c>
      <c r="CH45" s="3">
        <f>ROUND(0.0,2)</f>
        <v/>
      </c>
      <c r="CI45" s="3">
        <f>ROUND(0.0,2)</f>
        <v/>
      </c>
      <c r="CJ45" s="4">
        <f>IFERROR((CD45/CC45),0)</f>
        <v/>
      </c>
      <c r="CK45" s="4">
        <f>IFERROR(((0+CB11+CB12+CB13+CB14+CB15+CB16+CB17+CB19+CB20+CB21+CB22+CB23+CB24+CB25+CB27+CB28+CB29+CB30+CB31+CB32+CB33+CB35+CB36+CB37+CB38+CB39+CB40+CB41+CB43+CB44+CB45)/T2),0)</f>
        <v/>
      </c>
      <c r="CL45" s="5">
        <f>IFERROR(ROUND(CB45/CD45,2),0)</f>
        <v/>
      </c>
      <c r="CM45" s="5">
        <f>IFERROR(ROUND(CB45/CE45,2),0)</f>
        <v/>
      </c>
      <c r="CN45" s="2" t="inlineStr">
        <is>
          <t>2023-10-20</t>
        </is>
      </c>
      <c r="CO45" s="5">
        <f>ROUND(0.25,2)</f>
        <v/>
      </c>
      <c r="CP45" s="3">
        <f>ROUND(153.0,2)</f>
        <v/>
      </c>
      <c r="CQ45" s="3">
        <f>ROUND(2.0,2)</f>
        <v/>
      </c>
      <c r="CR45" s="3">
        <f>ROUND(25.0,2)</f>
        <v/>
      </c>
      <c r="CS45" s="3">
        <f>ROUND(19.0,2)</f>
        <v/>
      </c>
      <c r="CT45" s="3">
        <f>ROUND(12.0,2)</f>
        <v/>
      </c>
      <c r="CU45" s="3">
        <f>ROUND(10.0,2)</f>
        <v/>
      </c>
      <c r="CV45" s="3">
        <f>ROUND(9.0,2)</f>
        <v/>
      </c>
      <c r="CW45" s="4">
        <f>IFERROR((CQ45/CP45),0)</f>
        <v/>
      </c>
      <c r="CX45" s="4">
        <f>IFERROR(((0+CO11+CO12+CO13+CO14+CO15+CO16+CO17+CO19+CO20+CO21+CO22+CO23+CO24+CO25+CO27+CO28+CO29+CO30+CO31+CO32+CO33+CO35+CO36+CO37+CO38+CO39+CO40+CO41+CO43+CO44+CO45)/T2),0)</f>
        <v/>
      </c>
      <c r="CY45" s="5">
        <f>IFERROR(ROUND(CO45/CQ45,2),0)</f>
        <v/>
      </c>
      <c r="CZ45" s="5">
        <f>IFERROR(ROUND(CO45/CR45,2),0)</f>
        <v/>
      </c>
      <c r="DA45" s="2" t="inlineStr">
        <is>
          <t>2023-10-20</t>
        </is>
      </c>
      <c r="DB45" s="5">
        <f>ROUND(1.24,2)</f>
        <v/>
      </c>
      <c r="DC45" s="3">
        <f>ROUND(842.0,2)</f>
        <v/>
      </c>
      <c r="DD45" s="3">
        <f>ROUND(10.0,2)</f>
        <v/>
      </c>
      <c r="DE45" s="3">
        <f>ROUND(180.0,2)</f>
        <v/>
      </c>
      <c r="DF45" s="3">
        <f>ROUND(117.0,2)</f>
        <v/>
      </c>
      <c r="DG45" s="3">
        <f>ROUND(66.0,2)</f>
        <v/>
      </c>
      <c r="DH45" s="3">
        <f>ROUND(58.0,2)</f>
        <v/>
      </c>
      <c r="DI45" s="3">
        <f>ROUND(47.0,2)</f>
        <v/>
      </c>
      <c r="DJ45" s="4">
        <f>IFERROR((DD45/DC45),0)</f>
        <v/>
      </c>
      <c r="DK45" s="4">
        <f>IFERROR(((0+DB11+DB12+DB13+DB14+DB15+DB16+DB17+DB19+DB20+DB21+DB22+DB23+DB24+DB25+DB27+DB28+DB29+DB30+DB31+DB32+DB33+DB35+DB36+DB37+DB38+DB39+DB40+DB41+DB43+DB44+DB45)/T2),0)</f>
        <v/>
      </c>
      <c r="DL45" s="5">
        <f>IFERROR(ROUND(DB45/DD45,2),0)</f>
        <v/>
      </c>
      <c r="DM45" s="5">
        <f>IFERROR(ROUND(DB45/DE45,2),0)</f>
        <v/>
      </c>
      <c r="DN45" s="2" t="inlineStr">
        <is>
          <t>2023-10-20</t>
        </is>
      </c>
      <c r="DO45" s="5">
        <f>ROUND(17.150000000000002,2)</f>
        <v/>
      </c>
      <c r="DP45" s="3">
        <f>ROUND(6178.0,2)</f>
        <v/>
      </c>
      <c r="DQ45" s="3">
        <f>ROUND(165.0,2)</f>
        <v/>
      </c>
      <c r="DR45" s="3">
        <f>ROUND(1746.0,2)</f>
        <v/>
      </c>
      <c r="DS45" s="3">
        <f>ROUND(1368.0,2)</f>
        <v/>
      </c>
      <c r="DT45" s="3">
        <f>ROUND(947.0,2)</f>
        <v/>
      </c>
      <c r="DU45" s="3">
        <f>ROUND(832.0,2)</f>
        <v/>
      </c>
      <c r="DV45" s="3">
        <f>ROUND(709.0,2)</f>
        <v/>
      </c>
      <c r="DW45" s="4">
        <f>IFERROR((DQ45/DP45),0)</f>
        <v/>
      </c>
      <c r="DX45" s="4">
        <f>IFERROR(((0+DO11+DO12+DO13+DO14+DO15+DO16+DO17+DO19+DO20+DO21+DO22+DO23+DO24+DO25+DO27+DO28+DO29+DO30+DO31+DO32+DO33+DO35+DO36+DO37+DO38+DO39+DO40+DO41+DO43+DO44+DO45)/T2),0)</f>
        <v/>
      </c>
      <c r="DY45" s="5">
        <f>IFERROR(ROUND(DO45/DQ45,2),0)</f>
        <v/>
      </c>
      <c r="DZ45" s="5">
        <f>IFERROR(ROUND(DO45/DR45,2),0)</f>
        <v/>
      </c>
      <c r="EA45" s="2" t="inlineStr">
        <is>
          <t>2023-10-20</t>
        </is>
      </c>
      <c r="EB45" s="5">
        <f>ROUND(0.27,2)</f>
        <v/>
      </c>
      <c r="EC45" s="3">
        <f>ROUND(180.0,2)</f>
        <v/>
      </c>
      <c r="ED45" s="3">
        <f>ROUND(4.0,2)</f>
        <v/>
      </c>
      <c r="EE45" s="3">
        <f>ROUND(28.0,2)</f>
        <v/>
      </c>
      <c r="EF45" s="3">
        <f>ROUND(13.0,2)</f>
        <v/>
      </c>
      <c r="EG45" s="3">
        <f>ROUND(3.0,2)</f>
        <v/>
      </c>
      <c r="EH45" s="3">
        <f>ROUND(2.0,2)</f>
        <v/>
      </c>
      <c r="EI45" s="3">
        <f>ROUND(2.0,2)</f>
        <v/>
      </c>
      <c r="EJ45" s="4">
        <f>IFERROR((ED45/EC45),0)</f>
        <v/>
      </c>
      <c r="EK45" s="4">
        <f>IFERROR(((0+EB11+EB12+EB13+EB14+EB15+EB16+EB17+EB19+EB20+EB21+EB22+EB23+EB24+EB25+EB27+EB28+EB29+EB30+EB31+EB32+EB33+EB35+EB36+EB37+EB38+EB39+EB40+EB41+EB43+EB44+EB45)/T2),0)</f>
        <v/>
      </c>
      <c r="EL45" s="5">
        <f>IFERROR(ROUND(EB45/ED45,2),0)</f>
        <v/>
      </c>
      <c r="EM45" s="5">
        <f>IFERROR(ROUND(EB45/EE45,2),0)</f>
        <v/>
      </c>
    </row>
    <row r="46">
      <c r="A46" s="2" t="inlineStr">
        <is>
          <t>2023-10-21</t>
        </is>
      </c>
      <c r="B46" s="5">
        <f>ROUND(21.21,2)</f>
        <v/>
      </c>
      <c r="C46" s="3">
        <f>ROUND(8530.0,2)</f>
        <v/>
      </c>
      <c r="D46" s="3">
        <f>ROUND(215.0,2)</f>
        <v/>
      </c>
      <c r="E46" s="3">
        <f>ROUND(2164.0,2)</f>
        <v/>
      </c>
      <c r="F46" s="3">
        <f>ROUND(1797.0,2)</f>
        <v/>
      </c>
      <c r="G46" s="3">
        <f>ROUND(1322.0,2)</f>
        <v/>
      </c>
      <c r="H46" s="3">
        <f>ROUND(1179.0,2)</f>
        <v/>
      </c>
      <c r="I46" s="3">
        <f>ROUND(996.0,2)</f>
        <v/>
      </c>
      <c r="J46" s="4">
        <f>IFERROR((D46/C46),0)</f>
        <v/>
      </c>
      <c r="K46" s="4">
        <f>IFERROR(((0+B11+B12+B13+B14+B15+B16+B17+B19+B20+B21+B22+B23+B24+B25+B27+B28+B29+B30+B31+B32+B33+B35+B36+B37+B38+B39+B40+B41+B43+B44+B45+B46)/T2),0)</f>
        <v/>
      </c>
      <c r="L46" s="5">
        <f>IFERROR(ROUND(B46/D46,2),0)</f>
        <v/>
      </c>
      <c r="M46" s="5">
        <f>IFERROR(ROUND(B46/E46,2),0)</f>
        <v/>
      </c>
      <c r="N46" s="2" t="inlineStr">
        <is>
          <t>2023-10-21</t>
        </is>
      </c>
      <c r="O46" s="5">
        <f>ROUND(0.08,2)</f>
        <v/>
      </c>
      <c r="P46" s="3">
        <f>ROUND(98.0,2)</f>
        <v/>
      </c>
      <c r="Q46" s="3">
        <f>ROUND(0.0,2)</f>
        <v/>
      </c>
      <c r="R46" s="3">
        <f>ROUND(0.0,2)</f>
        <v/>
      </c>
      <c r="S46" s="3">
        <f>ROUND(0.0,2)</f>
        <v/>
      </c>
      <c r="T46" s="3">
        <f>ROUND(0.0,2)</f>
        <v/>
      </c>
      <c r="U46" s="3">
        <f>ROUND(0.0,2)</f>
        <v/>
      </c>
      <c r="V46" s="3">
        <f>ROUND(0.0,2)</f>
        <v/>
      </c>
      <c r="W46" s="4">
        <f>IFERROR((Q46/P46),0)</f>
        <v/>
      </c>
      <c r="X46" s="4">
        <f>IFERROR(((0+O11+O12+O13+O14+O15+O16+O17+O19+O20+O21+O22+O23+O24+O25+O27+O28+O29+O30+O31+O32+O33+O35+O36+O37+O38+O39+O40+O41+O43+O44+O45+O46)/T2),0)</f>
        <v/>
      </c>
      <c r="Y46" s="5">
        <f>IFERROR(ROUND(O46/Q46,2),0)</f>
        <v/>
      </c>
      <c r="Z46" s="5">
        <f>IFERROR(ROUND(O46/R46,2),0)</f>
        <v/>
      </c>
      <c r="AA46" s="2" t="inlineStr">
        <is>
          <t>2023-10-21</t>
        </is>
      </c>
      <c r="AB46" s="5">
        <f>ROUND(0.05,2)</f>
        <v/>
      </c>
      <c r="AC46" s="3">
        <f>ROUND(55.0,2)</f>
        <v/>
      </c>
      <c r="AD46" s="3">
        <f>ROUND(0.0,2)</f>
        <v/>
      </c>
      <c r="AE46" s="3">
        <f>ROUND(0.0,2)</f>
        <v/>
      </c>
      <c r="AF46" s="3">
        <f>ROUND(0.0,2)</f>
        <v/>
      </c>
      <c r="AG46" s="3">
        <f>ROUND(0.0,2)</f>
        <v/>
      </c>
      <c r="AH46" s="3">
        <f>ROUND(0.0,2)</f>
        <v/>
      </c>
      <c r="AI46" s="3">
        <f>ROUND(0.0,2)</f>
        <v/>
      </c>
      <c r="AJ46" s="4">
        <f>IFERROR((AD46/AC46),0)</f>
        <v/>
      </c>
      <c r="AK46" s="4">
        <f>IFERROR(((0+AB11+AB12+AB13+AB14+AB15+AB16+AB17+AB19+AB20+AB21+AB22+AB23+AB24+AB25+AB27+AB28+AB29+AB30+AB31+AB32+AB33+AB35+AB36+AB37+AB38+AB39+AB40+AB41+AB43+AB44+AB45+AB46)/T2),0)</f>
        <v/>
      </c>
      <c r="AL46" s="5">
        <f>IFERROR(ROUND(AB46/AD46,2),0)</f>
        <v/>
      </c>
      <c r="AM46" s="5">
        <f>IFERROR(ROUND(AB46/AE46,2),0)</f>
        <v/>
      </c>
      <c r="AN46" s="2" t="inlineStr">
        <is>
          <t>2023-10-21</t>
        </is>
      </c>
      <c r="AO46" s="5">
        <f>ROUND(0.08,2)</f>
        <v/>
      </c>
      <c r="AP46" s="3">
        <f>ROUND(98.0,2)</f>
        <v/>
      </c>
      <c r="AQ46" s="3">
        <f>ROUND(0.0,2)</f>
        <v/>
      </c>
      <c r="AR46" s="3">
        <f>ROUND(0.0,2)</f>
        <v/>
      </c>
      <c r="AS46" s="3">
        <f>ROUND(0.0,2)</f>
        <v/>
      </c>
      <c r="AT46" s="3">
        <f>ROUND(0.0,2)</f>
        <v/>
      </c>
      <c r="AU46" s="3">
        <f>ROUND(0.0,2)</f>
        <v/>
      </c>
      <c r="AV46" s="3">
        <f>ROUND(0.0,2)</f>
        <v/>
      </c>
      <c r="AW46" s="4">
        <f>IFERROR((AQ46/AP46),0)</f>
        <v/>
      </c>
      <c r="AX46" s="4">
        <f>IFERROR(((0+AO11+AO12+AO13+AO14+AO15+AO16+AO17+AO19+AO20+AO21+AO22+AO23+AO24+AO25+AO27+AO28+AO29+AO30+AO31+AO32+AO33+AO35+AO36+AO37+AO38+AO39+AO40+AO41+AO43+AO44+AO45+AO46)/T2),0)</f>
        <v/>
      </c>
      <c r="AY46" s="5">
        <f>IFERROR(ROUND(AO46/AQ46,2),0)</f>
        <v/>
      </c>
      <c r="AZ46" s="5">
        <f>IFERROR(ROUND(AO46/AR46,2),0)</f>
        <v/>
      </c>
      <c r="BA46" s="2" t="inlineStr">
        <is>
          <t>2023-10-21</t>
        </is>
      </c>
      <c r="BB46" s="5">
        <f>ROUND(1.15,2)</f>
        <v/>
      </c>
      <c r="BC46" s="3">
        <f>ROUND(835.0,2)</f>
        <v/>
      </c>
      <c r="BD46" s="3">
        <f>ROUND(6.0,2)</f>
        <v/>
      </c>
      <c r="BE46" s="3">
        <f>ROUND(0.0,2)</f>
        <v/>
      </c>
      <c r="BF46" s="3">
        <f>ROUND(0.0,2)</f>
        <v/>
      </c>
      <c r="BG46" s="3">
        <f>ROUND(0.0,2)</f>
        <v/>
      </c>
      <c r="BH46" s="3">
        <f>ROUND(0.0,2)</f>
        <v/>
      </c>
      <c r="BI46" s="3">
        <f>ROUND(0.0,2)</f>
        <v/>
      </c>
      <c r="BJ46" s="4">
        <f>IFERROR((BD46/BC46),0)</f>
        <v/>
      </c>
      <c r="BK46" s="4">
        <f>IFERROR(((0+BB11+BB12+BB13+BB14+BB15+BB16+BB17+BB19+BB20+BB21+BB22+BB23+BB24+BB25+BB27+BB28+BB29+BB30+BB31+BB32+BB33+BB35+BB36+BB37+BB38+BB39+BB40+BB41+BB43+BB44+BB45+BB46)/T2),0)</f>
        <v/>
      </c>
      <c r="BL46" s="5">
        <f>IFERROR(ROUND(BB46/BD46,2),0)</f>
        <v/>
      </c>
      <c r="BM46" s="5">
        <f>IFERROR(ROUND(BB46/BE46,2),0)</f>
        <v/>
      </c>
      <c r="BN46" s="2" t="inlineStr">
        <is>
          <t>2023-10-21</t>
        </is>
      </c>
      <c r="BO46" s="5">
        <f>ROUND(1.51,2)</f>
        <v/>
      </c>
      <c r="BP46" s="3">
        <f>ROUND(616.0,2)</f>
        <v/>
      </c>
      <c r="BQ46" s="3">
        <f>ROUND(0.0,2)</f>
        <v/>
      </c>
      <c r="BR46" s="3">
        <f>ROUND(0.0,2)</f>
        <v/>
      </c>
      <c r="BS46" s="3">
        <f>ROUND(0.0,2)</f>
        <v/>
      </c>
      <c r="BT46" s="3">
        <f>ROUND(0.0,2)</f>
        <v/>
      </c>
      <c r="BU46" s="3">
        <f>ROUND(0.0,2)</f>
        <v/>
      </c>
      <c r="BV46" s="3">
        <f>ROUND(0.0,2)</f>
        <v/>
      </c>
      <c r="BW46" s="4">
        <f>IFERROR((BQ46/BP46),0)</f>
        <v/>
      </c>
      <c r="BX46" s="4">
        <f>IFERROR(((0+BO11+BO12+BO13+BO14+BO15+BO16+BO17+BO19+BO20+BO21+BO22+BO23+BO24+BO25+BO27+BO28+BO29+BO30+BO31+BO32+BO33+BO35+BO36+BO37+BO38+BO39+BO40+BO41+BO43+BO44+BO45+BO46)/T2),0)</f>
        <v/>
      </c>
      <c r="BY46" s="5">
        <f>IFERROR(ROUND(BO46/BQ46,2),0)</f>
        <v/>
      </c>
      <c r="BZ46" s="5">
        <f>IFERROR(ROUND(BO46/BR46,2),0)</f>
        <v/>
      </c>
      <c r="CA46" s="2" t="inlineStr">
        <is>
          <t>2023-10-21</t>
        </is>
      </c>
      <c r="CB46" s="5">
        <f>ROUND(0.0,2)</f>
        <v/>
      </c>
      <c r="CC46" s="3">
        <f>ROUND(10.0,2)</f>
        <v/>
      </c>
      <c r="CD46" s="3">
        <f>ROUND(0.0,2)</f>
        <v/>
      </c>
      <c r="CE46" s="3">
        <f>ROUND(0.0,2)</f>
        <v/>
      </c>
      <c r="CF46" s="3">
        <f>ROUND(0.0,2)</f>
        <v/>
      </c>
      <c r="CG46" s="3">
        <f>ROUND(0.0,2)</f>
        <v/>
      </c>
      <c r="CH46" s="3">
        <f>ROUND(0.0,2)</f>
        <v/>
      </c>
      <c r="CI46" s="3">
        <f>ROUND(0.0,2)</f>
        <v/>
      </c>
      <c r="CJ46" s="4">
        <f>IFERROR((CD46/CC46),0)</f>
        <v/>
      </c>
      <c r="CK46" s="4">
        <f>IFERROR(((0+CB11+CB12+CB13+CB14+CB15+CB16+CB17+CB19+CB20+CB21+CB22+CB23+CB24+CB25+CB27+CB28+CB29+CB30+CB31+CB32+CB33+CB35+CB36+CB37+CB38+CB39+CB40+CB41+CB43+CB44+CB45+CB46)/T2),0)</f>
        <v/>
      </c>
      <c r="CL46" s="5">
        <f>IFERROR(ROUND(CB46/CD46,2),0)</f>
        <v/>
      </c>
      <c r="CM46" s="5">
        <f>IFERROR(ROUND(CB46/CE46,2),0)</f>
        <v/>
      </c>
      <c r="CN46" s="2" t="inlineStr">
        <is>
          <t>2023-10-21</t>
        </is>
      </c>
      <c r="CO46" s="5">
        <f>ROUND(1.26,2)</f>
        <v/>
      </c>
      <c r="CP46" s="3">
        <f>ROUND(691.0,2)</f>
        <v/>
      </c>
      <c r="CQ46" s="3">
        <f>ROUND(12.0,2)</f>
        <v/>
      </c>
      <c r="CR46" s="3">
        <f>ROUND(111.0,2)</f>
        <v/>
      </c>
      <c r="CS46" s="3">
        <f>ROUND(75.0,2)</f>
        <v/>
      </c>
      <c r="CT46" s="3">
        <f>ROUND(49.0,2)</f>
        <v/>
      </c>
      <c r="CU46" s="3">
        <f>ROUND(41.0,2)</f>
        <v/>
      </c>
      <c r="CV46" s="3">
        <f>ROUND(38.0,2)</f>
        <v/>
      </c>
      <c r="CW46" s="4">
        <f>IFERROR((CQ46/CP46),0)</f>
        <v/>
      </c>
      <c r="CX46" s="4">
        <f>IFERROR(((0+CO11+CO12+CO13+CO14+CO15+CO16+CO17+CO19+CO20+CO21+CO22+CO23+CO24+CO25+CO27+CO28+CO29+CO30+CO31+CO32+CO33+CO35+CO36+CO37+CO38+CO39+CO40+CO41+CO43+CO44+CO45+CO46)/T2),0)</f>
        <v/>
      </c>
      <c r="CY46" s="5">
        <f>IFERROR(ROUND(CO46/CQ46,2),0)</f>
        <v/>
      </c>
      <c r="CZ46" s="5">
        <f>IFERROR(ROUND(CO46/CR46,2),0)</f>
        <v/>
      </c>
      <c r="DA46" s="2" t="inlineStr">
        <is>
          <t>2023-10-21</t>
        </is>
      </c>
      <c r="DB46" s="5">
        <f>ROUND(0.22999999999999998,2)</f>
        <v/>
      </c>
      <c r="DC46" s="3">
        <f>ROUND(153.0,2)</f>
        <v/>
      </c>
      <c r="DD46" s="3">
        <f>ROUND(2.0,2)</f>
        <v/>
      </c>
      <c r="DE46" s="3">
        <f>ROUND(24.0,2)</f>
        <v/>
      </c>
      <c r="DF46" s="3">
        <f>ROUND(13.0,2)</f>
        <v/>
      </c>
      <c r="DG46" s="3">
        <f>ROUND(6.0,2)</f>
        <v/>
      </c>
      <c r="DH46" s="3">
        <f>ROUND(6.0,2)</f>
        <v/>
      </c>
      <c r="DI46" s="3">
        <f>ROUND(4.0,2)</f>
        <v/>
      </c>
      <c r="DJ46" s="4">
        <f>IFERROR((DD46/DC46),0)</f>
        <v/>
      </c>
      <c r="DK46" s="4">
        <f>IFERROR(((0+DB11+DB12+DB13+DB14+DB15+DB16+DB17+DB19+DB20+DB21+DB22+DB23+DB24+DB25+DB27+DB28+DB29+DB30+DB31+DB32+DB33+DB35+DB36+DB37+DB38+DB39+DB40+DB41+DB43+DB44+DB45+DB46)/T2),0)</f>
        <v/>
      </c>
      <c r="DL46" s="5">
        <f>IFERROR(ROUND(DB46/DD46,2),0)</f>
        <v/>
      </c>
      <c r="DM46" s="5">
        <f>IFERROR(ROUND(DB46/DE46,2),0)</f>
        <v/>
      </c>
      <c r="DN46" s="2" t="inlineStr">
        <is>
          <t>2023-10-21</t>
        </is>
      </c>
      <c r="DO46" s="5">
        <f>ROUND(16.64,2)</f>
        <v/>
      </c>
      <c r="DP46" s="3">
        <f>ROUND(5857.0,2)</f>
        <v/>
      </c>
      <c r="DQ46" s="3">
        <f>ROUND(192.0,2)</f>
        <v/>
      </c>
      <c r="DR46" s="3">
        <f>ROUND(2011.0,2)</f>
        <v/>
      </c>
      <c r="DS46" s="3">
        <f>ROUND(1697.0,2)</f>
        <v/>
      </c>
      <c r="DT46" s="3">
        <f>ROUND(1258.0,2)</f>
        <v/>
      </c>
      <c r="DU46" s="3">
        <f>ROUND(1124.0,2)</f>
        <v/>
      </c>
      <c r="DV46" s="3">
        <f>ROUND(949.0,2)</f>
        <v/>
      </c>
      <c r="DW46" s="4">
        <f>IFERROR((DQ46/DP46),0)</f>
        <v/>
      </c>
      <c r="DX46" s="4">
        <f>IFERROR(((0+DO11+DO12+DO13+DO14+DO15+DO16+DO17+DO19+DO20+DO21+DO22+DO23+DO24+DO25+DO27+DO28+DO29+DO30+DO31+DO32+DO33+DO35+DO36+DO37+DO38+DO39+DO40+DO41+DO43+DO44+DO45+DO46)/T2),0)</f>
        <v/>
      </c>
      <c r="DY46" s="5">
        <f>IFERROR(ROUND(DO46/DQ46,2),0)</f>
        <v/>
      </c>
      <c r="DZ46" s="5">
        <f>IFERROR(ROUND(DO46/DR46,2),0)</f>
        <v/>
      </c>
      <c r="EA46" s="2" t="inlineStr">
        <is>
          <t>2023-10-21</t>
        </is>
      </c>
      <c r="EB46" s="5">
        <f>ROUND(0.21000000000000002,2)</f>
        <v/>
      </c>
      <c r="EC46" s="3">
        <f>ROUND(117.0,2)</f>
        <v/>
      </c>
      <c r="ED46" s="3">
        <f>ROUND(3.0,2)</f>
        <v/>
      </c>
      <c r="EE46" s="3">
        <f>ROUND(18.0,2)</f>
        <v/>
      </c>
      <c r="EF46" s="3">
        <f>ROUND(12.0,2)</f>
        <v/>
      </c>
      <c r="EG46" s="3">
        <f>ROUND(9.0,2)</f>
        <v/>
      </c>
      <c r="EH46" s="3">
        <f>ROUND(8.0,2)</f>
        <v/>
      </c>
      <c r="EI46" s="3">
        <f>ROUND(5.0,2)</f>
        <v/>
      </c>
      <c r="EJ46" s="4">
        <f>IFERROR((ED46/EC46),0)</f>
        <v/>
      </c>
      <c r="EK46" s="4">
        <f>IFERROR(((0+EB11+EB12+EB13+EB14+EB15+EB16+EB17+EB19+EB20+EB21+EB22+EB23+EB24+EB25+EB27+EB28+EB29+EB30+EB31+EB32+EB33+EB35+EB36+EB37+EB38+EB39+EB40+EB41+EB43+EB44+EB45+EB46)/T2),0)</f>
        <v/>
      </c>
      <c r="EL46" s="5">
        <f>IFERROR(ROUND(EB46/ED46,2),0)</f>
        <v/>
      </c>
      <c r="EM46" s="5">
        <f>IFERROR(ROUND(EB46/EE46,2),0)</f>
        <v/>
      </c>
    </row>
    <row r="47">
      <c r="A47" s="2" t="inlineStr">
        <is>
          <t>2023-10-22</t>
        </is>
      </c>
      <c r="B47" s="5">
        <f>ROUND(21.71,2)</f>
        <v/>
      </c>
      <c r="C47" s="3">
        <f>ROUND(9277.0,2)</f>
        <v/>
      </c>
      <c r="D47" s="3">
        <f>ROUND(242.0,2)</f>
        <v/>
      </c>
      <c r="E47" s="3">
        <f>ROUND(2350.0,2)</f>
        <v/>
      </c>
      <c r="F47" s="3">
        <f>ROUND(1942.0,2)</f>
        <v/>
      </c>
      <c r="G47" s="3">
        <f>ROUND(1478.0,2)</f>
        <v/>
      </c>
      <c r="H47" s="3">
        <f>ROUND(1349.0,2)</f>
        <v/>
      </c>
      <c r="I47" s="3">
        <f>ROUND(1163.0,2)</f>
        <v/>
      </c>
      <c r="J47" s="4">
        <f>IFERROR((D47/C47),0)</f>
        <v/>
      </c>
      <c r="K47" s="4">
        <f>IFERROR(((0+B11+B12+B13+B14+B15+B16+B17+B19+B20+B21+B22+B23+B24+B25+B27+B28+B29+B30+B31+B32+B33+B35+B36+B37+B38+B39+B40+B41+B43+B44+B45+B46+B47)/T2),0)</f>
        <v/>
      </c>
      <c r="L47" s="5">
        <f>IFERROR(ROUND(B47/D47,2),0)</f>
        <v/>
      </c>
      <c r="M47" s="5">
        <f>IFERROR(ROUND(B47/E47,2),0)</f>
        <v/>
      </c>
      <c r="N47" s="2" t="inlineStr">
        <is>
          <t>2023-10-22</t>
        </is>
      </c>
      <c r="O47" s="5">
        <f>ROUND(0.03,2)</f>
        <v/>
      </c>
      <c r="P47" s="3">
        <f>ROUND(48.0,2)</f>
        <v/>
      </c>
      <c r="Q47" s="3">
        <f>ROUND(0.0,2)</f>
        <v/>
      </c>
      <c r="R47" s="3">
        <f>ROUND(0.0,2)</f>
        <v/>
      </c>
      <c r="S47" s="3">
        <f>ROUND(0.0,2)</f>
        <v/>
      </c>
      <c r="T47" s="3">
        <f>ROUND(0.0,2)</f>
        <v/>
      </c>
      <c r="U47" s="3">
        <f>ROUND(0.0,2)</f>
        <v/>
      </c>
      <c r="V47" s="3">
        <f>ROUND(0.0,2)</f>
        <v/>
      </c>
      <c r="W47" s="4">
        <f>IFERROR((Q47/P47),0)</f>
        <v/>
      </c>
      <c r="X47" s="4">
        <f>IFERROR(((0+O11+O12+O13+O14+O15+O16+O17+O19+O20+O21+O22+O23+O24+O25+O27+O28+O29+O30+O31+O32+O33+O35+O36+O37+O38+O39+O40+O41+O43+O44+O45+O46+O47)/T2),0)</f>
        <v/>
      </c>
      <c r="Y47" s="5">
        <f>IFERROR(ROUND(O47/Q47,2),0)</f>
        <v/>
      </c>
      <c r="Z47" s="5">
        <f>IFERROR(ROUND(O47/R47,2),0)</f>
        <v/>
      </c>
      <c r="AA47" s="2" t="inlineStr">
        <is>
          <t>2023-10-22</t>
        </is>
      </c>
      <c r="AB47" s="5">
        <f>ROUND(0.03,2)</f>
        <v/>
      </c>
      <c r="AC47" s="3">
        <f>ROUND(44.0,2)</f>
        <v/>
      </c>
      <c r="AD47" s="3">
        <f>ROUND(1.0,2)</f>
        <v/>
      </c>
      <c r="AE47" s="3">
        <f>ROUND(0.0,2)</f>
        <v/>
      </c>
      <c r="AF47" s="3">
        <f>ROUND(0.0,2)</f>
        <v/>
      </c>
      <c r="AG47" s="3">
        <f>ROUND(0.0,2)</f>
        <v/>
      </c>
      <c r="AH47" s="3">
        <f>ROUND(0.0,2)</f>
        <v/>
      </c>
      <c r="AI47" s="3">
        <f>ROUND(0.0,2)</f>
        <v/>
      </c>
      <c r="AJ47" s="4">
        <f>IFERROR((AD47/AC47),0)</f>
        <v/>
      </c>
      <c r="AK47" s="4">
        <f>IFERROR(((0+AB11+AB12+AB13+AB14+AB15+AB16+AB17+AB19+AB20+AB21+AB22+AB23+AB24+AB25+AB27+AB28+AB29+AB30+AB31+AB32+AB33+AB35+AB36+AB37+AB38+AB39+AB40+AB41+AB43+AB44+AB45+AB46+AB47)/T2),0)</f>
        <v/>
      </c>
      <c r="AL47" s="5">
        <f>IFERROR(ROUND(AB47/AD47,2),0)</f>
        <v/>
      </c>
      <c r="AM47" s="5">
        <f>IFERROR(ROUND(AB47/AE47,2),0)</f>
        <v/>
      </c>
      <c r="AN47" s="2" t="inlineStr">
        <is>
          <t>2023-10-22</t>
        </is>
      </c>
      <c r="AO47" s="5">
        <f>ROUND(0.02,2)</f>
        <v/>
      </c>
      <c r="AP47" s="3">
        <f>ROUND(31.0,2)</f>
        <v/>
      </c>
      <c r="AQ47" s="3">
        <f>ROUND(0.0,2)</f>
        <v/>
      </c>
      <c r="AR47" s="3">
        <f>ROUND(0.0,2)</f>
        <v/>
      </c>
      <c r="AS47" s="3">
        <f>ROUND(0.0,2)</f>
        <v/>
      </c>
      <c r="AT47" s="3">
        <f>ROUND(0.0,2)</f>
        <v/>
      </c>
      <c r="AU47" s="3">
        <f>ROUND(0.0,2)</f>
        <v/>
      </c>
      <c r="AV47" s="3">
        <f>ROUND(0.0,2)</f>
        <v/>
      </c>
      <c r="AW47" s="4">
        <f>IFERROR((AQ47/AP47),0)</f>
        <v/>
      </c>
      <c r="AX47" s="4">
        <f>IFERROR(((0+AO11+AO12+AO13+AO14+AO15+AO16+AO17+AO19+AO20+AO21+AO22+AO23+AO24+AO25+AO27+AO28+AO29+AO30+AO31+AO32+AO33+AO35+AO36+AO37+AO38+AO39+AO40+AO41+AO43+AO44+AO45+AO46+AO47)/T2),0)</f>
        <v/>
      </c>
      <c r="AY47" s="5">
        <f>IFERROR(ROUND(AO47/AQ47,2),0)</f>
        <v/>
      </c>
      <c r="AZ47" s="5">
        <f>IFERROR(ROUND(AO47/AR47,2),0)</f>
        <v/>
      </c>
      <c r="BA47" s="2" t="inlineStr">
        <is>
          <t>2023-10-22</t>
        </is>
      </c>
      <c r="BB47" s="5">
        <f>ROUND(2.0,2)</f>
        <v/>
      </c>
      <c r="BC47" s="3">
        <f>ROUND(1489.0,2)</f>
        <v/>
      </c>
      <c r="BD47" s="3">
        <f>ROUND(13.0,2)</f>
        <v/>
      </c>
      <c r="BE47" s="3">
        <f>ROUND(0.0,2)</f>
        <v/>
      </c>
      <c r="BF47" s="3">
        <f>ROUND(0.0,2)</f>
        <v/>
      </c>
      <c r="BG47" s="3">
        <f>ROUND(0.0,2)</f>
        <v/>
      </c>
      <c r="BH47" s="3">
        <f>ROUND(0.0,2)</f>
        <v/>
      </c>
      <c r="BI47" s="3">
        <f>ROUND(0.0,2)</f>
        <v/>
      </c>
      <c r="BJ47" s="4">
        <f>IFERROR((BD47/BC47),0)</f>
        <v/>
      </c>
      <c r="BK47" s="4">
        <f>IFERROR(((0+BB11+BB12+BB13+BB14+BB15+BB16+BB17+BB19+BB20+BB21+BB22+BB23+BB24+BB25+BB27+BB28+BB29+BB30+BB31+BB32+BB33+BB35+BB36+BB37+BB38+BB39+BB40+BB41+BB43+BB44+BB45+BB46+BB47)/T2),0)</f>
        <v/>
      </c>
      <c r="BL47" s="5">
        <f>IFERROR(ROUND(BB47/BD47,2),0)</f>
        <v/>
      </c>
      <c r="BM47" s="5">
        <f>IFERROR(ROUND(BB47/BE47,2),0)</f>
        <v/>
      </c>
      <c r="BN47" s="2" t="inlineStr">
        <is>
          <t>2023-10-22</t>
        </is>
      </c>
      <c r="BO47" s="5">
        <f>ROUND(1.22,2)</f>
        <v/>
      </c>
      <c r="BP47" s="3">
        <f>ROUND(603.0,2)</f>
        <v/>
      </c>
      <c r="BQ47" s="3">
        <f>ROUND(1.0,2)</f>
        <v/>
      </c>
      <c r="BR47" s="3">
        <f>ROUND(0.0,2)</f>
        <v/>
      </c>
      <c r="BS47" s="3">
        <f>ROUND(0.0,2)</f>
        <v/>
      </c>
      <c r="BT47" s="3">
        <f>ROUND(0.0,2)</f>
        <v/>
      </c>
      <c r="BU47" s="3">
        <f>ROUND(0.0,2)</f>
        <v/>
      </c>
      <c r="BV47" s="3">
        <f>ROUND(0.0,2)</f>
        <v/>
      </c>
      <c r="BW47" s="4">
        <f>IFERROR((BQ47/BP47),0)</f>
        <v/>
      </c>
      <c r="BX47" s="4">
        <f>IFERROR(((0+BO11+BO12+BO13+BO14+BO15+BO16+BO17+BO19+BO20+BO21+BO22+BO23+BO24+BO25+BO27+BO28+BO29+BO30+BO31+BO32+BO33+BO35+BO36+BO37+BO38+BO39+BO40+BO41+BO43+BO44+BO45+BO46+BO47)/T2),0)</f>
        <v/>
      </c>
      <c r="BY47" s="5">
        <f>IFERROR(ROUND(BO47/BQ47,2),0)</f>
        <v/>
      </c>
      <c r="BZ47" s="5">
        <f>IFERROR(ROUND(BO47/BR47,2),0)</f>
        <v/>
      </c>
      <c r="CA47" s="2" t="inlineStr">
        <is>
          <t>2023-10-22</t>
        </is>
      </c>
      <c r="CB47" s="5">
        <f>ROUND(0.0,2)</f>
        <v/>
      </c>
      <c r="CC47" s="3">
        <f>ROUND(11.0,2)</f>
        <v/>
      </c>
      <c r="CD47" s="3">
        <f>ROUND(0.0,2)</f>
        <v/>
      </c>
      <c r="CE47" s="3">
        <f>ROUND(0.0,2)</f>
        <v/>
      </c>
      <c r="CF47" s="3">
        <f>ROUND(0.0,2)</f>
        <v/>
      </c>
      <c r="CG47" s="3">
        <f>ROUND(0.0,2)</f>
        <v/>
      </c>
      <c r="CH47" s="3">
        <f>ROUND(0.0,2)</f>
        <v/>
      </c>
      <c r="CI47" s="3">
        <f>ROUND(0.0,2)</f>
        <v/>
      </c>
      <c r="CJ47" s="4">
        <f>IFERROR((CD47/CC47),0)</f>
        <v/>
      </c>
      <c r="CK47" s="4">
        <f>IFERROR(((0+CB11+CB12+CB13+CB14+CB15+CB16+CB17+CB19+CB20+CB21+CB22+CB23+CB24+CB25+CB27+CB28+CB29+CB30+CB31+CB32+CB33+CB35+CB36+CB37+CB38+CB39+CB40+CB41+CB43+CB44+CB45+CB46+CB47)/T2),0)</f>
        <v/>
      </c>
      <c r="CL47" s="5">
        <f>IFERROR(ROUND(CB47/CD47,2),0)</f>
        <v/>
      </c>
      <c r="CM47" s="5">
        <f>IFERROR(ROUND(CB47/CE47,2),0)</f>
        <v/>
      </c>
      <c r="CN47" s="2" t="inlineStr">
        <is>
          <t>2023-10-22</t>
        </is>
      </c>
      <c r="CO47" s="5">
        <f>ROUND(0.86,2)</f>
        <v/>
      </c>
      <c r="CP47" s="3">
        <f>ROUND(488.0,2)</f>
        <v/>
      </c>
      <c r="CQ47" s="3">
        <f>ROUND(3.0,2)</f>
        <v/>
      </c>
      <c r="CR47" s="3">
        <f>ROUND(73.0,2)</f>
        <v/>
      </c>
      <c r="CS47" s="3">
        <f>ROUND(55.0,2)</f>
        <v/>
      </c>
      <c r="CT47" s="3">
        <f>ROUND(28.0,2)</f>
        <v/>
      </c>
      <c r="CU47" s="3">
        <f>ROUND(25.0,2)</f>
        <v/>
      </c>
      <c r="CV47" s="3">
        <f>ROUND(21.0,2)</f>
        <v/>
      </c>
      <c r="CW47" s="4">
        <f>IFERROR((CQ47/CP47),0)</f>
        <v/>
      </c>
      <c r="CX47" s="4">
        <f>IFERROR(((0+CO11+CO12+CO13+CO14+CO15+CO16+CO17+CO19+CO20+CO21+CO22+CO23+CO24+CO25+CO27+CO28+CO29+CO30+CO31+CO32+CO33+CO35+CO36+CO37+CO38+CO39+CO40+CO41+CO43+CO44+CO45+CO46+CO47)/T2),0)</f>
        <v/>
      </c>
      <c r="CY47" s="5">
        <f>IFERROR(ROUND(CO47/CQ47,2),0)</f>
        <v/>
      </c>
      <c r="CZ47" s="5">
        <f>IFERROR(ROUND(CO47/CR47,2),0)</f>
        <v/>
      </c>
      <c r="DA47" s="2" t="inlineStr">
        <is>
          <t>2023-10-22</t>
        </is>
      </c>
      <c r="DB47" s="5">
        <f>ROUND(0.3,2)</f>
        <v/>
      </c>
      <c r="DC47" s="3">
        <f>ROUND(181.0,2)</f>
        <v/>
      </c>
      <c r="DD47" s="3">
        <f>ROUND(0.0,2)</f>
        <v/>
      </c>
      <c r="DE47" s="3">
        <f>ROUND(20.0,2)</f>
        <v/>
      </c>
      <c r="DF47" s="3">
        <f>ROUND(8.0,2)</f>
        <v/>
      </c>
      <c r="DG47" s="3">
        <f>ROUND(6.0,2)</f>
        <v/>
      </c>
      <c r="DH47" s="3">
        <f>ROUND(4.0,2)</f>
        <v/>
      </c>
      <c r="DI47" s="3">
        <f>ROUND(3.0,2)</f>
        <v/>
      </c>
      <c r="DJ47" s="4">
        <f>IFERROR((DD47/DC47),0)</f>
        <v/>
      </c>
      <c r="DK47" s="4">
        <f>IFERROR(((0+DB11+DB12+DB13+DB14+DB15+DB16+DB17+DB19+DB20+DB21+DB22+DB23+DB24+DB25+DB27+DB28+DB29+DB30+DB31+DB32+DB33+DB35+DB36+DB37+DB38+DB39+DB40+DB41+DB43+DB44+DB45+DB46+DB47)/T2),0)</f>
        <v/>
      </c>
      <c r="DL47" s="5">
        <f>IFERROR(ROUND(DB47/DD47,2),0)</f>
        <v/>
      </c>
      <c r="DM47" s="5">
        <f>IFERROR(ROUND(DB47/DE47,2),0)</f>
        <v/>
      </c>
      <c r="DN47" s="2" t="inlineStr">
        <is>
          <t>2023-10-22</t>
        </is>
      </c>
      <c r="DO47" s="5">
        <f>ROUND(17.15,2)</f>
        <v/>
      </c>
      <c r="DP47" s="3">
        <f>ROUND(6305.0,2)</f>
        <v/>
      </c>
      <c r="DQ47" s="3">
        <f>ROUND(224.0,2)</f>
        <v/>
      </c>
      <c r="DR47" s="3">
        <f>ROUND(2247.0,2)</f>
        <v/>
      </c>
      <c r="DS47" s="3">
        <f>ROUND(1874.0,2)</f>
        <v/>
      </c>
      <c r="DT47" s="3">
        <f>ROUND(1441.0,2)</f>
        <v/>
      </c>
      <c r="DU47" s="3">
        <f>ROUND(1318.0,2)</f>
        <v/>
      </c>
      <c r="DV47" s="3">
        <f>ROUND(1137.0,2)</f>
        <v/>
      </c>
      <c r="DW47" s="4">
        <f>IFERROR((DQ47/DP47),0)</f>
        <v/>
      </c>
      <c r="DX47" s="4">
        <f>IFERROR(((0+DO11+DO12+DO13+DO14+DO15+DO16+DO17+DO19+DO20+DO21+DO22+DO23+DO24+DO25+DO27+DO28+DO29+DO30+DO31+DO32+DO33+DO35+DO36+DO37+DO38+DO39+DO40+DO41+DO43+DO44+DO45+DO46+DO47)/T2),0)</f>
        <v/>
      </c>
      <c r="DY47" s="5">
        <f>IFERROR(ROUND(DO47/DQ47,2),0)</f>
        <v/>
      </c>
      <c r="DZ47" s="5">
        <f>IFERROR(ROUND(DO47/DR47,2),0)</f>
        <v/>
      </c>
      <c r="EA47" s="2" t="inlineStr">
        <is>
          <t>2023-10-22</t>
        </is>
      </c>
      <c r="EB47" s="5">
        <f>ROUND(0.09999999999999999,2)</f>
        <v/>
      </c>
      <c r="EC47" s="3">
        <f>ROUND(77.0,2)</f>
        <v/>
      </c>
      <c r="ED47" s="3">
        <f>ROUND(0.0,2)</f>
        <v/>
      </c>
      <c r="EE47" s="3">
        <f>ROUND(10.0,2)</f>
        <v/>
      </c>
      <c r="EF47" s="3">
        <f>ROUND(5.0,2)</f>
        <v/>
      </c>
      <c r="EG47" s="3">
        <f>ROUND(3.0,2)</f>
        <v/>
      </c>
      <c r="EH47" s="3">
        <f>ROUND(2.0,2)</f>
        <v/>
      </c>
      <c r="EI47" s="3">
        <f>ROUND(2.0,2)</f>
        <v/>
      </c>
      <c r="EJ47" s="4">
        <f>IFERROR((ED47/EC47),0)</f>
        <v/>
      </c>
      <c r="EK47" s="4">
        <f>IFERROR(((0+EB11+EB12+EB13+EB14+EB15+EB16+EB17+EB19+EB20+EB21+EB22+EB23+EB24+EB25+EB27+EB28+EB29+EB30+EB31+EB32+EB33+EB35+EB36+EB37+EB38+EB39+EB40+EB41+EB43+EB44+EB45+EB46+EB47)/T2),0)</f>
        <v/>
      </c>
      <c r="EL47" s="5">
        <f>IFERROR(ROUND(EB47/ED47,2),0)</f>
        <v/>
      </c>
      <c r="EM47" s="5">
        <f>IFERROR(ROUND(EB47/EE47,2),0)</f>
        <v/>
      </c>
    </row>
    <row r="48">
      <c r="A48" s="2" t="inlineStr">
        <is>
          <t>2023-10-23</t>
        </is>
      </c>
      <c r="B48" s="5">
        <f>ROUND(22.15,2)</f>
        <v/>
      </c>
      <c r="C48" s="3">
        <f>ROUND(9336.0,2)</f>
        <v/>
      </c>
      <c r="D48" s="3">
        <f>ROUND(280.0,2)</f>
        <v/>
      </c>
      <c r="E48" s="3">
        <f>ROUND(2397.0,2)</f>
        <v/>
      </c>
      <c r="F48" s="3">
        <f>ROUND(2025.0,2)</f>
        <v/>
      </c>
      <c r="G48" s="3">
        <f>ROUND(1524.0,2)</f>
        <v/>
      </c>
      <c r="H48" s="3">
        <f>ROUND(1412.0,2)</f>
        <v/>
      </c>
      <c r="I48" s="3">
        <f>ROUND(1189.0,2)</f>
        <v/>
      </c>
      <c r="J48" s="4">
        <f>IFERROR((D48/C48),0)</f>
        <v/>
      </c>
      <c r="K48" s="4">
        <f>IFERROR(((0+B11+B12+B13+B14+B15+B16+B17+B19+B20+B21+B22+B23+B24+B25+B27+B28+B29+B30+B31+B32+B33+B35+B36+B37+B38+B39+B40+B41+B43+B44+B45+B46+B47+B48)/T2),0)</f>
        <v/>
      </c>
      <c r="L48" s="5">
        <f>IFERROR(ROUND(B48/D48,2),0)</f>
        <v/>
      </c>
      <c r="M48" s="5">
        <f>IFERROR(ROUND(B48/E48,2),0)</f>
        <v/>
      </c>
      <c r="N48" s="2" t="inlineStr">
        <is>
          <t>2023-10-23</t>
        </is>
      </c>
      <c r="O48" s="5">
        <f>ROUND(0.04,2)</f>
        <v/>
      </c>
      <c r="P48" s="3">
        <f>ROUND(34.0,2)</f>
        <v/>
      </c>
      <c r="Q48" s="3">
        <f>ROUND(0.0,2)</f>
        <v/>
      </c>
      <c r="R48" s="3">
        <f>ROUND(0.0,2)</f>
        <v/>
      </c>
      <c r="S48" s="3">
        <f>ROUND(0.0,2)</f>
        <v/>
      </c>
      <c r="T48" s="3">
        <f>ROUND(0.0,2)</f>
        <v/>
      </c>
      <c r="U48" s="3">
        <f>ROUND(0.0,2)</f>
        <v/>
      </c>
      <c r="V48" s="3">
        <f>ROUND(0.0,2)</f>
        <v/>
      </c>
      <c r="W48" s="4">
        <f>IFERROR((Q48/P48),0)</f>
        <v/>
      </c>
      <c r="X48" s="4">
        <f>IFERROR(((0+O11+O12+O13+O14+O15+O16+O17+O19+O20+O21+O22+O23+O24+O25+O27+O28+O29+O30+O31+O32+O33+O35+O36+O37+O38+O39+O40+O41+O43+O44+O45+O46+O47+O48)/T2),0)</f>
        <v/>
      </c>
      <c r="Y48" s="5">
        <f>IFERROR(ROUND(O48/Q48,2),0)</f>
        <v/>
      </c>
      <c r="Z48" s="5">
        <f>IFERROR(ROUND(O48/R48,2),0)</f>
        <v/>
      </c>
      <c r="AA48" s="2" t="inlineStr">
        <is>
          <t>2023-10-23</t>
        </is>
      </c>
      <c r="AB48" s="5">
        <f>ROUND(0.04,2)</f>
        <v/>
      </c>
      <c r="AC48" s="3">
        <f>ROUND(16.0,2)</f>
        <v/>
      </c>
      <c r="AD48" s="3">
        <f>ROUND(0.0,2)</f>
        <v/>
      </c>
      <c r="AE48" s="3">
        <f>ROUND(0.0,2)</f>
        <v/>
      </c>
      <c r="AF48" s="3">
        <f>ROUND(0.0,2)</f>
        <v/>
      </c>
      <c r="AG48" s="3">
        <f>ROUND(0.0,2)</f>
        <v/>
      </c>
      <c r="AH48" s="3">
        <f>ROUND(0.0,2)</f>
        <v/>
      </c>
      <c r="AI48" s="3">
        <f>ROUND(0.0,2)</f>
        <v/>
      </c>
      <c r="AJ48" s="4">
        <f>IFERROR((AD48/AC48),0)</f>
        <v/>
      </c>
      <c r="AK48" s="4">
        <f>IFERROR(((0+AB11+AB12+AB13+AB14+AB15+AB16+AB17+AB19+AB20+AB21+AB22+AB23+AB24+AB25+AB27+AB28+AB29+AB30+AB31+AB32+AB33+AB35+AB36+AB37+AB38+AB39+AB40+AB41+AB43+AB44+AB45+AB46+AB47+AB48)/T2),0)</f>
        <v/>
      </c>
      <c r="AL48" s="5">
        <f>IFERROR(ROUND(AB48/AD48,2),0)</f>
        <v/>
      </c>
      <c r="AM48" s="5">
        <f>IFERROR(ROUND(AB48/AE48,2),0)</f>
        <v/>
      </c>
      <c r="AN48" s="2" t="inlineStr">
        <is>
          <t>2023-10-23</t>
        </is>
      </c>
      <c r="AO48" s="5">
        <f>ROUND(0.14,2)</f>
        <v/>
      </c>
      <c r="AP48" s="3">
        <f>ROUND(37.0,2)</f>
        <v/>
      </c>
      <c r="AQ48" s="3">
        <f>ROUND(0.0,2)</f>
        <v/>
      </c>
      <c r="AR48" s="3">
        <f>ROUND(0.0,2)</f>
        <v/>
      </c>
      <c r="AS48" s="3">
        <f>ROUND(0.0,2)</f>
        <v/>
      </c>
      <c r="AT48" s="3">
        <f>ROUND(0.0,2)</f>
        <v/>
      </c>
      <c r="AU48" s="3">
        <f>ROUND(0.0,2)</f>
        <v/>
      </c>
      <c r="AV48" s="3">
        <f>ROUND(0.0,2)</f>
        <v/>
      </c>
      <c r="AW48" s="4">
        <f>IFERROR((AQ48/AP48),0)</f>
        <v/>
      </c>
      <c r="AX48" s="4">
        <f>IFERROR(((0+AO11+AO12+AO13+AO14+AO15+AO16+AO17+AO19+AO20+AO21+AO22+AO23+AO24+AO25+AO27+AO28+AO29+AO30+AO31+AO32+AO33+AO35+AO36+AO37+AO38+AO39+AO40+AO41+AO43+AO44+AO45+AO46+AO47+AO48)/T2),0)</f>
        <v/>
      </c>
      <c r="AY48" s="5">
        <f>IFERROR(ROUND(AO48/AQ48,2),0)</f>
        <v/>
      </c>
      <c r="AZ48" s="5">
        <f>IFERROR(ROUND(AO48/AR48,2),0)</f>
        <v/>
      </c>
      <c r="BA48" s="2" t="inlineStr">
        <is>
          <t>2023-10-23</t>
        </is>
      </c>
      <c r="BB48" s="5">
        <f>ROUND(2.86,2)</f>
        <v/>
      </c>
      <c r="BC48" s="3">
        <f>ROUND(1957.0,2)</f>
        <v/>
      </c>
      <c r="BD48" s="3">
        <f>ROUND(21.0,2)</f>
        <v/>
      </c>
      <c r="BE48" s="3">
        <f>ROUND(0.0,2)</f>
        <v/>
      </c>
      <c r="BF48" s="3">
        <f>ROUND(0.0,2)</f>
        <v/>
      </c>
      <c r="BG48" s="3">
        <f>ROUND(0.0,2)</f>
        <v/>
      </c>
      <c r="BH48" s="3">
        <f>ROUND(0.0,2)</f>
        <v/>
      </c>
      <c r="BI48" s="3">
        <f>ROUND(0.0,2)</f>
        <v/>
      </c>
      <c r="BJ48" s="4">
        <f>IFERROR((BD48/BC48),0)</f>
        <v/>
      </c>
      <c r="BK48" s="4">
        <f>IFERROR(((0+BB11+BB12+BB13+BB14+BB15+BB16+BB17+BB19+BB20+BB21+BB22+BB23+BB24+BB25+BB27+BB28+BB29+BB30+BB31+BB32+BB33+BB35+BB36+BB37+BB38+BB39+BB40+BB41+BB43+BB44+BB45+BB46+BB47+BB48)/T2),0)</f>
        <v/>
      </c>
      <c r="BL48" s="5">
        <f>IFERROR(ROUND(BB48/BD48,2),0)</f>
        <v/>
      </c>
      <c r="BM48" s="5">
        <f>IFERROR(ROUND(BB48/BE48,2),0)</f>
        <v/>
      </c>
      <c r="BN48" s="2" t="inlineStr">
        <is>
          <t>2023-10-23</t>
        </is>
      </c>
      <c r="BO48" s="5">
        <f>ROUND(1.02,2)</f>
        <v/>
      </c>
      <c r="BP48" s="3">
        <f>ROUND(420.0,2)</f>
        <v/>
      </c>
      <c r="BQ48" s="3">
        <f>ROUND(2.0,2)</f>
        <v/>
      </c>
      <c r="BR48" s="3">
        <f>ROUND(0.0,2)</f>
        <v/>
      </c>
      <c r="BS48" s="3">
        <f>ROUND(0.0,2)</f>
        <v/>
      </c>
      <c r="BT48" s="3">
        <f>ROUND(0.0,2)</f>
        <v/>
      </c>
      <c r="BU48" s="3">
        <f>ROUND(0.0,2)</f>
        <v/>
      </c>
      <c r="BV48" s="3">
        <f>ROUND(0.0,2)</f>
        <v/>
      </c>
      <c r="BW48" s="4">
        <f>IFERROR((BQ48/BP48),0)</f>
        <v/>
      </c>
      <c r="BX48" s="4">
        <f>IFERROR(((0+BO11+BO12+BO13+BO14+BO15+BO16+BO17+BO19+BO20+BO21+BO22+BO23+BO24+BO25+BO27+BO28+BO29+BO30+BO31+BO32+BO33+BO35+BO36+BO37+BO38+BO39+BO40+BO41+BO43+BO44+BO45+BO46+BO47+BO48)/T2),0)</f>
        <v/>
      </c>
      <c r="BY48" s="5">
        <f>IFERROR(ROUND(BO48/BQ48,2),0)</f>
        <v/>
      </c>
      <c r="BZ48" s="5">
        <f>IFERROR(ROUND(BO48/BR48,2),0)</f>
        <v/>
      </c>
      <c r="CA48" s="2" t="inlineStr">
        <is>
          <t>2023-10-23</t>
        </is>
      </c>
      <c r="CB48" s="5">
        <f>ROUND(0.02,2)</f>
        <v/>
      </c>
      <c r="CC48" s="3">
        <f>ROUND(6.0,2)</f>
        <v/>
      </c>
      <c r="CD48" s="3">
        <f>ROUND(0.0,2)</f>
        <v/>
      </c>
      <c r="CE48" s="3">
        <f>ROUND(0.0,2)</f>
        <v/>
      </c>
      <c r="CF48" s="3">
        <f>ROUND(0.0,2)</f>
        <v/>
      </c>
      <c r="CG48" s="3">
        <f>ROUND(0.0,2)</f>
        <v/>
      </c>
      <c r="CH48" s="3">
        <f>ROUND(0.0,2)</f>
        <v/>
      </c>
      <c r="CI48" s="3">
        <f>ROUND(0.0,2)</f>
        <v/>
      </c>
      <c r="CJ48" s="4">
        <f>IFERROR((CD48/CC48),0)</f>
        <v/>
      </c>
      <c r="CK48" s="4">
        <f>IFERROR(((0+CB11+CB12+CB13+CB14+CB15+CB16+CB17+CB19+CB20+CB21+CB22+CB23+CB24+CB25+CB27+CB28+CB29+CB30+CB31+CB32+CB33+CB35+CB36+CB37+CB38+CB39+CB40+CB41+CB43+CB44+CB45+CB46+CB47+CB48)/T2),0)</f>
        <v/>
      </c>
      <c r="CL48" s="5">
        <f>IFERROR(ROUND(CB48/CD48,2),0)</f>
        <v/>
      </c>
      <c r="CM48" s="5">
        <f>IFERROR(ROUND(CB48/CE48,2),0)</f>
        <v/>
      </c>
      <c r="CN48" s="2" t="inlineStr">
        <is>
          <t>2023-10-23</t>
        </is>
      </c>
      <c r="CO48" s="5">
        <f>ROUND(0.63,2)</f>
        <v/>
      </c>
      <c r="CP48" s="3">
        <f>ROUND(400.0,2)</f>
        <v/>
      </c>
      <c r="CQ48" s="3">
        <f>ROUND(11.0,2)</f>
        <v/>
      </c>
      <c r="CR48" s="3">
        <f>ROUND(40.0,2)</f>
        <v/>
      </c>
      <c r="CS48" s="3">
        <f>ROUND(22.0,2)</f>
        <v/>
      </c>
      <c r="CT48" s="3">
        <f>ROUND(10.0,2)</f>
        <v/>
      </c>
      <c r="CU48" s="3">
        <f>ROUND(9.0,2)</f>
        <v/>
      </c>
      <c r="CV48" s="3">
        <f>ROUND(7.0,2)</f>
        <v/>
      </c>
      <c r="CW48" s="4">
        <f>IFERROR((CQ48/CP48),0)</f>
        <v/>
      </c>
      <c r="CX48" s="4">
        <f>IFERROR(((0+CO11+CO12+CO13+CO14+CO15+CO16+CO17+CO19+CO20+CO21+CO22+CO23+CO24+CO25+CO27+CO28+CO29+CO30+CO31+CO32+CO33+CO35+CO36+CO37+CO38+CO39+CO40+CO41+CO43+CO44+CO45+CO46+CO47+CO48)/T2),0)</f>
        <v/>
      </c>
      <c r="CY48" s="5">
        <f>IFERROR(ROUND(CO48/CQ48,2),0)</f>
        <v/>
      </c>
      <c r="CZ48" s="5">
        <f>IFERROR(ROUND(CO48/CR48,2),0)</f>
        <v/>
      </c>
      <c r="DA48" s="2" t="inlineStr">
        <is>
          <t>2023-10-23</t>
        </is>
      </c>
      <c r="DB48" s="5">
        <f>ROUND(0.37,2)</f>
        <v/>
      </c>
      <c r="DC48" s="3">
        <f>ROUND(149.0,2)</f>
        <v/>
      </c>
      <c r="DD48" s="3">
        <f>ROUND(7.0,2)</f>
        <v/>
      </c>
      <c r="DE48" s="3">
        <f>ROUND(15.0,2)</f>
        <v/>
      </c>
      <c r="DF48" s="3">
        <f>ROUND(7.0,2)</f>
        <v/>
      </c>
      <c r="DG48" s="3">
        <f>ROUND(3.0,2)</f>
        <v/>
      </c>
      <c r="DH48" s="3">
        <f>ROUND(3.0,2)</f>
        <v/>
      </c>
      <c r="DI48" s="3">
        <f>ROUND(3.0,2)</f>
        <v/>
      </c>
      <c r="DJ48" s="4">
        <f>IFERROR((DD48/DC48),0)</f>
        <v/>
      </c>
      <c r="DK48" s="4">
        <f>IFERROR(((0+DB11+DB12+DB13+DB14+DB15+DB16+DB17+DB19+DB20+DB21+DB22+DB23+DB24+DB25+DB27+DB28+DB29+DB30+DB31+DB32+DB33+DB35+DB36+DB37+DB38+DB39+DB40+DB41+DB43+DB44+DB45+DB46+DB47+DB48)/T2),0)</f>
        <v/>
      </c>
      <c r="DL48" s="5">
        <f>IFERROR(ROUND(DB48/DD48,2),0)</f>
        <v/>
      </c>
      <c r="DM48" s="5">
        <f>IFERROR(ROUND(DB48/DE48,2),0)</f>
        <v/>
      </c>
      <c r="DN48" s="2" t="inlineStr">
        <is>
          <t>2023-10-23</t>
        </is>
      </c>
      <c r="DO48" s="5">
        <f>ROUND(16.9,2)</f>
        <v/>
      </c>
      <c r="DP48" s="3">
        <f>ROUND(6231.0,2)</f>
        <v/>
      </c>
      <c r="DQ48" s="3">
        <f>ROUND(237.0,2)</f>
        <v/>
      </c>
      <c r="DR48" s="3">
        <f>ROUND(2337.0,2)</f>
        <v/>
      </c>
      <c r="DS48" s="3">
        <f>ROUND(1995.0,2)</f>
        <v/>
      </c>
      <c r="DT48" s="3">
        <f>ROUND(1510.0,2)</f>
        <v/>
      </c>
      <c r="DU48" s="3">
        <f>ROUND(1399.0,2)</f>
        <v/>
      </c>
      <c r="DV48" s="3">
        <f>ROUND(1178.0,2)</f>
        <v/>
      </c>
      <c r="DW48" s="4">
        <f>IFERROR((DQ48/DP48),0)</f>
        <v/>
      </c>
      <c r="DX48" s="4">
        <f>IFERROR(((0+DO11+DO12+DO13+DO14+DO15+DO16+DO17+DO19+DO20+DO21+DO22+DO23+DO24+DO25+DO27+DO28+DO29+DO30+DO31+DO32+DO33+DO35+DO36+DO37+DO38+DO39+DO40+DO41+DO43+DO44+DO45+DO46+DO47+DO48)/T2),0)</f>
        <v/>
      </c>
      <c r="DY48" s="5">
        <f>IFERROR(ROUND(DO48/DQ48,2),0)</f>
        <v/>
      </c>
      <c r="DZ48" s="5">
        <f>IFERROR(ROUND(DO48/DR48,2),0)</f>
        <v/>
      </c>
      <c r="EA48" s="2" t="inlineStr">
        <is>
          <t>2023-10-23</t>
        </is>
      </c>
      <c r="EB48" s="5">
        <f>ROUND(0.13,2)</f>
        <v/>
      </c>
      <c r="EC48" s="3">
        <f>ROUND(86.0,2)</f>
        <v/>
      </c>
      <c r="ED48" s="3">
        <f>ROUND(2.0,2)</f>
        <v/>
      </c>
      <c r="EE48" s="3">
        <f>ROUND(5.0,2)</f>
        <v/>
      </c>
      <c r="EF48" s="3">
        <f>ROUND(1.0,2)</f>
        <v/>
      </c>
      <c r="EG48" s="3">
        <f>ROUND(1.0,2)</f>
        <v/>
      </c>
      <c r="EH48" s="3">
        <f>ROUND(1.0,2)</f>
        <v/>
      </c>
      <c r="EI48" s="3">
        <f>ROUND(1.0,2)</f>
        <v/>
      </c>
      <c r="EJ48" s="4">
        <f>IFERROR((ED48/EC48),0)</f>
        <v/>
      </c>
      <c r="EK48" s="4">
        <f>IFERROR(((0+EB11+EB12+EB13+EB14+EB15+EB16+EB17+EB19+EB20+EB21+EB22+EB23+EB24+EB25+EB27+EB28+EB29+EB30+EB31+EB32+EB33+EB35+EB36+EB37+EB38+EB39+EB40+EB41+EB43+EB44+EB45+EB46+EB47+EB48)/T2),0)</f>
        <v/>
      </c>
      <c r="EL48" s="5">
        <f>IFERROR(ROUND(EB48/ED48,2),0)</f>
        <v/>
      </c>
      <c r="EM48" s="5">
        <f>IFERROR(ROUND(EB48/EE48,2),0)</f>
        <v/>
      </c>
    </row>
    <row r="49">
      <c r="A49" s="2" t="inlineStr">
        <is>
          <t>2023-10-24</t>
        </is>
      </c>
      <c r="B49" s="5">
        <f>ROUND(21.73,2)</f>
        <v/>
      </c>
      <c r="C49" s="3">
        <f>ROUND(9508.0,2)</f>
        <v/>
      </c>
      <c r="D49" s="3">
        <f>ROUND(248.0,2)</f>
        <v/>
      </c>
      <c r="E49" s="3">
        <f>ROUND(2288.0,2)</f>
        <v/>
      </c>
      <c r="F49" s="3">
        <f>ROUND(1920.0,2)</f>
        <v/>
      </c>
      <c r="G49" s="3">
        <f>ROUND(1480.0,2)</f>
        <v/>
      </c>
      <c r="H49" s="3">
        <f>ROUND(1362.0,2)</f>
        <v/>
      </c>
      <c r="I49" s="3">
        <f>ROUND(1160.0,2)</f>
        <v/>
      </c>
      <c r="J49" s="4">
        <f>IFERROR((D49/C49),0)</f>
        <v/>
      </c>
      <c r="K49" s="4">
        <f>IFERROR(((0+B11+B12+B13+B14+B15+B16+B17+B19+B20+B21+B22+B23+B24+B25+B27+B28+B29+B30+B31+B32+B33+B35+B36+B37+B38+B39+B40+B41+B43+B44+B45+B46+B47+B48+B49)/T2),0)</f>
        <v/>
      </c>
      <c r="L49" s="5">
        <f>IFERROR(ROUND(B49/D49,2),0)</f>
        <v/>
      </c>
      <c r="M49" s="5">
        <f>IFERROR(ROUND(B49/E49,2),0)</f>
        <v/>
      </c>
      <c r="N49" s="2" t="inlineStr">
        <is>
          <t>2023-10-24</t>
        </is>
      </c>
      <c r="O49" s="5">
        <f>ROUND(0.0,2)</f>
        <v/>
      </c>
      <c r="P49" s="3">
        <f>ROUND(42.0,2)</f>
        <v/>
      </c>
      <c r="Q49" s="3">
        <f>ROUND(0.0,2)</f>
        <v/>
      </c>
      <c r="R49" s="3">
        <f>ROUND(0.0,2)</f>
        <v/>
      </c>
      <c r="S49" s="3">
        <f>ROUND(0.0,2)</f>
        <v/>
      </c>
      <c r="T49" s="3">
        <f>ROUND(0.0,2)</f>
        <v/>
      </c>
      <c r="U49" s="3">
        <f>ROUND(0.0,2)</f>
        <v/>
      </c>
      <c r="V49" s="3">
        <f>ROUND(0.0,2)</f>
        <v/>
      </c>
      <c r="W49" s="4">
        <f>IFERROR((Q49/P49),0)</f>
        <v/>
      </c>
      <c r="X49" s="4">
        <f>IFERROR(((0+O11+O12+O13+O14+O15+O16+O17+O19+O20+O21+O22+O23+O24+O25+O27+O28+O29+O30+O31+O32+O33+O35+O36+O37+O38+O39+O40+O41+O43+O44+O45+O46+O47+O48+O49)/T2),0)</f>
        <v/>
      </c>
      <c r="Y49" s="5">
        <f>IFERROR(ROUND(O49/Q49,2),0)</f>
        <v/>
      </c>
      <c r="Z49" s="5">
        <f>IFERROR(ROUND(O49/R49,2),0)</f>
        <v/>
      </c>
      <c r="AA49" s="2" t="inlineStr">
        <is>
          <t>2023-10-24</t>
        </is>
      </c>
      <c r="AB49" s="5">
        <f>ROUND(0.0,2)</f>
        <v/>
      </c>
      <c r="AC49" s="3">
        <f>ROUND(22.0,2)</f>
        <v/>
      </c>
      <c r="AD49" s="3">
        <f>ROUND(0.0,2)</f>
        <v/>
      </c>
      <c r="AE49" s="3">
        <f>ROUND(0.0,2)</f>
        <v/>
      </c>
      <c r="AF49" s="3">
        <f>ROUND(0.0,2)</f>
        <v/>
      </c>
      <c r="AG49" s="3">
        <f>ROUND(0.0,2)</f>
        <v/>
      </c>
      <c r="AH49" s="3">
        <f>ROUND(0.0,2)</f>
        <v/>
      </c>
      <c r="AI49" s="3">
        <f>ROUND(0.0,2)</f>
        <v/>
      </c>
      <c r="AJ49" s="4">
        <f>IFERROR((AD49/AC49),0)</f>
        <v/>
      </c>
      <c r="AK49" s="4">
        <f>IFERROR(((0+AB11+AB12+AB13+AB14+AB15+AB16+AB17+AB19+AB20+AB21+AB22+AB23+AB24+AB25+AB27+AB28+AB29+AB30+AB31+AB32+AB33+AB35+AB36+AB37+AB38+AB39+AB40+AB41+AB43+AB44+AB45+AB46+AB47+AB48+AB49)/T2),0)</f>
        <v/>
      </c>
      <c r="AL49" s="5">
        <f>IFERROR(ROUND(AB49/AD49,2),0)</f>
        <v/>
      </c>
      <c r="AM49" s="5">
        <f>IFERROR(ROUND(AB49/AE49,2),0)</f>
        <v/>
      </c>
      <c r="AN49" s="2" t="inlineStr">
        <is>
          <t>2023-10-24</t>
        </is>
      </c>
      <c r="AO49" s="5">
        <f>ROUND(0.68,2)</f>
        <v/>
      </c>
      <c r="AP49" s="3">
        <f>ROUND(408.0,2)</f>
        <v/>
      </c>
      <c r="AQ49" s="3">
        <f>ROUND(2.0,2)</f>
        <v/>
      </c>
      <c r="AR49" s="3">
        <f>ROUND(0.0,2)</f>
        <v/>
      </c>
      <c r="AS49" s="3">
        <f>ROUND(0.0,2)</f>
        <v/>
      </c>
      <c r="AT49" s="3">
        <f>ROUND(0.0,2)</f>
        <v/>
      </c>
      <c r="AU49" s="3">
        <f>ROUND(0.0,2)</f>
        <v/>
      </c>
      <c r="AV49" s="3">
        <f>ROUND(0.0,2)</f>
        <v/>
      </c>
      <c r="AW49" s="4">
        <f>IFERROR((AQ49/AP49),0)</f>
        <v/>
      </c>
      <c r="AX49" s="4">
        <f>IFERROR(((0+AO11+AO12+AO13+AO14+AO15+AO16+AO17+AO19+AO20+AO21+AO22+AO23+AO24+AO25+AO27+AO28+AO29+AO30+AO31+AO32+AO33+AO35+AO36+AO37+AO38+AO39+AO40+AO41+AO43+AO44+AO45+AO46+AO47+AO48+AO49)/T2),0)</f>
        <v/>
      </c>
      <c r="AY49" s="5">
        <f>IFERROR(ROUND(AO49/AQ49,2),0)</f>
        <v/>
      </c>
      <c r="AZ49" s="5">
        <f>IFERROR(ROUND(AO49/AR49,2),0)</f>
        <v/>
      </c>
      <c r="BA49" s="2" t="inlineStr">
        <is>
          <t>2023-10-24</t>
        </is>
      </c>
      <c r="BB49" s="5">
        <f>ROUND(2.8,2)</f>
        <v/>
      </c>
      <c r="BC49" s="3">
        <f>ROUND(1714.0,2)</f>
        <v/>
      </c>
      <c r="BD49" s="3">
        <f>ROUND(13.0,2)</f>
        <v/>
      </c>
      <c r="BE49" s="3">
        <f>ROUND(0.0,2)</f>
        <v/>
      </c>
      <c r="BF49" s="3">
        <f>ROUND(0.0,2)</f>
        <v/>
      </c>
      <c r="BG49" s="3">
        <f>ROUND(0.0,2)</f>
        <v/>
      </c>
      <c r="BH49" s="3">
        <f>ROUND(0.0,2)</f>
        <v/>
      </c>
      <c r="BI49" s="3">
        <f>ROUND(0.0,2)</f>
        <v/>
      </c>
      <c r="BJ49" s="4">
        <f>IFERROR((BD49/BC49),0)</f>
        <v/>
      </c>
      <c r="BK49" s="4">
        <f>IFERROR(((0+BB11+BB12+BB13+BB14+BB15+BB16+BB17+BB19+BB20+BB21+BB22+BB23+BB24+BB25+BB27+BB28+BB29+BB30+BB31+BB32+BB33+BB35+BB36+BB37+BB38+BB39+BB40+BB41+BB43+BB44+BB45+BB46+BB47+BB48+BB49)/T2),0)</f>
        <v/>
      </c>
      <c r="BL49" s="5">
        <f>IFERROR(ROUND(BB49/BD49,2),0)</f>
        <v/>
      </c>
      <c r="BM49" s="5">
        <f>IFERROR(ROUND(BB49/BE49,2),0)</f>
        <v/>
      </c>
      <c r="BN49" s="2" t="inlineStr">
        <is>
          <t>2023-10-24</t>
        </is>
      </c>
      <c r="BO49" s="5">
        <f>ROUND(0.6100000000000001,2)</f>
        <v/>
      </c>
      <c r="BP49" s="3">
        <f>ROUND(395.0,2)</f>
        <v/>
      </c>
      <c r="BQ49" s="3">
        <f>ROUND(2.0,2)</f>
        <v/>
      </c>
      <c r="BR49" s="3">
        <f>ROUND(0.0,2)</f>
        <v/>
      </c>
      <c r="BS49" s="3">
        <f>ROUND(0.0,2)</f>
        <v/>
      </c>
      <c r="BT49" s="3">
        <f>ROUND(0.0,2)</f>
        <v/>
      </c>
      <c r="BU49" s="3">
        <f>ROUND(0.0,2)</f>
        <v/>
      </c>
      <c r="BV49" s="3">
        <f>ROUND(0.0,2)</f>
        <v/>
      </c>
      <c r="BW49" s="4">
        <f>IFERROR((BQ49/BP49),0)</f>
        <v/>
      </c>
      <c r="BX49" s="4">
        <f>IFERROR(((0+BO11+BO12+BO13+BO14+BO15+BO16+BO17+BO19+BO20+BO21+BO22+BO23+BO24+BO25+BO27+BO28+BO29+BO30+BO31+BO32+BO33+BO35+BO36+BO37+BO38+BO39+BO40+BO41+BO43+BO44+BO45+BO46+BO47+BO48+BO49)/T2),0)</f>
        <v/>
      </c>
      <c r="BY49" s="5">
        <f>IFERROR(ROUND(BO49/BQ49,2),0)</f>
        <v/>
      </c>
      <c r="BZ49" s="5">
        <f>IFERROR(ROUND(BO49/BR49,2),0)</f>
        <v/>
      </c>
      <c r="CA49" s="2" t="inlineStr">
        <is>
          <t>2023-10-24</t>
        </is>
      </c>
      <c r="CB49" s="5">
        <f>ROUND(0.0,2)</f>
        <v/>
      </c>
      <c r="CC49" s="3">
        <f>ROUND(2.0,2)</f>
        <v/>
      </c>
      <c r="CD49" s="3">
        <f>ROUND(0.0,2)</f>
        <v/>
      </c>
      <c r="CE49" s="3">
        <f>ROUND(0.0,2)</f>
        <v/>
      </c>
      <c r="CF49" s="3">
        <f>ROUND(0.0,2)</f>
        <v/>
      </c>
      <c r="CG49" s="3">
        <f>ROUND(0.0,2)</f>
        <v/>
      </c>
      <c r="CH49" s="3">
        <f>ROUND(0.0,2)</f>
        <v/>
      </c>
      <c r="CI49" s="3">
        <f>ROUND(0.0,2)</f>
        <v/>
      </c>
      <c r="CJ49" s="4">
        <f>IFERROR((CD49/CC49),0)</f>
        <v/>
      </c>
      <c r="CK49" s="4">
        <f>IFERROR(((0+CB11+CB12+CB13+CB14+CB15+CB16+CB17+CB19+CB20+CB21+CB22+CB23+CB24+CB25+CB27+CB28+CB29+CB30+CB31+CB32+CB33+CB35+CB36+CB37+CB38+CB39+CB40+CB41+CB43+CB44+CB45+CB46+CB47+CB48+CB49)/T2),0)</f>
        <v/>
      </c>
      <c r="CL49" s="5">
        <f>IFERROR(ROUND(CB49/CD49,2),0)</f>
        <v/>
      </c>
      <c r="CM49" s="5">
        <f>IFERROR(ROUND(CB49/CE49,2),0)</f>
        <v/>
      </c>
      <c r="CN49" s="2" t="inlineStr">
        <is>
          <t>2023-10-24</t>
        </is>
      </c>
      <c r="CO49" s="5">
        <f>ROUND(1.5,2)</f>
        <v/>
      </c>
      <c r="CP49" s="3">
        <f>ROUND(929.0,2)</f>
        <v/>
      </c>
      <c r="CQ49" s="3">
        <f>ROUND(17.0,2)</f>
        <v/>
      </c>
      <c r="CR49" s="3">
        <f>ROUND(108.0,2)</f>
        <v/>
      </c>
      <c r="CS49" s="3">
        <f>ROUND(68.0,2)</f>
        <v/>
      </c>
      <c r="CT49" s="3">
        <f>ROUND(32.0,2)</f>
        <v/>
      </c>
      <c r="CU49" s="3">
        <f>ROUND(22.0,2)</f>
        <v/>
      </c>
      <c r="CV49" s="3">
        <f>ROUND(20.0,2)</f>
        <v/>
      </c>
      <c r="CW49" s="4">
        <f>IFERROR((CQ49/CP49),0)</f>
        <v/>
      </c>
      <c r="CX49" s="4">
        <f>IFERROR(((0+CO11+CO12+CO13+CO14+CO15+CO16+CO17+CO19+CO20+CO21+CO22+CO23+CO24+CO25+CO27+CO28+CO29+CO30+CO31+CO32+CO33+CO35+CO36+CO37+CO38+CO39+CO40+CO41+CO43+CO44+CO45+CO46+CO47+CO48+CO49)/T2),0)</f>
        <v/>
      </c>
      <c r="CY49" s="5">
        <f>IFERROR(ROUND(CO49/CQ49,2),0)</f>
        <v/>
      </c>
      <c r="CZ49" s="5">
        <f>IFERROR(ROUND(CO49/CR49,2),0)</f>
        <v/>
      </c>
      <c r="DA49" s="2" t="inlineStr">
        <is>
          <t>2023-10-24</t>
        </is>
      </c>
      <c r="DB49" s="5">
        <f>ROUND(0.32999999999999996,2)</f>
        <v/>
      </c>
      <c r="DC49" s="3">
        <f>ROUND(179.0,2)</f>
        <v/>
      </c>
      <c r="DD49" s="3">
        <f>ROUND(4.0,2)</f>
        <v/>
      </c>
      <c r="DE49" s="3">
        <f>ROUND(18.0,2)</f>
        <v/>
      </c>
      <c r="DF49" s="3">
        <f>ROUND(9.0,2)</f>
        <v/>
      </c>
      <c r="DG49" s="3">
        <f>ROUND(1.0,2)</f>
        <v/>
      </c>
      <c r="DH49" s="3">
        <f>ROUND(1.0,2)</f>
        <v/>
      </c>
      <c r="DI49" s="3">
        <f>ROUND(0.0,2)</f>
        <v/>
      </c>
      <c r="DJ49" s="4">
        <f>IFERROR((DD49/DC49),0)</f>
        <v/>
      </c>
      <c r="DK49" s="4">
        <f>IFERROR(((0+DB11+DB12+DB13+DB14+DB15+DB16+DB17+DB19+DB20+DB21+DB22+DB23+DB24+DB25+DB27+DB28+DB29+DB30+DB31+DB32+DB33+DB35+DB36+DB37+DB38+DB39+DB40+DB41+DB43+DB44+DB45+DB46+DB47+DB48+DB49)/T2),0)</f>
        <v/>
      </c>
      <c r="DL49" s="5">
        <f>IFERROR(ROUND(DB49/DD49,2),0)</f>
        <v/>
      </c>
      <c r="DM49" s="5">
        <f>IFERROR(ROUND(DB49/DE49,2),0)</f>
        <v/>
      </c>
      <c r="DN49" s="2" t="inlineStr">
        <is>
          <t>2023-10-24</t>
        </is>
      </c>
      <c r="DO49" s="5">
        <f>ROUND(15.74,2)</f>
        <v/>
      </c>
      <c r="DP49" s="3">
        <f>ROUND(5754.0,2)</f>
        <v/>
      </c>
      <c r="DQ49" s="3">
        <f>ROUND(208.0,2)</f>
        <v/>
      </c>
      <c r="DR49" s="3">
        <f>ROUND(2158.0,2)</f>
        <v/>
      </c>
      <c r="DS49" s="3">
        <f>ROUND(1842.0,2)</f>
        <v/>
      </c>
      <c r="DT49" s="3">
        <f>ROUND(1447.0,2)</f>
        <v/>
      </c>
      <c r="DU49" s="3">
        <f>ROUND(1339.0,2)</f>
        <v/>
      </c>
      <c r="DV49" s="3">
        <f>ROUND(1140.0,2)</f>
        <v/>
      </c>
      <c r="DW49" s="4">
        <f>IFERROR((DQ49/DP49),0)</f>
        <v/>
      </c>
      <c r="DX49" s="4">
        <f>IFERROR(((0+DO11+DO12+DO13+DO14+DO15+DO16+DO17+DO19+DO20+DO21+DO22+DO23+DO24+DO25+DO27+DO28+DO29+DO30+DO31+DO32+DO33+DO35+DO36+DO37+DO38+DO39+DO40+DO41+DO43+DO44+DO45+DO46+DO47+DO48+DO49)/T2),0)</f>
        <v/>
      </c>
      <c r="DY49" s="5">
        <f>IFERROR(ROUND(DO49/DQ49,2),0)</f>
        <v/>
      </c>
      <c r="DZ49" s="5">
        <f>IFERROR(ROUND(DO49/DR49,2),0)</f>
        <v/>
      </c>
      <c r="EA49" s="2" t="inlineStr">
        <is>
          <t>2023-10-24</t>
        </is>
      </c>
      <c r="EB49" s="5">
        <f>ROUND(0.06999999999999999,2)</f>
        <v/>
      </c>
      <c r="EC49" s="3">
        <f>ROUND(63.0,2)</f>
        <v/>
      </c>
      <c r="ED49" s="3">
        <f>ROUND(2.0,2)</f>
        <v/>
      </c>
      <c r="EE49" s="3">
        <f>ROUND(4.0,2)</f>
        <v/>
      </c>
      <c r="EF49" s="3">
        <f>ROUND(1.0,2)</f>
        <v/>
      </c>
      <c r="EG49" s="3">
        <f>ROUND(0.0,2)</f>
        <v/>
      </c>
      <c r="EH49" s="3">
        <f>ROUND(0.0,2)</f>
        <v/>
      </c>
      <c r="EI49" s="3">
        <f>ROUND(0.0,2)</f>
        <v/>
      </c>
      <c r="EJ49" s="4">
        <f>IFERROR((ED49/EC49),0)</f>
        <v/>
      </c>
      <c r="EK49" s="4">
        <f>IFERROR(((0+EB11+EB12+EB13+EB14+EB15+EB16+EB17+EB19+EB20+EB21+EB22+EB23+EB24+EB25+EB27+EB28+EB29+EB30+EB31+EB32+EB33+EB35+EB36+EB37+EB38+EB39+EB40+EB41+EB43+EB44+EB45+EB46+EB47+EB48+EB49)/T2),0)</f>
        <v/>
      </c>
      <c r="EL49" s="5">
        <f>IFERROR(ROUND(EB49/ED49,2),0)</f>
        <v/>
      </c>
      <c r="EM49" s="5">
        <f>IFERROR(ROUND(EB49/EE49,2),0)</f>
        <v/>
      </c>
    </row>
    <row r="50">
      <c r="A50" s="2" t="inlineStr">
        <is>
          <t>5 Weekly Total</t>
        </is>
      </c>
      <c r="B50" s="5">
        <f>ROUND(107.05,2)</f>
        <v/>
      </c>
      <c r="C50" s="3">
        <f>ROUND(45141.0,2)</f>
        <v/>
      </c>
      <c r="D50" s="3">
        <f>ROUND(1171.0,2)</f>
        <v/>
      </c>
      <c r="E50" s="3">
        <f>ROUND(11178.0,2)</f>
        <v/>
      </c>
      <c r="F50" s="3">
        <f>ROUND(9201.0,2)</f>
        <v/>
      </c>
      <c r="G50" s="3">
        <f>ROUND(6832.0,2)</f>
        <v/>
      </c>
      <c r="H50" s="3">
        <f>ROUND(6204.0,2)</f>
        <v/>
      </c>
      <c r="I50" s="3">
        <f>ROUND(5275.0,2)</f>
        <v/>
      </c>
      <c r="J50" s="4">
        <f>IFERROR((D50/C50),0)</f>
        <v/>
      </c>
      <c r="K50" s="4">
        <f>IFERROR(((0+B11+B12+B13+B14+B15+B16+B17+B19+B20+B21+B22+B23+B24+B25+B27+B28+B29+B30+B31+B32+B33+B35+B36+B37+B38+B39+B40+B41+B43+B44+B45+B46+B47+B48+B49)/T2),0)</f>
        <v/>
      </c>
      <c r="L50" s="5">
        <f>IFERROR(ROUND(B50/D50,2),0)</f>
        <v/>
      </c>
      <c r="M50" s="5">
        <f>IFERROR(ROUND(B50/E50,2),0)</f>
        <v/>
      </c>
      <c r="N50" s="2" t="inlineStr">
        <is>
          <t>5 Weekly Total</t>
        </is>
      </c>
      <c r="O50" s="5">
        <f>ROUND(0.17,2)</f>
        <v/>
      </c>
      <c r="P50" s="3">
        <f>ROUND(325.0,2)</f>
        <v/>
      </c>
      <c r="Q50" s="3">
        <f>ROUND(0.0,2)</f>
        <v/>
      </c>
      <c r="R50" s="3">
        <f>ROUND(0.0,2)</f>
        <v/>
      </c>
      <c r="S50" s="3">
        <f>ROUND(0.0,2)</f>
        <v/>
      </c>
      <c r="T50" s="3">
        <f>ROUND(0.0,2)</f>
        <v/>
      </c>
      <c r="U50" s="3">
        <f>ROUND(0.0,2)</f>
        <v/>
      </c>
      <c r="V50" s="3">
        <f>ROUND(0.0,2)</f>
        <v/>
      </c>
      <c r="W50" s="4">
        <f>IFERROR((Q50/P50),0)</f>
        <v/>
      </c>
      <c r="X50" s="4">
        <f>IFERROR(((0+O11+O12+O13+O14+O15+O16+O17+O19+O20+O21+O22+O23+O24+O25+O27+O28+O29+O30+O31+O32+O33+O35+O36+O37+O38+O39+O40+O41+O43+O44+O45+O46+O47+O48+O49)/T2),0)</f>
        <v/>
      </c>
      <c r="Y50" s="5">
        <f>IFERROR(ROUND(O50/Q50,2),0)</f>
        <v/>
      </c>
      <c r="Z50" s="5">
        <f>IFERROR(ROUND(O50/R50,2),0)</f>
        <v/>
      </c>
      <c r="AA50" s="2" t="inlineStr">
        <is>
          <t>5 Weekly Total</t>
        </is>
      </c>
      <c r="AB50" s="5">
        <f>ROUND(0.12,2)</f>
        <v/>
      </c>
      <c r="AC50" s="3">
        <f>ROUND(199.0,2)</f>
        <v/>
      </c>
      <c r="AD50" s="3">
        <f>ROUND(1.0,2)</f>
        <v/>
      </c>
      <c r="AE50" s="3">
        <f>ROUND(0.0,2)</f>
        <v/>
      </c>
      <c r="AF50" s="3">
        <f>ROUND(0.0,2)</f>
        <v/>
      </c>
      <c r="AG50" s="3">
        <f>ROUND(0.0,2)</f>
        <v/>
      </c>
      <c r="AH50" s="3">
        <f>ROUND(0.0,2)</f>
        <v/>
      </c>
      <c r="AI50" s="3">
        <f>ROUND(0.0,2)</f>
        <v/>
      </c>
      <c r="AJ50" s="4">
        <f>IFERROR((AD50/AC50),0)</f>
        <v/>
      </c>
      <c r="AK50" s="4">
        <f>IFERROR(((0+AB11+AB12+AB13+AB14+AB15+AB16+AB17+AB19+AB20+AB21+AB22+AB23+AB24+AB25+AB27+AB28+AB29+AB30+AB31+AB32+AB33+AB35+AB36+AB37+AB38+AB39+AB40+AB41+AB43+AB44+AB45+AB46+AB47+AB48+AB49)/T2),0)</f>
        <v/>
      </c>
      <c r="AL50" s="5">
        <f>IFERROR(ROUND(AB50/AD50,2),0)</f>
        <v/>
      </c>
      <c r="AM50" s="5">
        <f>IFERROR(ROUND(AB50/AE50,2),0)</f>
        <v/>
      </c>
      <c r="AN50" s="2" t="inlineStr">
        <is>
          <t>5 Weekly Total</t>
        </is>
      </c>
      <c r="AO50" s="5">
        <f>ROUND(1.0,2)</f>
        <v/>
      </c>
      <c r="AP50" s="3">
        <f>ROUND(652.0,2)</f>
        <v/>
      </c>
      <c r="AQ50" s="3">
        <f>ROUND(3.0,2)</f>
        <v/>
      </c>
      <c r="AR50" s="3">
        <f>ROUND(0.0,2)</f>
        <v/>
      </c>
      <c r="AS50" s="3">
        <f>ROUND(0.0,2)</f>
        <v/>
      </c>
      <c r="AT50" s="3">
        <f>ROUND(0.0,2)</f>
        <v/>
      </c>
      <c r="AU50" s="3">
        <f>ROUND(0.0,2)</f>
        <v/>
      </c>
      <c r="AV50" s="3">
        <f>ROUND(0.0,2)</f>
        <v/>
      </c>
      <c r="AW50" s="4">
        <f>IFERROR((AQ50/AP50),0)</f>
        <v/>
      </c>
      <c r="AX50" s="4">
        <f>IFERROR(((0+AO11+AO12+AO13+AO14+AO15+AO16+AO17+AO19+AO20+AO21+AO22+AO23+AO24+AO25+AO27+AO28+AO29+AO30+AO31+AO32+AO33+AO35+AO36+AO37+AO38+AO39+AO40+AO41+AO43+AO44+AO45+AO46+AO47+AO48+AO49)/T2),0)</f>
        <v/>
      </c>
      <c r="AY50" s="5">
        <f>IFERROR(ROUND(AO50/AQ50,2),0)</f>
        <v/>
      </c>
      <c r="AZ50" s="5">
        <f>IFERROR(ROUND(AO50/AR50,2),0)</f>
        <v/>
      </c>
      <c r="BA50" s="2" t="inlineStr">
        <is>
          <t>5 Weekly Total</t>
        </is>
      </c>
      <c r="BB50" s="5">
        <f>ROUND(9.5,2)</f>
        <v/>
      </c>
      <c r="BC50" s="3">
        <f>ROUND(6542.0,2)</f>
        <v/>
      </c>
      <c r="BD50" s="3">
        <f>ROUND(56.0,2)</f>
        <v/>
      </c>
      <c r="BE50" s="3">
        <f>ROUND(0.0,2)</f>
        <v/>
      </c>
      <c r="BF50" s="3">
        <f>ROUND(0.0,2)</f>
        <v/>
      </c>
      <c r="BG50" s="3">
        <f>ROUND(0.0,2)</f>
        <v/>
      </c>
      <c r="BH50" s="3">
        <f>ROUND(0.0,2)</f>
        <v/>
      </c>
      <c r="BI50" s="3">
        <f>ROUND(0.0,2)</f>
        <v/>
      </c>
      <c r="BJ50" s="4">
        <f>IFERROR((BD50/BC50),0)</f>
        <v/>
      </c>
      <c r="BK50" s="4">
        <f>IFERROR(((0+BB11+BB12+BB13+BB14+BB15+BB16+BB17+BB19+BB20+BB21+BB22+BB23+BB24+BB25+BB27+BB28+BB29+BB30+BB31+BB32+BB33+BB35+BB36+BB37+BB38+BB39+BB40+BB41+BB43+BB44+BB45+BB46+BB47+BB48+BB49)/T2),0)</f>
        <v/>
      </c>
      <c r="BL50" s="5">
        <f>IFERROR(ROUND(BB50/BD50,2),0)</f>
        <v/>
      </c>
      <c r="BM50" s="5">
        <f>IFERROR(ROUND(BB50/BE50,2),0)</f>
        <v/>
      </c>
      <c r="BN50" s="2" t="inlineStr">
        <is>
          <t>5 Weekly Total</t>
        </is>
      </c>
      <c r="BO50" s="5">
        <f>ROUND(4.89,2)</f>
        <v/>
      </c>
      <c r="BP50" s="3">
        <f>ROUND(2360.0,2)</f>
        <v/>
      </c>
      <c r="BQ50" s="3">
        <f>ROUND(6.0,2)</f>
        <v/>
      </c>
      <c r="BR50" s="3">
        <f>ROUND(0.0,2)</f>
        <v/>
      </c>
      <c r="BS50" s="3">
        <f>ROUND(0.0,2)</f>
        <v/>
      </c>
      <c r="BT50" s="3">
        <f>ROUND(0.0,2)</f>
        <v/>
      </c>
      <c r="BU50" s="3">
        <f>ROUND(0.0,2)</f>
        <v/>
      </c>
      <c r="BV50" s="3">
        <f>ROUND(0.0,2)</f>
        <v/>
      </c>
      <c r="BW50" s="4">
        <f>IFERROR((BQ50/BP50),0)</f>
        <v/>
      </c>
      <c r="BX50" s="4">
        <f>IFERROR(((0+BO11+BO12+BO13+BO14+BO15+BO16+BO17+BO19+BO20+BO21+BO22+BO23+BO24+BO25+BO27+BO28+BO29+BO30+BO31+BO32+BO33+BO35+BO36+BO37+BO38+BO39+BO40+BO41+BO43+BO44+BO45+BO46+BO47+BO48+BO49)/T2),0)</f>
        <v/>
      </c>
      <c r="BY50" s="5">
        <f>IFERROR(ROUND(BO50/BQ50,2),0)</f>
        <v/>
      </c>
      <c r="BZ50" s="5">
        <f>IFERROR(ROUND(BO50/BR50,2),0)</f>
        <v/>
      </c>
      <c r="CA50" s="2" t="inlineStr">
        <is>
          <t>5 Weekly Total</t>
        </is>
      </c>
      <c r="CB50" s="5">
        <f>ROUND(0.04,2)</f>
        <v/>
      </c>
      <c r="CC50" s="3">
        <f>ROUND(50.0,2)</f>
        <v/>
      </c>
      <c r="CD50" s="3">
        <f>ROUND(0.0,2)</f>
        <v/>
      </c>
      <c r="CE50" s="3">
        <f>ROUND(0.0,2)</f>
        <v/>
      </c>
      <c r="CF50" s="3">
        <f>ROUND(0.0,2)</f>
        <v/>
      </c>
      <c r="CG50" s="3">
        <f>ROUND(0.0,2)</f>
        <v/>
      </c>
      <c r="CH50" s="3">
        <f>ROUND(0.0,2)</f>
        <v/>
      </c>
      <c r="CI50" s="3">
        <f>ROUND(0.0,2)</f>
        <v/>
      </c>
      <c r="CJ50" s="4">
        <f>IFERROR((CD50/CC50),0)</f>
        <v/>
      </c>
      <c r="CK50" s="4">
        <f>IFERROR(((0+CB11+CB12+CB13+CB14+CB15+CB16+CB17+CB19+CB20+CB21+CB22+CB23+CB24+CB25+CB27+CB28+CB29+CB30+CB31+CB32+CB33+CB35+CB36+CB37+CB38+CB39+CB40+CB41+CB43+CB44+CB45+CB46+CB47+CB48+CB49)/T2),0)</f>
        <v/>
      </c>
      <c r="CL50" s="5">
        <f>IFERROR(ROUND(CB50/CD50,2),0)</f>
        <v/>
      </c>
      <c r="CM50" s="5">
        <f>IFERROR(ROUND(CB50/CE50,2),0)</f>
        <v/>
      </c>
      <c r="CN50" s="2" t="inlineStr">
        <is>
          <t>5 Weekly Total</t>
        </is>
      </c>
      <c r="CO50" s="5">
        <f>ROUND(4.5,2)</f>
        <v/>
      </c>
      <c r="CP50" s="3">
        <f>ROUND(2661.0,2)</f>
        <v/>
      </c>
      <c r="CQ50" s="3">
        <f>ROUND(45.0,2)</f>
        <v/>
      </c>
      <c r="CR50" s="3">
        <f>ROUND(357.0,2)</f>
        <v/>
      </c>
      <c r="CS50" s="3">
        <f>ROUND(239.0,2)</f>
        <v/>
      </c>
      <c r="CT50" s="3">
        <f>ROUND(131.0,2)</f>
        <v/>
      </c>
      <c r="CU50" s="3">
        <f>ROUND(107.0,2)</f>
        <v/>
      </c>
      <c r="CV50" s="3">
        <f>ROUND(95.0,2)</f>
        <v/>
      </c>
      <c r="CW50" s="4">
        <f>IFERROR((CQ50/CP50),0)</f>
        <v/>
      </c>
      <c r="CX50" s="4">
        <f>IFERROR(((0+CO11+CO12+CO13+CO14+CO15+CO16+CO17+CO19+CO20+CO21+CO22+CO23+CO24+CO25+CO27+CO28+CO29+CO30+CO31+CO32+CO33+CO35+CO36+CO37+CO38+CO39+CO40+CO41+CO43+CO44+CO45+CO46+CO47+CO48+CO49)/T2),0)</f>
        <v/>
      </c>
      <c r="CY50" s="5">
        <f>IFERROR(ROUND(CO50/CQ50,2),0)</f>
        <v/>
      </c>
      <c r="CZ50" s="5">
        <f>IFERROR(ROUND(CO50/CR50,2),0)</f>
        <v/>
      </c>
      <c r="DA50" s="2" t="inlineStr">
        <is>
          <t>5 Weekly Total</t>
        </is>
      </c>
      <c r="DB50" s="5">
        <f>ROUND(2.47,2)</f>
        <v/>
      </c>
      <c r="DC50" s="3">
        <f>ROUND(1504.0,2)</f>
        <v/>
      </c>
      <c r="DD50" s="3">
        <f>ROUND(23.0,2)</f>
        <v/>
      </c>
      <c r="DE50" s="3">
        <f>ROUND(257.0,2)</f>
        <v/>
      </c>
      <c r="DF50" s="3">
        <f>ROUND(154.0,2)</f>
        <v/>
      </c>
      <c r="DG50" s="3">
        <f>ROUND(82.0,2)</f>
        <v/>
      </c>
      <c r="DH50" s="3">
        <f>ROUND(72.0,2)</f>
        <v/>
      </c>
      <c r="DI50" s="3">
        <f>ROUND(57.0,2)</f>
        <v/>
      </c>
      <c r="DJ50" s="4">
        <f>IFERROR((DD50/DC50),0)</f>
        <v/>
      </c>
      <c r="DK50" s="4">
        <f>IFERROR(((0+DB11+DB12+DB13+DB14+DB15+DB16+DB17+DB19+DB20+DB21+DB22+DB23+DB24+DB25+DB27+DB28+DB29+DB30+DB31+DB32+DB33+DB35+DB36+DB37+DB38+DB39+DB40+DB41+DB43+DB44+DB45+DB46+DB47+DB48+DB49)/T2),0)</f>
        <v/>
      </c>
      <c r="DL50" s="5">
        <f>IFERROR(ROUND(DB50/DD50,2),0)</f>
        <v/>
      </c>
      <c r="DM50" s="5">
        <f>IFERROR(ROUND(DB50/DE50,2),0)</f>
        <v/>
      </c>
      <c r="DN50" s="2" t="inlineStr">
        <is>
          <t>5 Weekly Total</t>
        </is>
      </c>
      <c r="DO50" s="5">
        <f>ROUND(83.58,2)</f>
        <v/>
      </c>
      <c r="DP50" s="3">
        <f>ROUND(30325.0,2)</f>
        <v/>
      </c>
      <c r="DQ50" s="3">
        <f>ROUND(1026.0,2)</f>
        <v/>
      </c>
      <c r="DR50" s="3">
        <f>ROUND(10499.0,2)</f>
        <v/>
      </c>
      <c r="DS50" s="3">
        <f>ROUND(8776.0,2)</f>
        <v/>
      </c>
      <c r="DT50" s="3">
        <f>ROUND(6603.0,2)</f>
        <v/>
      </c>
      <c r="DU50" s="3">
        <f>ROUND(6012.0,2)</f>
        <v/>
      </c>
      <c r="DV50" s="3">
        <f>ROUND(5113.0,2)</f>
        <v/>
      </c>
      <c r="DW50" s="4">
        <f>IFERROR((DQ50/DP50),0)</f>
        <v/>
      </c>
      <c r="DX50" s="4">
        <f>IFERROR(((0+DO11+DO12+DO13+DO14+DO15+DO16+DO17+DO19+DO20+DO21+DO22+DO23+DO24+DO25+DO27+DO28+DO29+DO30+DO31+DO32+DO33+DO35+DO36+DO37+DO38+DO39+DO40+DO41+DO43+DO44+DO45+DO46+DO47+DO48+DO49)/T2),0)</f>
        <v/>
      </c>
      <c r="DY50" s="5">
        <f>IFERROR(ROUND(DO50/DQ50,2),0)</f>
        <v/>
      </c>
      <c r="DZ50" s="5">
        <f>IFERROR(ROUND(DO50/DR50,2),0)</f>
        <v/>
      </c>
      <c r="EA50" s="2" t="inlineStr">
        <is>
          <t>5 Weekly Total</t>
        </is>
      </c>
      <c r="EB50" s="5">
        <f>ROUND(0.78,2)</f>
        <v/>
      </c>
      <c r="EC50" s="3">
        <f>ROUND(523.0,2)</f>
        <v/>
      </c>
      <c r="ED50" s="3">
        <f>ROUND(11.0,2)</f>
        <v/>
      </c>
      <c r="EE50" s="3">
        <f>ROUND(65.0,2)</f>
        <v/>
      </c>
      <c r="EF50" s="3">
        <f>ROUND(32.0,2)</f>
        <v/>
      </c>
      <c r="EG50" s="3">
        <f>ROUND(16.0,2)</f>
        <v/>
      </c>
      <c r="EH50" s="3">
        <f>ROUND(13.0,2)</f>
        <v/>
      </c>
      <c r="EI50" s="3">
        <f>ROUND(10.0,2)</f>
        <v/>
      </c>
      <c r="EJ50" s="4">
        <f>IFERROR((ED50/EC50),0)</f>
        <v/>
      </c>
      <c r="EK50" s="4">
        <f>IFERROR(((0+EB11+EB12+EB13+EB14+EB15+EB16+EB17+EB19+EB20+EB21+EB22+EB23+EB24+EB25+EB27+EB28+EB29+EB30+EB31+EB32+EB33+EB35+EB36+EB37+EB38+EB39+EB40+EB41+EB43+EB44+EB45+EB46+EB47+EB48+EB49)/T2),0)</f>
        <v/>
      </c>
      <c r="EL50" s="5">
        <f>IFERROR(ROUND(EB50/ED50,2),0)</f>
        <v/>
      </c>
      <c r="EM50" s="5">
        <f>IFERROR(ROUND(EB50/EE50,2),0)</f>
        <v/>
      </c>
    </row>
    <row r="51">
      <c r="A51" s="2" t="inlineStr">
        <is>
          <t>2023-10-25</t>
        </is>
      </c>
      <c r="B51" s="5">
        <f>ROUND(21.14,2)</f>
        <v/>
      </c>
      <c r="C51" s="3">
        <f>ROUND(8699.0,2)</f>
        <v/>
      </c>
      <c r="D51" s="3">
        <f>ROUND(234.0,2)</f>
        <v/>
      </c>
      <c r="E51" s="3">
        <f>ROUND(2243.0,2)</f>
        <v/>
      </c>
      <c r="F51" s="3">
        <f>ROUND(1883.0,2)</f>
        <v/>
      </c>
      <c r="G51" s="3">
        <f>ROUND(1451.0,2)</f>
        <v/>
      </c>
      <c r="H51" s="3">
        <f>ROUND(1319.0,2)</f>
        <v/>
      </c>
      <c r="I51" s="3">
        <f>ROUND(1119.0,2)</f>
        <v/>
      </c>
      <c r="J51" s="4">
        <f>IFERROR((D51/C51),0)</f>
        <v/>
      </c>
      <c r="K51" s="4">
        <f>IFERROR(((0+B11+B12+B13+B14+B15+B16+B17+B19+B20+B21+B22+B23+B24+B25+B27+B28+B29+B30+B31+B32+B33+B35+B36+B37+B38+B39+B40+B41+B43+B44+B45+B46+B47+B48+B49+B51)/T2),0)</f>
        <v/>
      </c>
      <c r="L51" s="5">
        <f>IFERROR(ROUND(B51/D51,2),0)</f>
        <v/>
      </c>
      <c r="M51" s="5">
        <f>IFERROR(ROUND(B51/E51,2),0)</f>
        <v/>
      </c>
      <c r="N51" s="2" t="inlineStr">
        <is>
          <t>2023-10-25</t>
        </is>
      </c>
      <c r="O51" s="5">
        <f>ROUND(0.01,2)</f>
        <v/>
      </c>
      <c r="P51" s="3">
        <f>ROUND(35.0,2)</f>
        <v/>
      </c>
      <c r="Q51" s="3">
        <f>ROUND(0.0,2)</f>
        <v/>
      </c>
      <c r="R51" s="3">
        <f>ROUND(0.0,2)</f>
        <v/>
      </c>
      <c r="S51" s="3">
        <f>ROUND(0.0,2)</f>
        <v/>
      </c>
      <c r="T51" s="3">
        <f>ROUND(0.0,2)</f>
        <v/>
      </c>
      <c r="U51" s="3">
        <f>ROUND(0.0,2)</f>
        <v/>
      </c>
      <c r="V51" s="3">
        <f>ROUND(0.0,2)</f>
        <v/>
      </c>
      <c r="W51" s="4">
        <f>IFERROR((Q51/P51),0)</f>
        <v/>
      </c>
      <c r="X51" s="4">
        <f>IFERROR(((0+O11+O12+O13+O14+O15+O16+O17+O19+O20+O21+O22+O23+O24+O25+O27+O28+O29+O30+O31+O32+O33+O35+O36+O37+O38+O39+O40+O41+O43+O44+O45+O46+O47+O48+O49+O51)/T2),0)</f>
        <v/>
      </c>
      <c r="Y51" s="5">
        <f>IFERROR(ROUND(O51/Q51,2),0)</f>
        <v/>
      </c>
      <c r="Z51" s="5">
        <f>IFERROR(ROUND(O51/R51,2),0)</f>
        <v/>
      </c>
      <c r="AA51" s="2" t="inlineStr">
        <is>
          <t>2023-10-25</t>
        </is>
      </c>
      <c r="AB51" s="5">
        <f>ROUND(0.0,2)</f>
        <v/>
      </c>
      <c r="AC51" s="3">
        <f>ROUND(18.0,2)</f>
        <v/>
      </c>
      <c r="AD51" s="3">
        <f>ROUND(0.0,2)</f>
        <v/>
      </c>
      <c r="AE51" s="3">
        <f>ROUND(0.0,2)</f>
        <v/>
      </c>
      <c r="AF51" s="3">
        <f>ROUND(0.0,2)</f>
        <v/>
      </c>
      <c r="AG51" s="3">
        <f>ROUND(0.0,2)</f>
        <v/>
      </c>
      <c r="AH51" s="3">
        <f>ROUND(0.0,2)</f>
        <v/>
      </c>
      <c r="AI51" s="3">
        <f>ROUND(0.0,2)</f>
        <v/>
      </c>
      <c r="AJ51" s="4">
        <f>IFERROR((AD51/AC51),0)</f>
        <v/>
      </c>
      <c r="AK51" s="4">
        <f>IFERROR(((0+AB11+AB12+AB13+AB14+AB15+AB16+AB17+AB19+AB20+AB21+AB22+AB23+AB24+AB25+AB27+AB28+AB29+AB30+AB31+AB32+AB33+AB35+AB36+AB37+AB38+AB39+AB40+AB41+AB43+AB44+AB45+AB46+AB47+AB48+AB49+AB51)/T2),0)</f>
        <v/>
      </c>
      <c r="AL51" s="5">
        <f>IFERROR(ROUND(AB51/AD51,2),0)</f>
        <v/>
      </c>
      <c r="AM51" s="5">
        <f>IFERROR(ROUND(AB51/AE51,2),0)</f>
        <v/>
      </c>
      <c r="AN51" s="2" t="inlineStr">
        <is>
          <t>2023-10-25</t>
        </is>
      </c>
      <c r="AO51" s="5">
        <f>ROUND(0.30000000000000004,2)</f>
        <v/>
      </c>
      <c r="AP51" s="3">
        <f>ROUND(161.0,2)</f>
        <v/>
      </c>
      <c r="AQ51" s="3">
        <f>ROUND(1.0,2)</f>
        <v/>
      </c>
      <c r="AR51" s="3">
        <f>ROUND(0.0,2)</f>
        <v/>
      </c>
      <c r="AS51" s="3">
        <f>ROUND(0.0,2)</f>
        <v/>
      </c>
      <c r="AT51" s="3">
        <f>ROUND(0.0,2)</f>
        <v/>
      </c>
      <c r="AU51" s="3">
        <f>ROUND(0.0,2)</f>
        <v/>
      </c>
      <c r="AV51" s="3">
        <f>ROUND(0.0,2)</f>
        <v/>
      </c>
      <c r="AW51" s="4">
        <f>IFERROR((AQ51/AP51),0)</f>
        <v/>
      </c>
      <c r="AX51" s="4">
        <f>IFERROR(((0+AO11+AO12+AO13+AO14+AO15+AO16+AO17+AO19+AO20+AO21+AO22+AO23+AO24+AO25+AO27+AO28+AO29+AO30+AO31+AO32+AO33+AO35+AO36+AO37+AO38+AO39+AO40+AO41+AO43+AO44+AO45+AO46+AO47+AO48+AO49+AO51)/T2),0)</f>
        <v/>
      </c>
      <c r="AY51" s="5">
        <f>IFERROR(ROUND(AO51/AQ51,2),0)</f>
        <v/>
      </c>
      <c r="AZ51" s="5">
        <f>IFERROR(ROUND(AO51/AR51,2),0)</f>
        <v/>
      </c>
      <c r="BA51" s="2" t="inlineStr">
        <is>
          <t>2023-10-25</t>
        </is>
      </c>
      <c r="BB51" s="5">
        <f>ROUND(2.6,2)</f>
        <v/>
      </c>
      <c r="BC51" s="3">
        <f>ROUND(1515.0,2)</f>
        <v/>
      </c>
      <c r="BD51" s="3">
        <f>ROUND(10.0,2)</f>
        <v/>
      </c>
      <c r="BE51" s="3">
        <f>ROUND(0.0,2)</f>
        <v/>
      </c>
      <c r="BF51" s="3">
        <f>ROUND(0.0,2)</f>
        <v/>
      </c>
      <c r="BG51" s="3">
        <f>ROUND(0.0,2)</f>
        <v/>
      </c>
      <c r="BH51" s="3">
        <f>ROUND(0.0,2)</f>
        <v/>
      </c>
      <c r="BI51" s="3">
        <f>ROUND(0.0,2)</f>
        <v/>
      </c>
      <c r="BJ51" s="4">
        <f>IFERROR((BD51/BC51),0)</f>
        <v/>
      </c>
      <c r="BK51" s="4">
        <f>IFERROR(((0+BB11+BB12+BB13+BB14+BB15+BB16+BB17+BB19+BB20+BB21+BB22+BB23+BB24+BB25+BB27+BB28+BB29+BB30+BB31+BB32+BB33+BB35+BB36+BB37+BB38+BB39+BB40+BB41+BB43+BB44+BB45+BB46+BB47+BB48+BB49+BB51)/T2),0)</f>
        <v/>
      </c>
      <c r="BL51" s="5">
        <f>IFERROR(ROUND(BB51/BD51,2),0)</f>
        <v/>
      </c>
      <c r="BM51" s="5">
        <f>IFERROR(ROUND(BB51/BE51,2),0)</f>
        <v/>
      </c>
      <c r="BN51" s="2" t="inlineStr">
        <is>
          <t>2023-10-25</t>
        </is>
      </c>
      <c r="BO51" s="5">
        <f>ROUND(1.07,2)</f>
        <v/>
      </c>
      <c r="BP51" s="3">
        <f>ROUND(542.0,2)</f>
        <v/>
      </c>
      <c r="BQ51" s="3">
        <f>ROUND(2.0,2)</f>
        <v/>
      </c>
      <c r="BR51" s="3">
        <f>ROUND(0.0,2)</f>
        <v/>
      </c>
      <c r="BS51" s="3">
        <f>ROUND(0.0,2)</f>
        <v/>
      </c>
      <c r="BT51" s="3">
        <f>ROUND(0.0,2)</f>
        <v/>
      </c>
      <c r="BU51" s="3">
        <f>ROUND(0.0,2)</f>
        <v/>
      </c>
      <c r="BV51" s="3">
        <f>ROUND(0.0,2)</f>
        <v/>
      </c>
      <c r="BW51" s="4">
        <f>IFERROR((BQ51/BP51),0)</f>
        <v/>
      </c>
      <c r="BX51" s="4">
        <f>IFERROR(((0+BO11+BO12+BO13+BO14+BO15+BO16+BO17+BO19+BO20+BO21+BO22+BO23+BO24+BO25+BO27+BO28+BO29+BO30+BO31+BO32+BO33+BO35+BO36+BO37+BO38+BO39+BO40+BO41+BO43+BO44+BO45+BO46+BO47+BO48+BO49+BO51)/T2),0)</f>
        <v/>
      </c>
      <c r="BY51" s="5">
        <f>IFERROR(ROUND(BO51/BQ51,2),0)</f>
        <v/>
      </c>
      <c r="BZ51" s="5">
        <f>IFERROR(ROUND(BO51/BR51,2),0)</f>
        <v/>
      </c>
      <c r="CA51" s="2" t="inlineStr">
        <is>
          <t>2023-10-25</t>
        </is>
      </c>
      <c r="CB51" s="5">
        <f>ROUND(0.0,2)</f>
        <v/>
      </c>
      <c r="CC51" s="3">
        <f>ROUND(2.0,2)</f>
        <v/>
      </c>
      <c r="CD51" s="3">
        <f>ROUND(0.0,2)</f>
        <v/>
      </c>
      <c r="CE51" s="3">
        <f>ROUND(0.0,2)</f>
        <v/>
      </c>
      <c r="CF51" s="3">
        <f>ROUND(0.0,2)</f>
        <v/>
      </c>
      <c r="CG51" s="3">
        <f>ROUND(0.0,2)</f>
        <v/>
      </c>
      <c r="CH51" s="3">
        <f>ROUND(0.0,2)</f>
        <v/>
      </c>
      <c r="CI51" s="3">
        <f>ROUND(0.0,2)</f>
        <v/>
      </c>
      <c r="CJ51" s="4">
        <f>IFERROR((CD51/CC51),0)</f>
        <v/>
      </c>
      <c r="CK51" s="4">
        <f>IFERROR(((0+CB11+CB12+CB13+CB14+CB15+CB16+CB17+CB19+CB20+CB21+CB22+CB23+CB24+CB25+CB27+CB28+CB29+CB30+CB31+CB32+CB33+CB35+CB36+CB37+CB38+CB39+CB40+CB41+CB43+CB44+CB45+CB46+CB47+CB48+CB49+CB51)/T2),0)</f>
        <v/>
      </c>
      <c r="CL51" s="5">
        <f>IFERROR(ROUND(CB51/CD51,2),0)</f>
        <v/>
      </c>
      <c r="CM51" s="5">
        <f>IFERROR(ROUND(CB51/CE51,2),0)</f>
        <v/>
      </c>
      <c r="CN51" s="2" t="inlineStr">
        <is>
          <t>2023-10-25</t>
        </is>
      </c>
      <c r="CO51" s="5">
        <f>ROUND(1.4,2)</f>
        <v/>
      </c>
      <c r="CP51" s="3">
        <f>ROUND(844.0,2)</f>
        <v/>
      </c>
      <c r="CQ51" s="3">
        <f>ROUND(18.0,2)</f>
        <v/>
      </c>
      <c r="CR51" s="3">
        <f>ROUND(79.0,2)</f>
        <v/>
      </c>
      <c r="CS51" s="3">
        <f>ROUND(54.0,2)</f>
        <v/>
      </c>
      <c r="CT51" s="3">
        <f>ROUND(29.0,2)</f>
        <v/>
      </c>
      <c r="CU51" s="3">
        <f>ROUND(21.0,2)</f>
        <v/>
      </c>
      <c r="CV51" s="3">
        <f>ROUND(16.0,2)</f>
        <v/>
      </c>
      <c r="CW51" s="4">
        <f>IFERROR((CQ51/CP51),0)</f>
        <v/>
      </c>
      <c r="CX51" s="4">
        <f>IFERROR(((0+CO11+CO12+CO13+CO14+CO15+CO16+CO17+CO19+CO20+CO21+CO22+CO23+CO24+CO25+CO27+CO28+CO29+CO30+CO31+CO32+CO33+CO35+CO36+CO37+CO38+CO39+CO40+CO41+CO43+CO44+CO45+CO46+CO47+CO48+CO49+CO51)/T2),0)</f>
        <v/>
      </c>
      <c r="CY51" s="5">
        <f>IFERROR(ROUND(CO51/CQ51,2),0)</f>
        <v/>
      </c>
      <c r="CZ51" s="5">
        <f>IFERROR(ROUND(CO51/CR51,2),0)</f>
        <v/>
      </c>
      <c r="DA51" s="2" t="inlineStr">
        <is>
          <t>2023-10-25</t>
        </is>
      </c>
      <c r="DB51" s="5">
        <f>ROUND(0.17,2)</f>
        <v/>
      </c>
      <c r="DC51" s="3">
        <f>ROUND(67.0,2)</f>
        <v/>
      </c>
      <c r="DD51" s="3">
        <f>ROUND(1.0,2)</f>
        <v/>
      </c>
      <c r="DE51" s="3">
        <f>ROUND(7.0,2)</f>
        <v/>
      </c>
      <c r="DF51" s="3">
        <f>ROUND(2.0,2)</f>
        <v/>
      </c>
      <c r="DG51" s="3">
        <f>ROUND(1.0,2)</f>
        <v/>
      </c>
      <c r="DH51" s="3">
        <f>ROUND(1.0,2)</f>
        <v/>
      </c>
      <c r="DI51" s="3">
        <f>ROUND(1.0,2)</f>
        <v/>
      </c>
      <c r="DJ51" s="4">
        <f>IFERROR((DD51/DC51),0)</f>
        <v/>
      </c>
      <c r="DK51" s="4">
        <f>IFERROR(((0+DB11+DB12+DB13+DB14+DB15+DB16+DB17+DB19+DB20+DB21+DB22+DB23+DB24+DB25+DB27+DB28+DB29+DB30+DB31+DB32+DB33+DB35+DB36+DB37+DB38+DB39+DB40+DB41+DB43+DB44+DB45+DB46+DB47+DB48+DB49+DB51)/T2),0)</f>
        <v/>
      </c>
      <c r="DL51" s="5">
        <f>IFERROR(ROUND(DB51/DD51,2),0)</f>
        <v/>
      </c>
      <c r="DM51" s="5">
        <f>IFERROR(ROUND(DB51/DE51,2),0)</f>
        <v/>
      </c>
      <c r="DN51" s="2" t="inlineStr">
        <is>
          <t>2023-10-25</t>
        </is>
      </c>
      <c r="DO51" s="5">
        <f>ROUND(15.129999999999999,2)</f>
        <v/>
      </c>
      <c r="DP51" s="3">
        <f>ROUND(5319.0,2)</f>
        <v/>
      </c>
      <c r="DQ51" s="3">
        <f>ROUND(198.0,2)</f>
        <v/>
      </c>
      <c r="DR51" s="3">
        <f>ROUND(2133.0,2)</f>
        <v/>
      </c>
      <c r="DS51" s="3">
        <f>ROUND(1818.0,2)</f>
        <v/>
      </c>
      <c r="DT51" s="3">
        <f>ROUND(1419.0,2)</f>
        <v/>
      </c>
      <c r="DU51" s="3">
        <f>ROUND(1295.0,2)</f>
        <v/>
      </c>
      <c r="DV51" s="3">
        <f>ROUND(1100.0,2)</f>
        <v/>
      </c>
      <c r="DW51" s="4">
        <f>IFERROR((DQ51/DP51),0)</f>
        <v/>
      </c>
      <c r="DX51" s="4">
        <f>IFERROR(((0+DO11+DO12+DO13+DO14+DO15+DO16+DO17+DO19+DO20+DO21+DO22+DO23+DO24+DO25+DO27+DO28+DO29+DO30+DO31+DO32+DO33+DO35+DO36+DO37+DO38+DO39+DO40+DO41+DO43+DO44+DO45+DO46+DO47+DO48+DO49+DO51)/T2),0)</f>
        <v/>
      </c>
      <c r="DY51" s="5">
        <f>IFERROR(ROUND(DO51/DQ51,2),0)</f>
        <v/>
      </c>
      <c r="DZ51" s="5">
        <f>IFERROR(ROUND(DO51/DR51,2),0)</f>
        <v/>
      </c>
      <c r="EA51" s="2" t="inlineStr">
        <is>
          <t>2023-10-25</t>
        </is>
      </c>
      <c r="EB51" s="5">
        <f>ROUND(0.46,2)</f>
        <v/>
      </c>
      <c r="EC51" s="3">
        <f>ROUND(196.0,2)</f>
        <v/>
      </c>
      <c r="ED51" s="3">
        <f>ROUND(4.0,2)</f>
        <v/>
      </c>
      <c r="EE51" s="3">
        <f>ROUND(24.0,2)</f>
        <v/>
      </c>
      <c r="EF51" s="3">
        <f>ROUND(9.0,2)</f>
        <v/>
      </c>
      <c r="EG51" s="3">
        <f>ROUND(2.0,2)</f>
        <v/>
      </c>
      <c r="EH51" s="3">
        <f>ROUND(2.0,2)</f>
        <v/>
      </c>
      <c r="EI51" s="3">
        <f>ROUND(2.0,2)</f>
        <v/>
      </c>
      <c r="EJ51" s="4">
        <f>IFERROR((ED51/EC51),0)</f>
        <v/>
      </c>
      <c r="EK51" s="4">
        <f>IFERROR(((0+EB11+EB12+EB13+EB14+EB15+EB16+EB17+EB19+EB20+EB21+EB22+EB23+EB24+EB25+EB27+EB28+EB29+EB30+EB31+EB32+EB33+EB35+EB36+EB37+EB38+EB39+EB40+EB41+EB43+EB44+EB45+EB46+EB47+EB48+EB49+EB51)/T2),0)</f>
        <v/>
      </c>
      <c r="EL51" s="5">
        <f>IFERROR(ROUND(EB51/ED51,2),0)</f>
        <v/>
      </c>
      <c r="EM51" s="5">
        <f>IFERROR(ROUND(EB51/EE51,2),0)</f>
        <v/>
      </c>
    </row>
    <row r="52">
      <c r="A52" s="2" t="inlineStr">
        <is>
          <t>2023-10-26</t>
        </is>
      </c>
      <c r="B52" s="5">
        <f>ROUND(20.349999999999998,2)</f>
        <v/>
      </c>
      <c r="C52" s="3">
        <f>ROUND(7951.0,2)</f>
        <v/>
      </c>
      <c r="D52" s="3">
        <f>ROUND(208.0,2)</f>
        <v/>
      </c>
      <c r="E52" s="3">
        <f>ROUND(2128.0,2)</f>
        <v/>
      </c>
      <c r="F52" s="3">
        <f>ROUND(1777.0,2)</f>
        <v/>
      </c>
      <c r="G52" s="3">
        <f>ROUND(1372.0,2)</f>
        <v/>
      </c>
      <c r="H52" s="3">
        <f>ROUND(1263.0,2)</f>
        <v/>
      </c>
      <c r="I52" s="3">
        <f>ROUND(1090.0,2)</f>
        <v/>
      </c>
      <c r="J52" s="4">
        <f>IFERROR((D52/C52),0)</f>
        <v/>
      </c>
      <c r="K52" s="4">
        <f>IFERROR(((0+B11+B12+B13+B14+B15+B16+B17+B19+B20+B21+B22+B23+B24+B25+B27+B28+B29+B30+B31+B32+B33+B35+B36+B37+B38+B39+B40+B41+B43+B44+B45+B46+B47+B48+B49+B51+B52)/T2),0)</f>
        <v/>
      </c>
      <c r="L52" s="5">
        <f>IFERROR(ROUND(B52/D52,2),0)</f>
        <v/>
      </c>
      <c r="M52" s="5">
        <f>IFERROR(ROUND(B52/E52,2),0)</f>
        <v/>
      </c>
      <c r="N52" s="2" t="inlineStr">
        <is>
          <t>2023-10-26</t>
        </is>
      </c>
      <c r="O52" s="5">
        <f>ROUND(0.0,2)</f>
        <v/>
      </c>
      <c r="P52" s="3">
        <f>ROUND(14.0,2)</f>
        <v/>
      </c>
      <c r="Q52" s="3">
        <f>ROUND(0.0,2)</f>
        <v/>
      </c>
      <c r="R52" s="3">
        <f>ROUND(0.0,2)</f>
        <v/>
      </c>
      <c r="S52" s="3">
        <f>ROUND(0.0,2)</f>
        <v/>
      </c>
      <c r="T52" s="3">
        <f>ROUND(0.0,2)</f>
        <v/>
      </c>
      <c r="U52" s="3">
        <f>ROUND(0.0,2)</f>
        <v/>
      </c>
      <c r="V52" s="3">
        <f>ROUND(0.0,2)</f>
        <v/>
      </c>
      <c r="W52" s="4">
        <f>IFERROR((Q52/P52),0)</f>
        <v/>
      </c>
      <c r="X52" s="4">
        <f>IFERROR(((0+O11+O12+O13+O14+O15+O16+O17+O19+O20+O21+O22+O23+O24+O25+O27+O28+O29+O30+O31+O32+O33+O35+O36+O37+O38+O39+O40+O41+O43+O44+O45+O46+O47+O48+O49+O51+O52)/T2),0)</f>
        <v/>
      </c>
      <c r="Y52" s="5">
        <f>IFERROR(ROUND(O52/Q52,2),0)</f>
        <v/>
      </c>
      <c r="Z52" s="5">
        <f>IFERROR(ROUND(O52/R52,2),0)</f>
        <v/>
      </c>
      <c r="AA52" s="2" t="inlineStr">
        <is>
          <t>2023-10-26</t>
        </is>
      </c>
      <c r="AB52" s="5">
        <f>ROUND(0.01,2)</f>
        <v/>
      </c>
      <c r="AC52" s="3">
        <f>ROUND(14.0,2)</f>
        <v/>
      </c>
      <c r="AD52" s="3">
        <f>ROUND(0.0,2)</f>
        <v/>
      </c>
      <c r="AE52" s="3">
        <f>ROUND(0.0,2)</f>
        <v/>
      </c>
      <c r="AF52" s="3">
        <f>ROUND(0.0,2)</f>
        <v/>
      </c>
      <c r="AG52" s="3">
        <f>ROUND(0.0,2)</f>
        <v/>
      </c>
      <c r="AH52" s="3">
        <f>ROUND(0.0,2)</f>
        <v/>
      </c>
      <c r="AI52" s="3">
        <f>ROUND(0.0,2)</f>
        <v/>
      </c>
      <c r="AJ52" s="4">
        <f>IFERROR((AD52/AC52),0)</f>
        <v/>
      </c>
      <c r="AK52" s="4">
        <f>IFERROR(((0+AB11+AB12+AB13+AB14+AB15+AB16+AB17+AB19+AB20+AB21+AB22+AB23+AB24+AB25+AB27+AB28+AB29+AB30+AB31+AB32+AB33+AB35+AB36+AB37+AB38+AB39+AB40+AB41+AB43+AB44+AB45+AB46+AB47+AB48+AB49+AB51+AB52)/T2),0)</f>
        <v/>
      </c>
      <c r="AL52" s="5">
        <f>IFERROR(ROUND(AB52/AD52,2),0)</f>
        <v/>
      </c>
      <c r="AM52" s="5">
        <f>IFERROR(ROUND(AB52/AE52,2),0)</f>
        <v/>
      </c>
      <c r="AN52" s="2" t="inlineStr">
        <is>
          <t>2023-10-26</t>
        </is>
      </c>
      <c r="AO52" s="5">
        <f>ROUND(0.02,2)</f>
        <v/>
      </c>
      <c r="AP52" s="3">
        <f>ROUND(16.0,2)</f>
        <v/>
      </c>
      <c r="AQ52" s="3">
        <f>ROUND(0.0,2)</f>
        <v/>
      </c>
      <c r="AR52" s="3">
        <f>ROUND(0.0,2)</f>
        <v/>
      </c>
      <c r="AS52" s="3">
        <f>ROUND(0.0,2)</f>
        <v/>
      </c>
      <c r="AT52" s="3">
        <f>ROUND(0.0,2)</f>
        <v/>
      </c>
      <c r="AU52" s="3">
        <f>ROUND(0.0,2)</f>
        <v/>
      </c>
      <c r="AV52" s="3">
        <f>ROUND(0.0,2)</f>
        <v/>
      </c>
      <c r="AW52" s="4">
        <f>IFERROR((AQ52/AP52),0)</f>
        <v/>
      </c>
      <c r="AX52" s="4">
        <f>IFERROR(((0+AO11+AO12+AO13+AO14+AO15+AO16+AO17+AO19+AO20+AO21+AO22+AO23+AO24+AO25+AO27+AO28+AO29+AO30+AO31+AO32+AO33+AO35+AO36+AO37+AO38+AO39+AO40+AO41+AO43+AO44+AO45+AO46+AO47+AO48+AO49+AO51+AO52)/T2),0)</f>
        <v/>
      </c>
      <c r="AY52" s="5">
        <f>IFERROR(ROUND(AO52/AQ52,2),0)</f>
        <v/>
      </c>
      <c r="AZ52" s="5">
        <f>IFERROR(ROUND(AO52/AR52,2),0)</f>
        <v/>
      </c>
      <c r="BA52" s="2" t="inlineStr">
        <is>
          <t>2023-10-26</t>
        </is>
      </c>
      <c r="BB52" s="5">
        <f>ROUND(1.81,2)</f>
        <v/>
      </c>
      <c r="BC52" s="3">
        <f>ROUND(1032.0,2)</f>
        <v/>
      </c>
      <c r="BD52" s="3">
        <f>ROUND(14.0,2)</f>
        <v/>
      </c>
      <c r="BE52" s="3">
        <f>ROUND(0.0,2)</f>
        <v/>
      </c>
      <c r="BF52" s="3">
        <f>ROUND(0.0,2)</f>
        <v/>
      </c>
      <c r="BG52" s="3">
        <f>ROUND(0.0,2)</f>
        <v/>
      </c>
      <c r="BH52" s="3">
        <f>ROUND(0.0,2)</f>
        <v/>
      </c>
      <c r="BI52" s="3">
        <f>ROUND(0.0,2)</f>
        <v/>
      </c>
      <c r="BJ52" s="4">
        <f>IFERROR((BD52/BC52),0)</f>
        <v/>
      </c>
      <c r="BK52" s="4">
        <f>IFERROR(((0+BB11+BB12+BB13+BB14+BB15+BB16+BB17+BB19+BB20+BB21+BB22+BB23+BB24+BB25+BB27+BB28+BB29+BB30+BB31+BB32+BB33+BB35+BB36+BB37+BB38+BB39+BB40+BB41+BB43+BB44+BB45+BB46+BB47+BB48+BB49+BB51+BB52)/T2),0)</f>
        <v/>
      </c>
      <c r="BL52" s="5">
        <f>IFERROR(ROUND(BB52/BD52,2),0)</f>
        <v/>
      </c>
      <c r="BM52" s="5">
        <f>IFERROR(ROUND(BB52/BE52,2),0)</f>
        <v/>
      </c>
      <c r="BN52" s="2" t="inlineStr">
        <is>
          <t>2023-10-26</t>
        </is>
      </c>
      <c r="BO52" s="5">
        <f>ROUND(1.9300000000000002,2)</f>
        <v/>
      </c>
      <c r="BP52" s="3">
        <f>ROUND(806.0,2)</f>
        <v/>
      </c>
      <c r="BQ52" s="3">
        <f>ROUND(1.0,2)</f>
        <v/>
      </c>
      <c r="BR52" s="3">
        <f>ROUND(0.0,2)</f>
        <v/>
      </c>
      <c r="BS52" s="3">
        <f>ROUND(0.0,2)</f>
        <v/>
      </c>
      <c r="BT52" s="3">
        <f>ROUND(0.0,2)</f>
        <v/>
      </c>
      <c r="BU52" s="3">
        <f>ROUND(0.0,2)</f>
        <v/>
      </c>
      <c r="BV52" s="3">
        <f>ROUND(0.0,2)</f>
        <v/>
      </c>
      <c r="BW52" s="4">
        <f>IFERROR((BQ52/BP52),0)</f>
        <v/>
      </c>
      <c r="BX52" s="4">
        <f>IFERROR(((0+BO11+BO12+BO13+BO14+BO15+BO16+BO17+BO19+BO20+BO21+BO22+BO23+BO24+BO25+BO27+BO28+BO29+BO30+BO31+BO32+BO33+BO35+BO36+BO37+BO38+BO39+BO40+BO41+BO43+BO44+BO45+BO46+BO47+BO48+BO49+BO51+BO52)/T2),0)</f>
        <v/>
      </c>
      <c r="BY52" s="5">
        <f>IFERROR(ROUND(BO52/BQ52,2),0)</f>
        <v/>
      </c>
      <c r="BZ52" s="5">
        <f>IFERROR(ROUND(BO52/BR52,2),0)</f>
        <v/>
      </c>
      <c r="CA52" s="2" t="inlineStr">
        <is>
          <t>2023-10-26</t>
        </is>
      </c>
      <c r="CB52" s="5">
        <f>ROUND(0.0,2)</f>
        <v/>
      </c>
      <c r="CC52" s="3">
        <f>ROUND(7.0,2)</f>
        <v/>
      </c>
      <c r="CD52" s="3">
        <f>ROUND(0.0,2)</f>
        <v/>
      </c>
      <c r="CE52" s="3">
        <f>ROUND(0.0,2)</f>
        <v/>
      </c>
      <c r="CF52" s="3">
        <f>ROUND(0.0,2)</f>
        <v/>
      </c>
      <c r="CG52" s="3">
        <f>ROUND(0.0,2)</f>
        <v/>
      </c>
      <c r="CH52" s="3">
        <f>ROUND(0.0,2)</f>
        <v/>
      </c>
      <c r="CI52" s="3">
        <f>ROUND(0.0,2)</f>
        <v/>
      </c>
      <c r="CJ52" s="4">
        <f>IFERROR((CD52/CC52),0)</f>
        <v/>
      </c>
      <c r="CK52" s="4">
        <f>IFERROR(((0+CB11+CB12+CB13+CB14+CB15+CB16+CB17+CB19+CB20+CB21+CB22+CB23+CB24+CB25+CB27+CB28+CB29+CB30+CB31+CB32+CB33+CB35+CB36+CB37+CB38+CB39+CB40+CB41+CB43+CB44+CB45+CB46+CB47+CB48+CB49+CB51+CB52)/T2),0)</f>
        <v/>
      </c>
      <c r="CL52" s="5">
        <f>IFERROR(ROUND(CB52/CD52,2),0)</f>
        <v/>
      </c>
      <c r="CM52" s="5">
        <f>IFERROR(ROUND(CB52/CE52,2),0)</f>
        <v/>
      </c>
      <c r="CN52" s="2" t="inlineStr">
        <is>
          <t>2023-10-26</t>
        </is>
      </c>
      <c r="CO52" s="5">
        <f>ROUND(1.17,2)</f>
        <v/>
      </c>
      <c r="CP52" s="3">
        <f>ROUND(676.0,2)</f>
        <v/>
      </c>
      <c r="CQ52" s="3">
        <f>ROUND(13.0,2)</f>
        <v/>
      </c>
      <c r="CR52" s="3">
        <f>ROUND(73.0,2)</f>
        <v/>
      </c>
      <c r="CS52" s="3">
        <f>ROUND(45.0,2)</f>
        <v/>
      </c>
      <c r="CT52" s="3">
        <f>ROUND(19.0,2)</f>
        <v/>
      </c>
      <c r="CU52" s="3">
        <f>ROUND(14.0,2)</f>
        <v/>
      </c>
      <c r="CV52" s="3">
        <f>ROUND(13.0,2)</f>
        <v/>
      </c>
      <c r="CW52" s="4">
        <f>IFERROR((CQ52/CP52),0)</f>
        <v/>
      </c>
      <c r="CX52" s="4">
        <f>IFERROR(((0+CO11+CO12+CO13+CO14+CO15+CO16+CO17+CO19+CO20+CO21+CO22+CO23+CO24+CO25+CO27+CO28+CO29+CO30+CO31+CO32+CO33+CO35+CO36+CO37+CO38+CO39+CO40+CO41+CO43+CO44+CO45+CO46+CO47+CO48+CO49+CO51+CO52)/T2),0)</f>
        <v/>
      </c>
      <c r="CY52" s="5">
        <f>IFERROR(ROUND(CO52/CQ52,2),0)</f>
        <v/>
      </c>
      <c r="CZ52" s="5">
        <f>IFERROR(ROUND(CO52/CR52,2),0)</f>
        <v/>
      </c>
      <c r="DA52" s="2" t="inlineStr">
        <is>
          <t>2023-10-26</t>
        </is>
      </c>
      <c r="DB52" s="5">
        <f>ROUND(0.23,2)</f>
        <v/>
      </c>
      <c r="DC52" s="3">
        <f>ROUND(85.0,2)</f>
        <v/>
      </c>
      <c r="DD52" s="3">
        <f>ROUND(5.0,2)</f>
        <v/>
      </c>
      <c r="DE52" s="3">
        <f>ROUND(8.0,2)</f>
        <v/>
      </c>
      <c r="DF52" s="3">
        <f>ROUND(4.0,2)</f>
        <v/>
      </c>
      <c r="DG52" s="3">
        <f>ROUND(2.0,2)</f>
        <v/>
      </c>
      <c r="DH52" s="3">
        <f>ROUND(1.0,2)</f>
        <v/>
      </c>
      <c r="DI52" s="3">
        <f>ROUND(1.0,2)</f>
        <v/>
      </c>
      <c r="DJ52" s="4">
        <f>IFERROR((DD52/DC52),0)</f>
        <v/>
      </c>
      <c r="DK52" s="4">
        <f>IFERROR(((0+DB11+DB12+DB13+DB14+DB15+DB16+DB17+DB19+DB20+DB21+DB22+DB23+DB24+DB25+DB27+DB28+DB29+DB30+DB31+DB32+DB33+DB35+DB36+DB37+DB38+DB39+DB40+DB41+DB43+DB44+DB45+DB46+DB47+DB48+DB49+DB51+DB52)/T2),0)</f>
        <v/>
      </c>
      <c r="DL52" s="5">
        <f>IFERROR(ROUND(DB52/DD52,2),0)</f>
        <v/>
      </c>
      <c r="DM52" s="5">
        <f>IFERROR(ROUND(DB52/DE52,2),0)</f>
        <v/>
      </c>
      <c r="DN52" s="2" t="inlineStr">
        <is>
          <t>2023-10-26</t>
        </is>
      </c>
      <c r="DO52" s="5">
        <f>ROUND(14.84,2)</f>
        <v/>
      </c>
      <c r="DP52" s="3">
        <f>ROUND(5139.0,2)</f>
        <v/>
      </c>
      <c r="DQ52" s="3">
        <f>ROUND(171.0,2)</f>
        <v/>
      </c>
      <c r="DR52" s="3">
        <f>ROUND(2027.0,2)</f>
        <v/>
      </c>
      <c r="DS52" s="3">
        <f>ROUND(1720.0,2)</f>
        <v/>
      </c>
      <c r="DT52" s="3">
        <f>ROUND(1347.0,2)</f>
        <v/>
      </c>
      <c r="DU52" s="3">
        <f>ROUND(1244.0,2)</f>
        <v/>
      </c>
      <c r="DV52" s="3">
        <f>ROUND(1072.0,2)</f>
        <v/>
      </c>
      <c r="DW52" s="4">
        <f>IFERROR((DQ52/DP52),0)</f>
        <v/>
      </c>
      <c r="DX52" s="4">
        <f>IFERROR(((0+DO11+DO12+DO13+DO14+DO15+DO16+DO17+DO19+DO20+DO21+DO22+DO23+DO24+DO25+DO27+DO28+DO29+DO30+DO31+DO32+DO33+DO35+DO36+DO37+DO38+DO39+DO40+DO41+DO43+DO44+DO45+DO46+DO47+DO48+DO49+DO51+DO52)/T2),0)</f>
        <v/>
      </c>
      <c r="DY52" s="5">
        <f>IFERROR(ROUND(DO52/DQ52,2),0)</f>
        <v/>
      </c>
      <c r="DZ52" s="5">
        <f>IFERROR(ROUND(DO52/DR52,2),0)</f>
        <v/>
      </c>
      <c r="EA52" s="2" t="inlineStr">
        <is>
          <t>2023-10-26</t>
        </is>
      </c>
      <c r="EB52" s="5">
        <f>ROUND(0.34,2)</f>
        <v/>
      </c>
      <c r="EC52" s="3">
        <f>ROUND(162.0,2)</f>
        <v/>
      </c>
      <c r="ED52" s="3">
        <f>ROUND(4.0,2)</f>
        <v/>
      </c>
      <c r="EE52" s="3">
        <f>ROUND(20.0,2)</f>
        <v/>
      </c>
      <c r="EF52" s="3">
        <f>ROUND(8.0,2)</f>
        <v/>
      </c>
      <c r="EG52" s="3">
        <f>ROUND(4.0,2)</f>
        <v/>
      </c>
      <c r="EH52" s="3">
        <f>ROUND(4.0,2)</f>
        <v/>
      </c>
      <c r="EI52" s="3">
        <f>ROUND(4.0,2)</f>
        <v/>
      </c>
      <c r="EJ52" s="4">
        <f>IFERROR((ED52/EC52),0)</f>
        <v/>
      </c>
      <c r="EK52" s="4">
        <f>IFERROR(((0+EB11+EB12+EB13+EB14+EB15+EB16+EB17+EB19+EB20+EB21+EB22+EB23+EB24+EB25+EB27+EB28+EB29+EB30+EB31+EB32+EB33+EB35+EB36+EB37+EB38+EB39+EB40+EB41+EB43+EB44+EB45+EB46+EB47+EB48+EB49+EB51+EB52)/T2),0)</f>
        <v/>
      </c>
      <c r="EL52" s="5">
        <f>IFERROR(ROUND(EB52/ED52,2),0)</f>
        <v/>
      </c>
      <c r="EM52" s="5">
        <f>IFERROR(ROUND(EB52/EE52,2),0)</f>
        <v/>
      </c>
    </row>
    <row r="53">
      <c r="A53" s="2" t="inlineStr">
        <is>
          <t>2023-10-27</t>
        </is>
      </c>
      <c r="B53" s="5">
        <f>ROUND(21.12,2)</f>
        <v/>
      </c>
      <c r="C53" s="3">
        <f>ROUND(8501.0,2)</f>
        <v/>
      </c>
      <c r="D53" s="3">
        <f>ROUND(209.0,2)</f>
        <v/>
      </c>
      <c r="E53" s="3">
        <f>ROUND(2026.0,2)</f>
        <v/>
      </c>
      <c r="F53" s="3">
        <f>ROUND(1677.0,2)</f>
        <v/>
      </c>
      <c r="G53" s="3">
        <f>ROUND(1281.0,2)</f>
        <v/>
      </c>
      <c r="H53" s="3">
        <f>ROUND(1164.0,2)</f>
        <v/>
      </c>
      <c r="I53" s="3">
        <f>ROUND(1014.0,2)</f>
        <v/>
      </c>
      <c r="J53" s="4">
        <f>IFERROR((D53/C53),0)</f>
        <v/>
      </c>
      <c r="K53" s="4">
        <f>IFERROR(((0+B11+B12+B13+B14+B15+B16+B17+B19+B20+B21+B22+B23+B24+B25+B27+B28+B29+B30+B31+B32+B33+B35+B36+B37+B38+B39+B40+B41+B43+B44+B45+B46+B47+B48+B49+B51+B52+B53)/T2),0)</f>
        <v/>
      </c>
      <c r="L53" s="5">
        <f>IFERROR(ROUND(B53/D53,2),0)</f>
        <v/>
      </c>
      <c r="M53" s="5">
        <f>IFERROR(ROUND(B53/E53,2),0)</f>
        <v/>
      </c>
      <c r="N53" s="2" t="inlineStr">
        <is>
          <t>2023-10-27</t>
        </is>
      </c>
      <c r="O53" s="5">
        <f>ROUND(0.01,2)</f>
        <v/>
      </c>
      <c r="P53" s="3">
        <f>ROUND(23.0,2)</f>
        <v/>
      </c>
      <c r="Q53" s="3">
        <f>ROUND(0.0,2)</f>
        <v/>
      </c>
      <c r="R53" s="3">
        <f>ROUND(0.0,2)</f>
        <v/>
      </c>
      <c r="S53" s="3">
        <f>ROUND(0.0,2)</f>
        <v/>
      </c>
      <c r="T53" s="3">
        <f>ROUND(0.0,2)</f>
        <v/>
      </c>
      <c r="U53" s="3">
        <f>ROUND(0.0,2)</f>
        <v/>
      </c>
      <c r="V53" s="3">
        <f>ROUND(0.0,2)</f>
        <v/>
      </c>
      <c r="W53" s="4">
        <f>IFERROR((Q53/P53),0)</f>
        <v/>
      </c>
      <c r="X53" s="4">
        <f>IFERROR(((0+O11+O12+O13+O14+O15+O16+O17+O19+O20+O21+O22+O23+O24+O25+O27+O28+O29+O30+O31+O32+O33+O35+O36+O37+O38+O39+O40+O41+O43+O44+O45+O46+O47+O48+O49+O51+O52+O53)/T2),0)</f>
        <v/>
      </c>
      <c r="Y53" s="5">
        <f>IFERROR(ROUND(O53/Q53,2),0)</f>
        <v/>
      </c>
      <c r="Z53" s="5">
        <f>IFERROR(ROUND(O53/R53,2),0)</f>
        <v/>
      </c>
      <c r="AA53" s="2" t="inlineStr">
        <is>
          <t>2023-10-27</t>
        </is>
      </c>
      <c r="AB53" s="5">
        <f>ROUND(0.03,2)</f>
        <v/>
      </c>
      <c r="AC53" s="3">
        <f>ROUND(28.0,2)</f>
        <v/>
      </c>
      <c r="AD53" s="3">
        <f>ROUND(0.0,2)</f>
        <v/>
      </c>
      <c r="AE53" s="3">
        <f>ROUND(0.0,2)</f>
        <v/>
      </c>
      <c r="AF53" s="3">
        <f>ROUND(0.0,2)</f>
        <v/>
      </c>
      <c r="AG53" s="3">
        <f>ROUND(0.0,2)</f>
        <v/>
      </c>
      <c r="AH53" s="3">
        <f>ROUND(0.0,2)</f>
        <v/>
      </c>
      <c r="AI53" s="3">
        <f>ROUND(0.0,2)</f>
        <v/>
      </c>
      <c r="AJ53" s="4">
        <f>IFERROR((AD53/AC53),0)</f>
        <v/>
      </c>
      <c r="AK53" s="4">
        <f>IFERROR(((0+AB11+AB12+AB13+AB14+AB15+AB16+AB17+AB19+AB20+AB21+AB22+AB23+AB24+AB25+AB27+AB28+AB29+AB30+AB31+AB32+AB33+AB35+AB36+AB37+AB38+AB39+AB40+AB41+AB43+AB44+AB45+AB46+AB47+AB48+AB49+AB51+AB52+AB53)/T2),0)</f>
        <v/>
      </c>
      <c r="AL53" s="5">
        <f>IFERROR(ROUND(AB53/AD53,2),0)</f>
        <v/>
      </c>
      <c r="AM53" s="5">
        <f>IFERROR(ROUND(AB53/AE53,2),0)</f>
        <v/>
      </c>
      <c r="AN53" s="2" t="inlineStr">
        <is>
          <t>2023-10-27</t>
        </is>
      </c>
      <c r="AO53" s="5">
        <f>ROUND(0.01,2)</f>
        <v/>
      </c>
      <c r="AP53" s="3">
        <f>ROUND(20.0,2)</f>
        <v/>
      </c>
      <c r="AQ53" s="3">
        <f>ROUND(0.0,2)</f>
        <v/>
      </c>
      <c r="AR53" s="3">
        <f>ROUND(0.0,2)</f>
        <v/>
      </c>
      <c r="AS53" s="3">
        <f>ROUND(0.0,2)</f>
        <v/>
      </c>
      <c r="AT53" s="3">
        <f>ROUND(0.0,2)</f>
        <v/>
      </c>
      <c r="AU53" s="3">
        <f>ROUND(0.0,2)</f>
        <v/>
      </c>
      <c r="AV53" s="3">
        <f>ROUND(0.0,2)</f>
        <v/>
      </c>
      <c r="AW53" s="4">
        <f>IFERROR((AQ53/AP53),0)</f>
        <v/>
      </c>
      <c r="AX53" s="4">
        <f>IFERROR(((0+AO11+AO12+AO13+AO14+AO15+AO16+AO17+AO19+AO20+AO21+AO22+AO23+AO24+AO25+AO27+AO28+AO29+AO30+AO31+AO32+AO33+AO35+AO36+AO37+AO38+AO39+AO40+AO41+AO43+AO44+AO45+AO46+AO47+AO48+AO49+AO51+AO52+AO53)/T2),0)</f>
        <v/>
      </c>
      <c r="AY53" s="5">
        <f>IFERROR(ROUND(AO53/AQ53,2),0)</f>
        <v/>
      </c>
      <c r="AZ53" s="5">
        <f>IFERROR(ROUND(AO53/AR53,2),0)</f>
        <v/>
      </c>
      <c r="BA53" s="2" t="inlineStr">
        <is>
          <t>2023-10-27</t>
        </is>
      </c>
      <c r="BB53" s="5">
        <f>ROUND(2.37,2)</f>
        <v/>
      </c>
      <c r="BC53" s="3">
        <f>ROUND(1457.0,2)</f>
        <v/>
      </c>
      <c r="BD53" s="3">
        <f>ROUND(12.0,2)</f>
        <v/>
      </c>
      <c r="BE53" s="3">
        <f>ROUND(0.0,2)</f>
        <v/>
      </c>
      <c r="BF53" s="3">
        <f>ROUND(0.0,2)</f>
        <v/>
      </c>
      <c r="BG53" s="3">
        <f>ROUND(0.0,2)</f>
        <v/>
      </c>
      <c r="BH53" s="3">
        <f>ROUND(0.0,2)</f>
        <v/>
      </c>
      <c r="BI53" s="3">
        <f>ROUND(0.0,2)</f>
        <v/>
      </c>
      <c r="BJ53" s="4">
        <f>IFERROR((BD53/BC53),0)</f>
        <v/>
      </c>
      <c r="BK53" s="4">
        <f>IFERROR(((0+BB11+BB12+BB13+BB14+BB15+BB16+BB17+BB19+BB20+BB21+BB22+BB23+BB24+BB25+BB27+BB28+BB29+BB30+BB31+BB32+BB33+BB35+BB36+BB37+BB38+BB39+BB40+BB41+BB43+BB44+BB45+BB46+BB47+BB48+BB49+BB51+BB52+BB53)/T2),0)</f>
        <v/>
      </c>
      <c r="BL53" s="5">
        <f>IFERROR(ROUND(BB53/BD53,2),0)</f>
        <v/>
      </c>
      <c r="BM53" s="5">
        <f>IFERROR(ROUND(BB53/BE53,2),0)</f>
        <v/>
      </c>
      <c r="BN53" s="2" t="inlineStr">
        <is>
          <t>2023-10-27</t>
        </is>
      </c>
      <c r="BO53" s="5">
        <f>ROUND(1.9100000000000001,2)</f>
        <v/>
      </c>
      <c r="BP53" s="3">
        <f>ROUND(842.0,2)</f>
        <v/>
      </c>
      <c r="BQ53" s="3">
        <f>ROUND(3.0,2)</f>
        <v/>
      </c>
      <c r="BR53" s="3">
        <f>ROUND(0.0,2)</f>
        <v/>
      </c>
      <c r="BS53" s="3">
        <f>ROUND(0.0,2)</f>
        <v/>
      </c>
      <c r="BT53" s="3">
        <f>ROUND(0.0,2)</f>
        <v/>
      </c>
      <c r="BU53" s="3">
        <f>ROUND(0.0,2)</f>
        <v/>
      </c>
      <c r="BV53" s="3">
        <f>ROUND(0.0,2)</f>
        <v/>
      </c>
      <c r="BW53" s="4">
        <f>IFERROR((BQ53/BP53),0)</f>
        <v/>
      </c>
      <c r="BX53" s="4">
        <f>IFERROR(((0+BO11+BO12+BO13+BO14+BO15+BO16+BO17+BO19+BO20+BO21+BO22+BO23+BO24+BO25+BO27+BO28+BO29+BO30+BO31+BO32+BO33+BO35+BO36+BO37+BO38+BO39+BO40+BO41+BO43+BO44+BO45+BO46+BO47+BO48+BO49+BO51+BO52+BO53)/T2),0)</f>
        <v/>
      </c>
      <c r="BY53" s="5">
        <f>IFERROR(ROUND(BO53/BQ53,2),0)</f>
        <v/>
      </c>
      <c r="BZ53" s="5">
        <f>IFERROR(ROUND(BO53/BR53,2),0)</f>
        <v/>
      </c>
      <c r="CA53" s="2" t="inlineStr">
        <is>
          <t>2023-10-27</t>
        </is>
      </c>
      <c r="CB53" s="5">
        <f>ROUND(0.0,2)</f>
        <v/>
      </c>
      <c r="CC53" s="3">
        <f>ROUND(6.0,2)</f>
        <v/>
      </c>
      <c r="CD53" s="3">
        <f>ROUND(1.0,2)</f>
        <v/>
      </c>
      <c r="CE53" s="3">
        <f>ROUND(0.0,2)</f>
        <v/>
      </c>
      <c r="CF53" s="3">
        <f>ROUND(0.0,2)</f>
        <v/>
      </c>
      <c r="CG53" s="3">
        <f>ROUND(0.0,2)</f>
        <v/>
      </c>
      <c r="CH53" s="3">
        <f>ROUND(0.0,2)</f>
        <v/>
      </c>
      <c r="CI53" s="3">
        <f>ROUND(0.0,2)</f>
        <v/>
      </c>
      <c r="CJ53" s="4">
        <f>IFERROR((CD53/CC53),0)</f>
        <v/>
      </c>
      <c r="CK53" s="4">
        <f>IFERROR(((0+CB11+CB12+CB13+CB14+CB15+CB16+CB17+CB19+CB20+CB21+CB22+CB23+CB24+CB25+CB27+CB28+CB29+CB30+CB31+CB32+CB33+CB35+CB36+CB37+CB38+CB39+CB40+CB41+CB43+CB44+CB45+CB46+CB47+CB48+CB49+CB51+CB52+CB53)/T2),0)</f>
        <v/>
      </c>
      <c r="CL53" s="5">
        <f>IFERROR(ROUND(CB53/CD53,2),0)</f>
        <v/>
      </c>
      <c r="CM53" s="5">
        <f>IFERROR(ROUND(CB53/CE53,2),0)</f>
        <v/>
      </c>
      <c r="CN53" s="2" t="inlineStr">
        <is>
          <t>2023-10-27</t>
        </is>
      </c>
      <c r="CO53" s="5">
        <f>ROUND(1.8399999999999999,2)</f>
        <v/>
      </c>
      <c r="CP53" s="3">
        <f>ROUND(1022.0,2)</f>
        <v/>
      </c>
      <c r="CQ53" s="3">
        <f>ROUND(23.0,2)</f>
        <v/>
      </c>
      <c r="CR53" s="3">
        <f>ROUND(116.0,2)</f>
        <v/>
      </c>
      <c r="CS53" s="3">
        <f>ROUND(77.0,2)</f>
        <v/>
      </c>
      <c r="CT53" s="3">
        <f>ROUND(38.0,2)</f>
        <v/>
      </c>
      <c r="CU53" s="3">
        <f>ROUND(27.0,2)</f>
        <v/>
      </c>
      <c r="CV53" s="3">
        <f>ROUND(24.0,2)</f>
        <v/>
      </c>
      <c r="CW53" s="4">
        <f>IFERROR((CQ53/CP53),0)</f>
        <v/>
      </c>
      <c r="CX53" s="4">
        <f>IFERROR(((0+CO11+CO12+CO13+CO14+CO15+CO16+CO17+CO19+CO20+CO21+CO22+CO23+CO24+CO25+CO27+CO28+CO29+CO30+CO31+CO32+CO33+CO35+CO36+CO37+CO38+CO39+CO40+CO41+CO43+CO44+CO45+CO46+CO47+CO48+CO49+CO51+CO52+CO53)/T2),0)</f>
        <v/>
      </c>
      <c r="CY53" s="5">
        <f>IFERROR(ROUND(CO53/CQ53,2),0)</f>
        <v/>
      </c>
      <c r="CZ53" s="5">
        <f>IFERROR(ROUND(CO53/CR53,2),0)</f>
        <v/>
      </c>
      <c r="DA53" s="2" t="inlineStr">
        <is>
          <t>2023-10-27</t>
        </is>
      </c>
      <c r="DB53" s="5">
        <f>ROUND(0.37,2)</f>
        <v/>
      </c>
      <c r="DC53" s="3">
        <f>ROUND(165.0,2)</f>
        <v/>
      </c>
      <c r="DD53" s="3">
        <f>ROUND(3.0,2)</f>
        <v/>
      </c>
      <c r="DE53" s="3">
        <f>ROUND(14.0,2)</f>
        <v/>
      </c>
      <c r="DF53" s="3">
        <f>ROUND(6.0,2)</f>
        <v/>
      </c>
      <c r="DG53" s="3">
        <f>ROUND(2.0,2)</f>
        <v/>
      </c>
      <c r="DH53" s="3">
        <f>ROUND(0.0,2)</f>
        <v/>
      </c>
      <c r="DI53" s="3">
        <f>ROUND(0.0,2)</f>
        <v/>
      </c>
      <c r="DJ53" s="4">
        <f>IFERROR((DD53/DC53),0)</f>
        <v/>
      </c>
      <c r="DK53" s="4">
        <f>IFERROR(((0+DB11+DB12+DB13+DB14+DB15+DB16+DB17+DB19+DB20+DB21+DB22+DB23+DB24+DB25+DB27+DB28+DB29+DB30+DB31+DB32+DB33+DB35+DB36+DB37+DB38+DB39+DB40+DB41+DB43+DB44+DB45+DB46+DB47+DB48+DB49+DB51+DB52+DB53)/T2),0)</f>
        <v/>
      </c>
      <c r="DL53" s="5">
        <f>IFERROR(ROUND(DB53/DD53,2),0)</f>
        <v/>
      </c>
      <c r="DM53" s="5">
        <f>IFERROR(ROUND(DB53/DE53,2),0)</f>
        <v/>
      </c>
      <c r="DN53" s="2" t="inlineStr">
        <is>
          <t>2023-10-27</t>
        </is>
      </c>
      <c r="DO53" s="5">
        <f>ROUND(14.4,2)</f>
        <v/>
      </c>
      <c r="DP53" s="3">
        <f>ROUND(4835.0,2)</f>
        <v/>
      </c>
      <c r="DQ53" s="3">
        <f>ROUND(166.0,2)</f>
        <v/>
      </c>
      <c r="DR53" s="3">
        <f>ROUND(1883.0,2)</f>
        <v/>
      </c>
      <c r="DS53" s="3">
        <f>ROUND(1586.0,2)</f>
        <v/>
      </c>
      <c r="DT53" s="3">
        <f>ROUND(1238.0,2)</f>
        <v/>
      </c>
      <c r="DU53" s="3">
        <f>ROUND(1134.0,2)</f>
        <v/>
      </c>
      <c r="DV53" s="3">
        <f>ROUND(987.0,2)</f>
        <v/>
      </c>
      <c r="DW53" s="4">
        <f>IFERROR((DQ53/DP53),0)</f>
        <v/>
      </c>
      <c r="DX53" s="4">
        <f>IFERROR(((0+DO11+DO12+DO13+DO14+DO15+DO16+DO17+DO19+DO20+DO21+DO22+DO23+DO24+DO25+DO27+DO28+DO29+DO30+DO31+DO32+DO33+DO35+DO36+DO37+DO38+DO39+DO40+DO41+DO43+DO44+DO45+DO46+DO47+DO48+DO49+DO51+DO52+DO53)/T2),0)</f>
        <v/>
      </c>
      <c r="DY53" s="5">
        <f>IFERROR(ROUND(DO53/DQ53,2),0)</f>
        <v/>
      </c>
      <c r="DZ53" s="5">
        <f>IFERROR(ROUND(DO53/DR53,2),0)</f>
        <v/>
      </c>
      <c r="EA53" s="2" t="inlineStr">
        <is>
          <t>2023-10-27</t>
        </is>
      </c>
      <c r="EB53" s="5">
        <f>ROUND(0.18,2)</f>
        <v/>
      </c>
      <c r="EC53" s="3">
        <f>ROUND(103.0,2)</f>
        <v/>
      </c>
      <c r="ED53" s="3">
        <f>ROUND(1.0,2)</f>
        <v/>
      </c>
      <c r="EE53" s="3">
        <f>ROUND(13.0,2)</f>
        <v/>
      </c>
      <c r="EF53" s="3">
        <f>ROUND(8.0,2)</f>
        <v/>
      </c>
      <c r="EG53" s="3">
        <f>ROUND(3.0,2)</f>
        <v/>
      </c>
      <c r="EH53" s="3">
        <f>ROUND(3.0,2)</f>
        <v/>
      </c>
      <c r="EI53" s="3">
        <f>ROUND(3.0,2)</f>
        <v/>
      </c>
      <c r="EJ53" s="4">
        <f>IFERROR((ED53/EC53),0)</f>
        <v/>
      </c>
      <c r="EK53" s="4">
        <f>IFERROR(((0+EB11+EB12+EB13+EB14+EB15+EB16+EB17+EB19+EB20+EB21+EB22+EB23+EB24+EB25+EB27+EB28+EB29+EB30+EB31+EB32+EB33+EB35+EB36+EB37+EB38+EB39+EB40+EB41+EB43+EB44+EB45+EB46+EB47+EB48+EB49+EB51+EB52+EB53)/T2),0)</f>
        <v/>
      </c>
      <c r="EL53" s="5">
        <f>IFERROR(ROUND(EB53/ED53,2),0)</f>
        <v/>
      </c>
      <c r="EM53" s="5">
        <f>IFERROR(ROUND(EB53/EE53,2),0)</f>
        <v/>
      </c>
    </row>
    <row r="54">
      <c r="A54" s="2" t="inlineStr">
        <is>
          <t>2023-10-28</t>
        </is>
      </c>
      <c r="B54" s="5">
        <f>ROUND(21.740000000000002,2)</f>
        <v/>
      </c>
      <c r="C54" s="3">
        <f>ROUND(8056.0,2)</f>
        <v/>
      </c>
      <c r="D54" s="3">
        <f>ROUND(225.0,2)</f>
        <v/>
      </c>
      <c r="E54" s="3">
        <f>ROUND(2032.0,2)</f>
        <v/>
      </c>
      <c r="F54" s="3">
        <f>ROUND(1674.0,2)</f>
        <v/>
      </c>
      <c r="G54" s="3">
        <f>ROUND(1309.0,2)</f>
        <v/>
      </c>
      <c r="H54" s="3">
        <f>ROUND(1215.0,2)</f>
        <v/>
      </c>
      <c r="I54" s="3">
        <f>ROUND(1060.0,2)</f>
        <v/>
      </c>
      <c r="J54" s="4">
        <f>IFERROR((D54/C54),0)</f>
        <v/>
      </c>
      <c r="K54" s="4">
        <f>IFERROR(((0+B11+B12+B13+B14+B15+B16+B17+B19+B20+B21+B22+B23+B24+B25+B27+B28+B29+B30+B31+B32+B33+B35+B36+B37+B38+B39+B40+B41+B43+B44+B45+B46+B47+B48+B49+B51+B52+B53+B54)/T2),0)</f>
        <v/>
      </c>
      <c r="L54" s="5">
        <f>IFERROR(ROUND(B54/D54,2),0)</f>
        <v/>
      </c>
      <c r="M54" s="5">
        <f>IFERROR(ROUND(B54/E54,2),0)</f>
        <v/>
      </c>
      <c r="N54" s="2" t="inlineStr">
        <is>
          <t>2023-10-28</t>
        </is>
      </c>
      <c r="O54" s="5">
        <f>ROUND(0.01,2)</f>
        <v/>
      </c>
      <c r="P54" s="3">
        <f>ROUND(22.0,2)</f>
        <v/>
      </c>
      <c r="Q54" s="3">
        <f>ROUND(0.0,2)</f>
        <v/>
      </c>
      <c r="R54" s="3">
        <f>ROUND(0.0,2)</f>
        <v/>
      </c>
      <c r="S54" s="3">
        <f>ROUND(0.0,2)</f>
        <v/>
      </c>
      <c r="T54" s="3">
        <f>ROUND(0.0,2)</f>
        <v/>
      </c>
      <c r="U54" s="3">
        <f>ROUND(0.0,2)</f>
        <v/>
      </c>
      <c r="V54" s="3">
        <f>ROUND(0.0,2)</f>
        <v/>
      </c>
      <c r="W54" s="4">
        <f>IFERROR((Q54/P54),0)</f>
        <v/>
      </c>
      <c r="X54" s="4">
        <f>IFERROR(((0+O11+O12+O13+O14+O15+O16+O17+O19+O20+O21+O22+O23+O24+O25+O27+O28+O29+O30+O31+O32+O33+O35+O36+O37+O38+O39+O40+O41+O43+O44+O45+O46+O47+O48+O49+O51+O52+O53+O54)/T2),0)</f>
        <v/>
      </c>
      <c r="Y54" s="5">
        <f>IFERROR(ROUND(O54/Q54,2),0)</f>
        <v/>
      </c>
      <c r="Z54" s="5">
        <f>IFERROR(ROUND(O54/R54,2),0)</f>
        <v/>
      </c>
      <c r="AA54" s="2" t="inlineStr">
        <is>
          <t>2023-10-28</t>
        </is>
      </c>
      <c r="AB54" s="5">
        <f>ROUND(0.01,2)</f>
        <v/>
      </c>
      <c r="AC54" s="3">
        <f>ROUND(20.0,2)</f>
        <v/>
      </c>
      <c r="AD54" s="3">
        <f>ROUND(0.0,2)</f>
        <v/>
      </c>
      <c r="AE54" s="3">
        <f>ROUND(0.0,2)</f>
        <v/>
      </c>
      <c r="AF54" s="3">
        <f>ROUND(0.0,2)</f>
        <v/>
      </c>
      <c r="AG54" s="3">
        <f>ROUND(0.0,2)</f>
        <v/>
      </c>
      <c r="AH54" s="3">
        <f>ROUND(0.0,2)</f>
        <v/>
      </c>
      <c r="AI54" s="3">
        <f>ROUND(0.0,2)</f>
        <v/>
      </c>
      <c r="AJ54" s="4">
        <f>IFERROR((AD54/AC54),0)</f>
        <v/>
      </c>
      <c r="AK54" s="4">
        <f>IFERROR(((0+AB11+AB12+AB13+AB14+AB15+AB16+AB17+AB19+AB20+AB21+AB22+AB23+AB24+AB25+AB27+AB28+AB29+AB30+AB31+AB32+AB33+AB35+AB36+AB37+AB38+AB39+AB40+AB41+AB43+AB44+AB45+AB46+AB47+AB48+AB49+AB51+AB52+AB53+AB54)/T2),0)</f>
        <v/>
      </c>
      <c r="AL54" s="5">
        <f>IFERROR(ROUND(AB54/AD54,2),0)</f>
        <v/>
      </c>
      <c r="AM54" s="5">
        <f>IFERROR(ROUND(AB54/AE54,2),0)</f>
        <v/>
      </c>
      <c r="AN54" s="2" t="inlineStr">
        <is>
          <t>2023-10-28</t>
        </is>
      </c>
      <c r="AO54" s="5">
        <f>ROUND(0.01,2)</f>
        <v/>
      </c>
      <c r="AP54" s="3">
        <f>ROUND(29.0,2)</f>
        <v/>
      </c>
      <c r="AQ54" s="3">
        <f>ROUND(0.0,2)</f>
        <v/>
      </c>
      <c r="AR54" s="3">
        <f>ROUND(0.0,2)</f>
        <v/>
      </c>
      <c r="AS54" s="3">
        <f>ROUND(0.0,2)</f>
        <v/>
      </c>
      <c r="AT54" s="3">
        <f>ROUND(0.0,2)</f>
        <v/>
      </c>
      <c r="AU54" s="3">
        <f>ROUND(0.0,2)</f>
        <v/>
      </c>
      <c r="AV54" s="3">
        <f>ROUND(0.0,2)</f>
        <v/>
      </c>
      <c r="AW54" s="4">
        <f>IFERROR((AQ54/AP54),0)</f>
        <v/>
      </c>
      <c r="AX54" s="4">
        <f>IFERROR(((0+AO11+AO12+AO13+AO14+AO15+AO16+AO17+AO19+AO20+AO21+AO22+AO23+AO24+AO25+AO27+AO28+AO29+AO30+AO31+AO32+AO33+AO35+AO36+AO37+AO38+AO39+AO40+AO41+AO43+AO44+AO45+AO46+AO47+AO48+AO49+AO51+AO52+AO53+AO54)/T2),0)</f>
        <v/>
      </c>
      <c r="AY54" s="5">
        <f>IFERROR(ROUND(AO54/AQ54,2),0)</f>
        <v/>
      </c>
      <c r="AZ54" s="5">
        <f>IFERROR(ROUND(AO54/AR54,2),0)</f>
        <v/>
      </c>
      <c r="BA54" s="2" t="inlineStr">
        <is>
          <t>2023-10-28</t>
        </is>
      </c>
      <c r="BB54" s="5">
        <f>ROUND(2.77,2)</f>
        <v/>
      </c>
      <c r="BC54" s="3">
        <f>ROUND(1349.0,2)</f>
        <v/>
      </c>
      <c r="BD54" s="3">
        <f>ROUND(19.0,2)</f>
        <v/>
      </c>
      <c r="BE54" s="3">
        <f>ROUND(0.0,2)</f>
        <v/>
      </c>
      <c r="BF54" s="3">
        <f>ROUND(0.0,2)</f>
        <v/>
      </c>
      <c r="BG54" s="3">
        <f>ROUND(0.0,2)</f>
        <v/>
      </c>
      <c r="BH54" s="3">
        <f>ROUND(0.0,2)</f>
        <v/>
      </c>
      <c r="BI54" s="3">
        <f>ROUND(0.0,2)</f>
        <v/>
      </c>
      <c r="BJ54" s="4">
        <f>IFERROR((BD54/BC54),0)</f>
        <v/>
      </c>
      <c r="BK54" s="4">
        <f>IFERROR(((0+BB11+BB12+BB13+BB14+BB15+BB16+BB17+BB19+BB20+BB21+BB22+BB23+BB24+BB25+BB27+BB28+BB29+BB30+BB31+BB32+BB33+BB35+BB36+BB37+BB38+BB39+BB40+BB41+BB43+BB44+BB45+BB46+BB47+BB48+BB49+BB51+BB52+BB53+BB54)/T2),0)</f>
        <v/>
      </c>
      <c r="BL54" s="5">
        <f>IFERROR(ROUND(BB54/BD54,2),0)</f>
        <v/>
      </c>
      <c r="BM54" s="5">
        <f>IFERROR(ROUND(BB54/BE54,2),0)</f>
        <v/>
      </c>
      <c r="BN54" s="2" t="inlineStr">
        <is>
          <t>2023-10-28</t>
        </is>
      </c>
      <c r="BO54" s="5">
        <f>ROUND(1.04,2)</f>
        <v/>
      </c>
      <c r="BP54" s="3">
        <f>ROUND(439.0,2)</f>
        <v/>
      </c>
      <c r="BQ54" s="3">
        <f>ROUND(3.0,2)</f>
        <v/>
      </c>
      <c r="BR54" s="3">
        <f>ROUND(0.0,2)</f>
        <v/>
      </c>
      <c r="BS54" s="3">
        <f>ROUND(0.0,2)</f>
        <v/>
      </c>
      <c r="BT54" s="3">
        <f>ROUND(0.0,2)</f>
        <v/>
      </c>
      <c r="BU54" s="3">
        <f>ROUND(0.0,2)</f>
        <v/>
      </c>
      <c r="BV54" s="3">
        <f>ROUND(0.0,2)</f>
        <v/>
      </c>
      <c r="BW54" s="4">
        <f>IFERROR((BQ54/BP54),0)</f>
        <v/>
      </c>
      <c r="BX54" s="4">
        <f>IFERROR(((0+BO11+BO12+BO13+BO14+BO15+BO16+BO17+BO19+BO20+BO21+BO22+BO23+BO24+BO25+BO27+BO28+BO29+BO30+BO31+BO32+BO33+BO35+BO36+BO37+BO38+BO39+BO40+BO41+BO43+BO44+BO45+BO46+BO47+BO48+BO49+BO51+BO52+BO53+BO54)/T2),0)</f>
        <v/>
      </c>
      <c r="BY54" s="5">
        <f>IFERROR(ROUND(BO54/BQ54,2),0)</f>
        <v/>
      </c>
      <c r="BZ54" s="5">
        <f>IFERROR(ROUND(BO54/BR54,2),0)</f>
        <v/>
      </c>
      <c r="CA54" s="2" t="inlineStr">
        <is>
          <t>2023-10-28</t>
        </is>
      </c>
      <c r="CB54" s="5">
        <f>ROUND(0.0,2)</f>
        <v/>
      </c>
      <c r="CC54" s="3">
        <f>ROUND(7.0,2)</f>
        <v/>
      </c>
      <c r="CD54" s="3">
        <f>ROUND(0.0,2)</f>
        <v/>
      </c>
      <c r="CE54" s="3">
        <f>ROUND(0.0,2)</f>
        <v/>
      </c>
      <c r="CF54" s="3">
        <f>ROUND(0.0,2)</f>
        <v/>
      </c>
      <c r="CG54" s="3">
        <f>ROUND(0.0,2)</f>
        <v/>
      </c>
      <c r="CH54" s="3">
        <f>ROUND(0.0,2)</f>
        <v/>
      </c>
      <c r="CI54" s="3">
        <f>ROUND(0.0,2)</f>
        <v/>
      </c>
      <c r="CJ54" s="4">
        <f>IFERROR((CD54/CC54),0)</f>
        <v/>
      </c>
      <c r="CK54" s="4">
        <f>IFERROR(((0+CB11+CB12+CB13+CB14+CB15+CB16+CB17+CB19+CB20+CB21+CB22+CB23+CB24+CB25+CB27+CB28+CB29+CB30+CB31+CB32+CB33+CB35+CB36+CB37+CB38+CB39+CB40+CB41+CB43+CB44+CB45+CB46+CB47+CB48+CB49+CB51+CB52+CB53+CB54)/T2),0)</f>
        <v/>
      </c>
      <c r="CL54" s="5">
        <f>IFERROR(ROUND(CB54/CD54,2),0)</f>
        <v/>
      </c>
      <c r="CM54" s="5">
        <f>IFERROR(ROUND(CB54/CE54,2),0)</f>
        <v/>
      </c>
      <c r="CN54" s="2" t="inlineStr">
        <is>
          <t>2023-10-28</t>
        </is>
      </c>
      <c r="CO54" s="5">
        <f>ROUND(1.7,2)</f>
        <v/>
      </c>
      <c r="CP54" s="3">
        <f>ROUND(821.0,2)</f>
        <v/>
      </c>
      <c r="CQ54" s="3">
        <f>ROUND(12.0,2)</f>
        <v/>
      </c>
      <c r="CR54" s="3">
        <f>ROUND(95.0,2)</f>
        <v/>
      </c>
      <c r="CS54" s="3">
        <f>ROUND(60.0,2)</f>
        <v/>
      </c>
      <c r="CT54" s="3">
        <f>ROUND(27.0,2)</f>
        <v/>
      </c>
      <c r="CU54" s="3">
        <f>ROUND(23.0,2)</f>
        <v/>
      </c>
      <c r="CV54" s="3">
        <f>ROUND(21.0,2)</f>
        <v/>
      </c>
      <c r="CW54" s="4">
        <f>IFERROR((CQ54/CP54),0)</f>
        <v/>
      </c>
      <c r="CX54" s="4">
        <f>IFERROR(((0+CO11+CO12+CO13+CO14+CO15+CO16+CO17+CO19+CO20+CO21+CO22+CO23+CO24+CO25+CO27+CO28+CO29+CO30+CO31+CO32+CO33+CO35+CO36+CO37+CO38+CO39+CO40+CO41+CO43+CO44+CO45+CO46+CO47+CO48+CO49+CO51+CO52+CO53+CO54)/T2),0)</f>
        <v/>
      </c>
      <c r="CY54" s="5">
        <f>IFERROR(ROUND(CO54/CQ54,2),0)</f>
        <v/>
      </c>
      <c r="CZ54" s="5">
        <f>IFERROR(ROUND(CO54/CR54,2),0)</f>
        <v/>
      </c>
      <c r="DA54" s="2" t="inlineStr">
        <is>
          <t>2023-10-28</t>
        </is>
      </c>
      <c r="DB54" s="5">
        <f>ROUND(0.22,2)</f>
        <v/>
      </c>
      <c r="DC54" s="3">
        <f>ROUND(96.0,2)</f>
        <v/>
      </c>
      <c r="DD54" s="3">
        <f>ROUND(3.0,2)</f>
        <v/>
      </c>
      <c r="DE54" s="3">
        <f>ROUND(9.0,2)</f>
        <v/>
      </c>
      <c r="DF54" s="3">
        <f>ROUND(3.0,2)</f>
        <v/>
      </c>
      <c r="DG54" s="3">
        <f>ROUND(1.0,2)</f>
        <v/>
      </c>
      <c r="DH54" s="3">
        <f>ROUND(1.0,2)</f>
        <v/>
      </c>
      <c r="DI54" s="3">
        <f>ROUND(1.0,2)</f>
        <v/>
      </c>
      <c r="DJ54" s="4">
        <f>IFERROR((DD54/DC54),0)</f>
        <v/>
      </c>
      <c r="DK54" s="4">
        <f>IFERROR(((0+DB11+DB12+DB13+DB14+DB15+DB16+DB17+DB19+DB20+DB21+DB22+DB23+DB24+DB25+DB27+DB28+DB29+DB30+DB31+DB32+DB33+DB35+DB36+DB37+DB38+DB39+DB40+DB41+DB43+DB44+DB45+DB46+DB47+DB48+DB49+DB51+DB52+DB53+DB54)/T2),0)</f>
        <v/>
      </c>
      <c r="DL54" s="5">
        <f>IFERROR(ROUND(DB54/DD54,2),0)</f>
        <v/>
      </c>
      <c r="DM54" s="5">
        <f>IFERROR(ROUND(DB54/DE54,2),0)</f>
        <v/>
      </c>
      <c r="DN54" s="2" t="inlineStr">
        <is>
          <t>2023-10-28</t>
        </is>
      </c>
      <c r="DO54" s="5">
        <f>ROUND(15.85,2)</f>
        <v/>
      </c>
      <c r="DP54" s="3">
        <f>ROUND(5229.0,2)</f>
        <v/>
      </c>
      <c r="DQ54" s="3">
        <f>ROUND(185.0,2)</f>
        <v/>
      </c>
      <c r="DR54" s="3">
        <f>ROUND(1925.0,2)</f>
        <v/>
      </c>
      <c r="DS54" s="3">
        <f>ROUND(1609.0,2)</f>
        <v/>
      </c>
      <c r="DT54" s="3">
        <f>ROUND(1280.0,2)</f>
        <v/>
      </c>
      <c r="DU54" s="3">
        <f>ROUND(1190.0,2)</f>
        <v/>
      </c>
      <c r="DV54" s="3">
        <f>ROUND(1038.0,2)</f>
        <v/>
      </c>
      <c r="DW54" s="4">
        <f>IFERROR((DQ54/DP54),0)</f>
        <v/>
      </c>
      <c r="DX54" s="4">
        <f>IFERROR(((0+DO11+DO12+DO13+DO14+DO15+DO16+DO17+DO19+DO20+DO21+DO22+DO23+DO24+DO25+DO27+DO28+DO29+DO30+DO31+DO32+DO33+DO35+DO36+DO37+DO38+DO39+DO40+DO41+DO43+DO44+DO45+DO46+DO47+DO48+DO49+DO51+DO52+DO53+DO54)/T2),0)</f>
        <v/>
      </c>
      <c r="DY54" s="5">
        <f>IFERROR(ROUND(DO54/DQ54,2),0)</f>
        <v/>
      </c>
      <c r="DZ54" s="5">
        <f>IFERROR(ROUND(DO54/DR54,2),0)</f>
        <v/>
      </c>
      <c r="EA54" s="2" t="inlineStr">
        <is>
          <t>2023-10-28</t>
        </is>
      </c>
      <c r="EB54" s="5">
        <f>ROUND(0.13,2)</f>
        <v/>
      </c>
      <c r="EC54" s="3">
        <f>ROUND(44.0,2)</f>
        <v/>
      </c>
      <c r="ED54" s="3">
        <f>ROUND(3.0,2)</f>
        <v/>
      </c>
      <c r="EE54" s="3">
        <f>ROUND(3.0,2)</f>
        <v/>
      </c>
      <c r="EF54" s="3">
        <f>ROUND(2.0,2)</f>
        <v/>
      </c>
      <c r="EG54" s="3">
        <f>ROUND(1.0,2)</f>
        <v/>
      </c>
      <c r="EH54" s="3">
        <f>ROUND(1.0,2)</f>
        <v/>
      </c>
      <c r="EI54" s="3">
        <f>ROUND(0.0,2)</f>
        <v/>
      </c>
      <c r="EJ54" s="4">
        <f>IFERROR((ED54/EC54),0)</f>
        <v/>
      </c>
      <c r="EK54" s="4">
        <f>IFERROR(((0+EB11+EB12+EB13+EB14+EB15+EB16+EB17+EB19+EB20+EB21+EB22+EB23+EB24+EB25+EB27+EB28+EB29+EB30+EB31+EB32+EB33+EB35+EB36+EB37+EB38+EB39+EB40+EB41+EB43+EB44+EB45+EB46+EB47+EB48+EB49+EB51+EB52+EB53+EB54)/T2),0)</f>
        <v/>
      </c>
      <c r="EL54" s="5">
        <f>IFERROR(ROUND(EB54/ED54,2),0)</f>
        <v/>
      </c>
      <c r="EM54" s="5">
        <f>IFERROR(ROUND(EB54/EE54,2),0)</f>
        <v/>
      </c>
    </row>
    <row r="55">
      <c r="A55" s="2" t="inlineStr">
        <is>
          <t>2023-10-29</t>
        </is>
      </c>
      <c r="B55" s="5">
        <f>ROUND(21.01,2)</f>
        <v/>
      </c>
      <c r="C55" s="3">
        <f>ROUND(8036.0,2)</f>
        <v/>
      </c>
      <c r="D55" s="3">
        <f>ROUND(235.0,2)</f>
        <v/>
      </c>
      <c r="E55" s="3">
        <f>ROUND(1999.0,2)</f>
        <v/>
      </c>
      <c r="F55" s="3">
        <f>ROUND(1649.0,2)</f>
        <v/>
      </c>
      <c r="G55" s="3">
        <f>ROUND(1317.0,2)</f>
        <v/>
      </c>
      <c r="H55" s="3">
        <f>ROUND(1214.0,2)</f>
        <v/>
      </c>
      <c r="I55" s="3">
        <f>ROUND(1033.0,2)</f>
        <v/>
      </c>
      <c r="J55" s="4">
        <f>IFERROR((D55/C55),0)</f>
        <v/>
      </c>
      <c r="K55" s="4">
        <f>IFERROR(((0+B11+B12+B13+B14+B15+B16+B17+B19+B20+B21+B22+B23+B24+B25+B27+B28+B29+B30+B31+B32+B33+B35+B36+B37+B38+B39+B40+B41+B43+B44+B45+B46+B47+B48+B49+B51+B52+B53+B54+B55)/T2),0)</f>
        <v/>
      </c>
      <c r="L55" s="5">
        <f>IFERROR(ROUND(B55/D55,2),0)</f>
        <v/>
      </c>
      <c r="M55" s="5">
        <f>IFERROR(ROUND(B55/E55,2),0)</f>
        <v/>
      </c>
      <c r="N55" s="2" t="inlineStr">
        <is>
          <t>2023-10-29</t>
        </is>
      </c>
      <c r="O55" s="5">
        <f>ROUND(0.01,2)</f>
        <v/>
      </c>
      <c r="P55" s="3">
        <f>ROUND(17.0,2)</f>
        <v/>
      </c>
      <c r="Q55" s="3">
        <f>ROUND(1.0,2)</f>
        <v/>
      </c>
      <c r="R55" s="3">
        <f>ROUND(0.0,2)</f>
        <v/>
      </c>
      <c r="S55" s="3">
        <f>ROUND(0.0,2)</f>
        <v/>
      </c>
      <c r="T55" s="3">
        <f>ROUND(0.0,2)</f>
        <v/>
      </c>
      <c r="U55" s="3">
        <f>ROUND(0.0,2)</f>
        <v/>
      </c>
      <c r="V55" s="3">
        <f>ROUND(0.0,2)</f>
        <v/>
      </c>
      <c r="W55" s="4">
        <f>IFERROR((Q55/P55),0)</f>
        <v/>
      </c>
      <c r="X55" s="4">
        <f>IFERROR(((0+O11+O12+O13+O14+O15+O16+O17+O19+O20+O21+O22+O23+O24+O25+O27+O28+O29+O30+O31+O32+O33+O35+O36+O37+O38+O39+O40+O41+O43+O44+O45+O46+O47+O48+O49+O51+O52+O53+O54+O55)/T2),0)</f>
        <v/>
      </c>
      <c r="Y55" s="5">
        <f>IFERROR(ROUND(O55/Q55,2),0)</f>
        <v/>
      </c>
      <c r="Z55" s="5">
        <f>IFERROR(ROUND(O55/R55,2),0)</f>
        <v/>
      </c>
      <c r="AA55" s="2" t="inlineStr">
        <is>
          <t>2023-10-29</t>
        </is>
      </c>
      <c r="AB55" s="5">
        <f>ROUND(0.01,2)</f>
        <v/>
      </c>
      <c r="AC55" s="3">
        <f>ROUND(13.0,2)</f>
        <v/>
      </c>
      <c r="AD55" s="3">
        <f>ROUND(0.0,2)</f>
        <v/>
      </c>
      <c r="AE55" s="3">
        <f>ROUND(0.0,2)</f>
        <v/>
      </c>
      <c r="AF55" s="3">
        <f>ROUND(0.0,2)</f>
        <v/>
      </c>
      <c r="AG55" s="3">
        <f>ROUND(0.0,2)</f>
        <v/>
      </c>
      <c r="AH55" s="3">
        <f>ROUND(0.0,2)</f>
        <v/>
      </c>
      <c r="AI55" s="3">
        <f>ROUND(0.0,2)</f>
        <v/>
      </c>
      <c r="AJ55" s="4">
        <f>IFERROR((AD55/AC55),0)</f>
        <v/>
      </c>
      <c r="AK55" s="4">
        <f>IFERROR(((0+AB11+AB12+AB13+AB14+AB15+AB16+AB17+AB19+AB20+AB21+AB22+AB23+AB24+AB25+AB27+AB28+AB29+AB30+AB31+AB32+AB33+AB35+AB36+AB37+AB38+AB39+AB40+AB41+AB43+AB44+AB45+AB46+AB47+AB48+AB49+AB51+AB52+AB53+AB54+AB55)/T2),0)</f>
        <v/>
      </c>
      <c r="AL55" s="5">
        <f>IFERROR(ROUND(AB55/AD55,2),0)</f>
        <v/>
      </c>
      <c r="AM55" s="5">
        <f>IFERROR(ROUND(AB55/AE55,2),0)</f>
        <v/>
      </c>
      <c r="AN55" s="2" t="inlineStr">
        <is>
          <t>2023-10-29</t>
        </is>
      </c>
      <c r="AO55" s="5">
        <f>ROUND(0.01,2)</f>
        <v/>
      </c>
      <c r="AP55" s="3">
        <f>ROUND(26.0,2)</f>
        <v/>
      </c>
      <c r="AQ55" s="3">
        <f>ROUND(1.0,2)</f>
        <v/>
      </c>
      <c r="AR55" s="3">
        <f>ROUND(0.0,2)</f>
        <v/>
      </c>
      <c r="AS55" s="3">
        <f>ROUND(0.0,2)</f>
        <v/>
      </c>
      <c r="AT55" s="3">
        <f>ROUND(0.0,2)</f>
        <v/>
      </c>
      <c r="AU55" s="3">
        <f>ROUND(0.0,2)</f>
        <v/>
      </c>
      <c r="AV55" s="3">
        <f>ROUND(0.0,2)</f>
        <v/>
      </c>
      <c r="AW55" s="4">
        <f>IFERROR((AQ55/AP55),0)</f>
        <v/>
      </c>
      <c r="AX55" s="4">
        <f>IFERROR(((0+AO11+AO12+AO13+AO14+AO15+AO16+AO17+AO19+AO20+AO21+AO22+AO23+AO24+AO25+AO27+AO28+AO29+AO30+AO31+AO32+AO33+AO35+AO36+AO37+AO38+AO39+AO40+AO41+AO43+AO44+AO45+AO46+AO47+AO48+AO49+AO51+AO52+AO53+AO54+AO55)/T2),0)</f>
        <v/>
      </c>
      <c r="AY55" s="5">
        <f>IFERROR(ROUND(AO55/AQ55,2),0)</f>
        <v/>
      </c>
      <c r="AZ55" s="5">
        <f>IFERROR(ROUND(AO55/AR55,2),0)</f>
        <v/>
      </c>
      <c r="BA55" s="2" t="inlineStr">
        <is>
          <t>2023-10-29</t>
        </is>
      </c>
      <c r="BB55" s="5">
        <f>ROUND(2.91,2)</f>
        <v/>
      </c>
      <c r="BC55" s="3">
        <f>ROUND(1459.0,2)</f>
        <v/>
      </c>
      <c r="BD55" s="3">
        <f>ROUND(19.0,2)</f>
        <v/>
      </c>
      <c r="BE55" s="3">
        <f>ROUND(0.0,2)</f>
        <v/>
      </c>
      <c r="BF55" s="3">
        <f>ROUND(0.0,2)</f>
        <v/>
      </c>
      <c r="BG55" s="3">
        <f>ROUND(0.0,2)</f>
        <v/>
      </c>
      <c r="BH55" s="3">
        <f>ROUND(0.0,2)</f>
        <v/>
      </c>
      <c r="BI55" s="3">
        <f>ROUND(0.0,2)</f>
        <v/>
      </c>
      <c r="BJ55" s="4">
        <f>IFERROR((BD55/BC55),0)</f>
        <v/>
      </c>
      <c r="BK55" s="4">
        <f>IFERROR(((0+BB11+BB12+BB13+BB14+BB15+BB16+BB17+BB19+BB20+BB21+BB22+BB23+BB24+BB25+BB27+BB28+BB29+BB30+BB31+BB32+BB33+BB35+BB36+BB37+BB38+BB39+BB40+BB41+BB43+BB44+BB45+BB46+BB47+BB48+BB49+BB51+BB52+BB53+BB54+BB55)/T2),0)</f>
        <v/>
      </c>
      <c r="BL55" s="5">
        <f>IFERROR(ROUND(BB55/BD55,2),0)</f>
        <v/>
      </c>
      <c r="BM55" s="5">
        <f>IFERROR(ROUND(BB55/BE55,2),0)</f>
        <v/>
      </c>
      <c r="BN55" s="2" t="inlineStr">
        <is>
          <t>2023-10-29</t>
        </is>
      </c>
      <c r="BO55" s="5">
        <f>ROUND(0.9099999999999999,2)</f>
        <v/>
      </c>
      <c r="BP55" s="3">
        <f>ROUND(439.0,2)</f>
        <v/>
      </c>
      <c r="BQ55" s="3">
        <f>ROUND(2.0,2)</f>
        <v/>
      </c>
      <c r="BR55" s="3">
        <f>ROUND(0.0,2)</f>
        <v/>
      </c>
      <c r="BS55" s="3">
        <f>ROUND(0.0,2)</f>
        <v/>
      </c>
      <c r="BT55" s="3">
        <f>ROUND(0.0,2)</f>
        <v/>
      </c>
      <c r="BU55" s="3">
        <f>ROUND(0.0,2)</f>
        <v/>
      </c>
      <c r="BV55" s="3">
        <f>ROUND(0.0,2)</f>
        <v/>
      </c>
      <c r="BW55" s="4">
        <f>IFERROR((BQ55/BP55),0)</f>
        <v/>
      </c>
      <c r="BX55" s="4">
        <f>IFERROR(((0+BO11+BO12+BO13+BO14+BO15+BO16+BO17+BO19+BO20+BO21+BO22+BO23+BO24+BO25+BO27+BO28+BO29+BO30+BO31+BO32+BO33+BO35+BO36+BO37+BO38+BO39+BO40+BO41+BO43+BO44+BO45+BO46+BO47+BO48+BO49+BO51+BO52+BO53+BO54+BO55)/T2),0)</f>
        <v/>
      </c>
      <c r="BY55" s="5">
        <f>IFERROR(ROUND(BO55/BQ55,2),0)</f>
        <v/>
      </c>
      <c r="BZ55" s="5">
        <f>IFERROR(ROUND(BO55/BR55,2),0)</f>
        <v/>
      </c>
      <c r="CA55" s="2" t="inlineStr">
        <is>
          <t>2023-10-29</t>
        </is>
      </c>
      <c r="CB55" s="5">
        <f>ROUND(0.0,2)</f>
        <v/>
      </c>
      <c r="CC55" s="3">
        <f>ROUND(4.0,2)</f>
        <v/>
      </c>
      <c r="CD55" s="3">
        <f>ROUND(0.0,2)</f>
        <v/>
      </c>
      <c r="CE55" s="3">
        <f>ROUND(0.0,2)</f>
        <v/>
      </c>
      <c r="CF55" s="3">
        <f>ROUND(0.0,2)</f>
        <v/>
      </c>
      <c r="CG55" s="3">
        <f>ROUND(0.0,2)</f>
        <v/>
      </c>
      <c r="CH55" s="3">
        <f>ROUND(0.0,2)</f>
        <v/>
      </c>
      <c r="CI55" s="3">
        <f>ROUND(0.0,2)</f>
        <v/>
      </c>
      <c r="CJ55" s="4">
        <f>IFERROR((CD55/CC55),0)</f>
        <v/>
      </c>
      <c r="CK55" s="4">
        <f>IFERROR(((0+CB11+CB12+CB13+CB14+CB15+CB16+CB17+CB19+CB20+CB21+CB22+CB23+CB24+CB25+CB27+CB28+CB29+CB30+CB31+CB32+CB33+CB35+CB36+CB37+CB38+CB39+CB40+CB41+CB43+CB44+CB45+CB46+CB47+CB48+CB49+CB51+CB52+CB53+CB54+CB55)/T2),0)</f>
        <v/>
      </c>
      <c r="CL55" s="5">
        <f>IFERROR(ROUND(CB55/CD55,2),0)</f>
        <v/>
      </c>
      <c r="CM55" s="5">
        <f>IFERROR(ROUND(CB55/CE55,2),0)</f>
        <v/>
      </c>
      <c r="CN55" s="2" t="inlineStr">
        <is>
          <t>2023-10-29</t>
        </is>
      </c>
      <c r="CO55" s="5">
        <f>ROUND(0.93,2)</f>
        <v/>
      </c>
      <c r="CP55" s="3">
        <f>ROUND(529.0,2)</f>
        <v/>
      </c>
      <c r="CQ55" s="3">
        <f>ROUND(16.0,2)</f>
        <v/>
      </c>
      <c r="CR55" s="3">
        <f>ROUND(53.0,2)</f>
        <v/>
      </c>
      <c r="CS55" s="3">
        <f>ROUND(32.0,2)</f>
        <v/>
      </c>
      <c r="CT55" s="3">
        <f>ROUND(17.0,2)</f>
        <v/>
      </c>
      <c r="CU55" s="3">
        <f>ROUND(13.0,2)</f>
        <v/>
      </c>
      <c r="CV55" s="3">
        <f>ROUND(11.0,2)</f>
        <v/>
      </c>
      <c r="CW55" s="4">
        <f>IFERROR((CQ55/CP55),0)</f>
        <v/>
      </c>
      <c r="CX55" s="4">
        <f>IFERROR(((0+CO11+CO12+CO13+CO14+CO15+CO16+CO17+CO19+CO20+CO21+CO22+CO23+CO24+CO25+CO27+CO28+CO29+CO30+CO31+CO32+CO33+CO35+CO36+CO37+CO38+CO39+CO40+CO41+CO43+CO44+CO45+CO46+CO47+CO48+CO49+CO51+CO52+CO53+CO54+CO55)/T2),0)</f>
        <v/>
      </c>
      <c r="CY55" s="5">
        <f>IFERROR(ROUND(CO55/CQ55,2),0)</f>
        <v/>
      </c>
      <c r="CZ55" s="5">
        <f>IFERROR(ROUND(CO55/CR55,2),0)</f>
        <v/>
      </c>
      <c r="DA55" s="2" t="inlineStr">
        <is>
          <t>2023-10-29</t>
        </is>
      </c>
      <c r="DB55" s="5">
        <f>ROUND(0.2,2)</f>
        <v/>
      </c>
      <c r="DC55" s="3">
        <f>ROUND(73.0,2)</f>
        <v/>
      </c>
      <c r="DD55" s="3">
        <f>ROUND(1.0,2)</f>
        <v/>
      </c>
      <c r="DE55" s="3">
        <f>ROUND(7.0,2)</f>
        <v/>
      </c>
      <c r="DF55" s="3">
        <f>ROUND(3.0,2)</f>
        <v/>
      </c>
      <c r="DG55" s="3">
        <f>ROUND(1.0,2)</f>
        <v/>
      </c>
      <c r="DH55" s="3">
        <f>ROUND(0.0,2)</f>
        <v/>
      </c>
      <c r="DI55" s="3">
        <f>ROUND(0.0,2)</f>
        <v/>
      </c>
      <c r="DJ55" s="4">
        <f>IFERROR((DD55/DC55),0)</f>
        <v/>
      </c>
      <c r="DK55" s="4">
        <f>IFERROR(((0+DB11+DB12+DB13+DB14+DB15+DB16+DB17+DB19+DB20+DB21+DB22+DB23+DB24+DB25+DB27+DB28+DB29+DB30+DB31+DB32+DB33+DB35+DB36+DB37+DB38+DB39+DB40+DB41+DB43+DB44+DB45+DB46+DB47+DB48+DB49+DB51+DB52+DB53+DB54+DB55)/T2),0)</f>
        <v/>
      </c>
      <c r="DL55" s="5">
        <f>IFERROR(ROUND(DB55/DD55,2),0)</f>
        <v/>
      </c>
      <c r="DM55" s="5">
        <f>IFERROR(ROUND(DB55/DE55,2),0)</f>
        <v/>
      </c>
      <c r="DN55" s="2" t="inlineStr">
        <is>
          <t>2023-10-29</t>
        </is>
      </c>
      <c r="DO55" s="5">
        <f>ROUND(15.94,2)</f>
        <v/>
      </c>
      <c r="DP55" s="3">
        <f>ROUND(5422.0,2)</f>
        <v/>
      </c>
      <c r="DQ55" s="3">
        <f>ROUND(194.0,2)</f>
        <v/>
      </c>
      <c r="DR55" s="3">
        <f>ROUND(1930.0,2)</f>
        <v/>
      </c>
      <c r="DS55" s="3">
        <f>ROUND(1611.0,2)</f>
        <v/>
      </c>
      <c r="DT55" s="3">
        <f>ROUND(1296.0,2)</f>
        <v/>
      </c>
      <c r="DU55" s="3">
        <f>ROUND(1199.0,2)</f>
        <v/>
      </c>
      <c r="DV55" s="3">
        <f>ROUND(1020.0,2)</f>
        <v/>
      </c>
      <c r="DW55" s="4">
        <f>IFERROR((DQ55/DP55),0)</f>
        <v/>
      </c>
      <c r="DX55" s="4">
        <f>IFERROR(((0+DO11+DO12+DO13+DO14+DO15+DO16+DO17+DO19+DO20+DO21+DO22+DO23+DO24+DO25+DO27+DO28+DO29+DO30+DO31+DO32+DO33+DO35+DO36+DO37+DO38+DO39+DO40+DO41+DO43+DO44+DO45+DO46+DO47+DO48+DO49+DO51+DO52+DO53+DO54+DO55)/T2),0)</f>
        <v/>
      </c>
      <c r="DY55" s="5">
        <f>IFERROR(ROUND(DO55/DQ55,2),0)</f>
        <v/>
      </c>
      <c r="DZ55" s="5">
        <f>IFERROR(ROUND(DO55/DR55,2),0)</f>
        <v/>
      </c>
      <c r="EA55" s="2" t="inlineStr">
        <is>
          <t>2023-10-29</t>
        </is>
      </c>
      <c r="EB55" s="5">
        <f>ROUND(0.09,2)</f>
        <v/>
      </c>
      <c r="EC55" s="3">
        <f>ROUND(54.0,2)</f>
        <v/>
      </c>
      <c r="ED55" s="3">
        <f>ROUND(1.0,2)</f>
        <v/>
      </c>
      <c r="EE55" s="3">
        <f>ROUND(9.0,2)</f>
        <v/>
      </c>
      <c r="EF55" s="3">
        <f>ROUND(3.0,2)</f>
        <v/>
      </c>
      <c r="EG55" s="3">
        <f>ROUND(3.0,2)</f>
        <v/>
      </c>
      <c r="EH55" s="3">
        <f>ROUND(2.0,2)</f>
        <v/>
      </c>
      <c r="EI55" s="3">
        <f>ROUND(2.0,2)</f>
        <v/>
      </c>
      <c r="EJ55" s="4">
        <f>IFERROR((ED55/EC55),0)</f>
        <v/>
      </c>
      <c r="EK55" s="4">
        <f>IFERROR(((0+EB11+EB12+EB13+EB14+EB15+EB16+EB17+EB19+EB20+EB21+EB22+EB23+EB24+EB25+EB27+EB28+EB29+EB30+EB31+EB32+EB33+EB35+EB36+EB37+EB38+EB39+EB40+EB41+EB43+EB44+EB45+EB46+EB47+EB48+EB49+EB51+EB52+EB53+EB54+EB55)/T2),0)</f>
        <v/>
      </c>
      <c r="EL55" s="5">
        <f>IFERROR(ROUND(EB55/ED55,2),0)</f>
        <v/>
      </c>
      <c r="EM55" s="5">
        <f>IFERROR(ROUND(EB55/EE55,2),0)</f>
        <v/>
      </c>
    </row>
    <row r="56">
      <c r="A56" s="6" t="inlineStr">
        <is>
          <t>Total</t>
        </is>
      </c>
      <c r="B56" s="7">
        <f>ROUND(212.41,2)</f>
        <v/>
      </c>
      <c r="C56" s="8">
        <f>ROUND(86384.0,2)</f>
        <v/>
      </c>
      <c r="D56" s="8">
        <f>ROUND(2282.0,2)</f>
        <v/>
      </c>
      <c r="E56" s="8">
        <f>ROUND(21606.0,2)</f>
        <v/>
      </c>
      <c r="F56" s="8">
        <f>ROUND(17861.0,2)</f>
        <v/>
      </c>
      <c r="G56" s="8">
        <f>ROUND(13562.0,2)</f>
        <v/>
      </c>
      <c r="H56" s="8">
        <f>ROUND(12379.0,2)</f>
        <v/>
      </c>
      <c r="I56" s="8">
        <f>ROUND(10591.0,2)</f>
        <v/>
      </c>
      <c r="J56" s="9">
        <f>IFERROR((D56/C56),0)</f>
        <v/>
      </c>
      <c r="K56" s="9">
        <f>IFERROR(((0+B56)/T2),0)</f>
        <v/>
      </c>
      <c r="L56" s="7">
        <f>IFERROR(B56/D56,0)</f>
        <v/>
      </c>
      <c r="M56" s="7">
        <f>IFERROR(ROUND(B56/E56,2),0)</f>
        <v/>
      </c>
      <c r="N56" s="6" t="inlineStr">
        <is>
          <t>Total</t>
        </is>
      </c>
      <c r="O56" s="7">
        <f>ROUND(0.21000000000000002,2)</f>
        <v/>
      </c>
      <c r="P56" s="8">
        <f>ROUND(436.0,2)</f>
        <v/>
      </c>
      <c r="Q56" s="8">
        <f>ROUND(1.0,2)</f>
        <v/>
      </c>
      <c r="R56" s="8">
        <f>ROUND(0.0,2)</f>
        <v/>
      </c>
      <c r="S56" s="8">
        <f>ROUND(0.0,2)</f>
        <v/>
      </c>
      <c r="T56" s="8">
        <f>ROUND(0.0,2)</f>
        <v/>
      </c>
      <c r="U56" s="8">
        <f>ROUND(0.0,2)</f>
        <v/>
      </c>
      <c r="V56" s="8">
        <f>ROUND(0.0,2)</f>
        <v/>
      </c>
      <c r="W56" s="9">
        <f>IFERROR((Q56/P56),0)</f>
        <v/>
      </c>
      <c r="X56" s="9">
        <f>IFERROR(((0+O56)/T2),0)</f>
        <v/>
      </c>
      <c r="Y56" s="7">
        <f>IFERROR(O56/Q56,0)</f>
        <v/>
      </c>
      <c r="Z56" s="7">
        <f>IFERROR(ROUND(O56/R56,2),0)</f>
        <v/>
      </c>
      <c r="AA56" s="6" t="inlineStr">
        <is>
          <t>Total</t>
        </is>
      </c>
      <c r="AB56" s="7">
        <f>ROUND(0.18,2)</f>
        <v/>
      </c>
      <c r="AC56" s="8">
        <f>ROUND(292.0,2)</f>
        <v/>
      </c>
      <c r="AD56" s="8">
        <f>ROUND(1.0,2)</f>
        <v/>
      </c>
      <c r="AE56" s="8">
        <f>ROUND(0.0,2)</f>
        <v/>
      </c>
      <c r="AF56" s="8">
        <f>ROUND(0.0,2)</f>
        <v/>
      </c>
      <c r="AG56" s="8">
        <f>ROUND(0.0,2)</f>
        <v/>
      </c>
      <c r="AH56" s="8">
        <f>ROUND(0.0,2)</f>
        <v/>
      </c>
      <c r="AI56" s="8">
        <f>ROUND(0.0,2)</f>
        <v/>
      </c>
      <c r="AJ56" s="9">
        <f>IFERROR((AD56/AC56),0)</f>
        <v/>
      </c>
      <c r="AK56" s="9">
        <f>IFERROR(((0+AB56)/T2),0)</f>
        <v/>
      </c>
      <c r="AL56" s="7">
        <f>IFERROR(AB56/AD56,0)</f>
        <v/>
      </c>
      <c r="AM56" s="7">
        <f>IFERROR(ROUND(AB56/AE56,2),0)</f>
        <v/>
      </c>
      <c r="AN56" s="6" t="inlineStr">
        <is>
          <t>Total</t>
        </is>
      </c>
      <c r="AO56" s="7">
        <f>ROUND(1.35,2)</f>
        <v/>
      </c>
      <c r="AP56" s="8">
        <f>ROUND(904.0,2)</f>
        <v/>
      </c>
      <c r="AQ56" s="8">
        <f>ROUND(5.0,2)</f>
        <v/>
      </c>
      <c r="AR56" s="8">
        <f>ROUND(0.0,2)</f>
        <v/>
      </c>
      <c r="AS56" s="8">
        <f>ROUND(0.0,2)</f>
        <v/>
      </c>
      <c r="AT56" s="8">
        <f>ROUND(0.0,2)</f>
        <v/>
      </c>
      <c r="AU56" s="8">
        <f>ROUND(0.0,2)</f>
        <v/>
      </c>
      <c r="AV56" s="8">
        <f>ROUND(0.0,2)</f>
        <v/>
      </c>
      <c r="AW56" s="9">
        <f>IFERROR((AQ56/AP56),0)</f>
        <v/>
      </c>
      <c r="AX56" s="9">
        <f>IFERROR(((0+AO56)/T2),0)</f>
        <v/>
      </c>
      <c r="AY56" s="7">
        <f>IFERROR(AO56/AQ56,0)</f>
        <v/>
      </c>
      <c r="AZ56" s="7">
        <f>IFERROR(ROUND(AO56/AR56,2),0)</f>
        <v/>
      </c>
      <c r="BA56" s="6" t="inlineStr">
        <is>
          <t>Total</t>
        </is>
      </c>
      <c r="BB56" s="7">
        <f>ROUND(21.96,2)</f>
        <v/>
      </c>
      <c r="BC56" s="8">
        <f>ROUND(13354.0,2)</f>
        <v/>
      </c>
      <c r="BD56" s="8">
        <f>ROUND(130.0,2)</f>
        <v/>
      </c>
      <c r="BE56" s="8">
        <f>ROUND(0.0,2)</f>
        <v/>
      </c>
      <c r="BF56" s="8">
        <f>ROUND(0.0,2)</f>
        <v/>
      </c>
      <c r="BG56" s="8">
        <f>ROUND(0.0,2)</f>
        <v/>
      </c>
      <c r="BH56" s="8">
        <f>ROUND(0.0,2)</f>
        <v/>
      </c>
      <c r="BI56" s="8">
        <f>ROUND(0.0,2)</f>
        <v/>
      </c>
      <c r="BJ56" s="9">
        <f>IFERROR((BD56/BC56),0)</f>
        <v/>
      </c>
      <c r="BK56" s="9">
        <f>IFERROR(((0+BB56)/T2),0)</f>
        <v/>
      </c>
      <c r="BL56" s="7">
        <f>IFERROR(BB56/BD56,0)</f>
        <v/>
      </c>
      <c r="BM56" s="7">
        <f>IFERROR(ROUND(BB56/BE56,2),0)</f>
        <v/>
      </c>
      <c r="BN56" s="6" t="inlineStr">
        <is>
          <t>Total</t>
        </is>
      </c>
      <c r="BO56" s="7">
        <f>ROUND(11.75,2)</f>
        <v/>
      </c>
      <c r="BP56" s="8">
        <f>ROUND(5428.0,2)</f>
        <v/>
      </c>
      <c r="BQ56" s="8">
        <f>ROUND(17.0,2)</f>
        <v/>
      </c>
      <c r="BR56" s="8">
        <f>ROUND(0.0,2)</f>
        <v/>
      </c>
      <c r="BS56" s="8">
        <f>ROUND(0.0,2)</f>
        <v/>
      </c>
      <c r="BT56" s="8">
        <f>ROUND(0.0,2)</f>
        <v/>
      </c>
      <c r="BU56" s="8">
        <f>ROUND(0.0,2)</f>
        <v/>
      </c>
      <c r="BV56" s="8">
        <f>ROUND(0.0,2)</f>
        <v/>
      </c>
      <c r="BW56" s="9">
        <f>IFERROR((BQ56/BP56),0)</f>
        <v/>
      </c>
      <c r="BX56" s="9">
        <f>IFERROR(((0+BO56)/T2),0)</f>
        <v/>
      </c>
      <c r="BY56" s="7">
        <f>IFERROR(BO56/BQ56,0)</f>
        <v/>
      </c>
      <c r="BZ56" s="7">
        <f>IFERROR(ROUND(BO56/BR56,2),0)</f>
        <v/>
      </c>
      <c r="CA56" s="6" t="inlineStr">
        <is>
          <t>Total</t>
        </is>
      </c>
      <c r="CB56" s="7">
        <f>ROUND(0.04,2)</f>
        <v/>
      </c>
      <c r="CC56" s="8">
        <f>ROUND(76.0,2)</f>
        <v/>
      </c>
      <c r="CD56" s="8">
        <f>ROUND(1.0,2)</f>
        <v/>
      </c>
      <c r="CE56" s="8">
        <f>ROUND(0.0,2)</f>
        <v/>
      </c>
      <c r="CF56" s="8">
        <f>ROUND(0.0,2)</f>
        <v/>
      </c>
      <c r="CG56" s="8">
        <f>ROUND(0.0,2)</f>
        <v/>
      </c>
      <c r="CH56" s="8">
        <f>ROUND(0.0,2)</f>
        <v/>
      </c>
      <c r="CI56" s="8">
        <f>ROUND(0.0,2)</f>
        <v/>
      </c>
      <c r="CJ56" s="9">
        <f>IFERROR((CD56/CC56),0)</f>
        <v/>
      </c>
      <c r="CK56" s="9">
        <f>IFERROR(((0+CB56)/T2),0)</f>
        <v/>
      </c>
      <c r="CL56" s="7">
        <f>IFERROR(CB56/CD56,0)</f>
        <v/>
      </c>
      <c r="CM56" s="7">
        <f>IFERROR(ROUND(CB56/CE56,2),0)</f>
        <v/>
      </c>
      <c r="CN56" s="6" t="inlineStr">
        <is>
          <t>Total</t>
        </is>
      </c>
      <c r="CO56" s="7">
        <f>ROUND(11.54,2)</f>
        <v/>
      </c>
      <c r="CP56" s="8">
        <f>ROUND(6553.0,2)</f>
        <v/>
      </c>
      <c r="CQ56" s="8">
        <f>ROUND(127.0,2)</f>
        <v/>
      </c>
      <c r="CR56" s="8">
        <f>ROUND(773.0,2)</f>
        <v/>
      </c>
      <c r="CS56" s="8">
        <f>ROUND(507.0,2)</f>
        <v/>
      </c>
      <c r="CT56" s="8">
        <f>ROUND(261.0,2)</f>
        <v/>
      </c>
      <c r="CU56" s="8">
        <f>ROUND(205.0,2)</f>
        <v/>
      </c>
      <c r="CV56" s="8">
        <f>ROUND(180.0,2)</f>
        <v/>
      </c>
      <c r="CW56" s="9">
        <f>IFERROR((CQ56/CP56),0)</f>
        <v/>
      </c>
      <c r="CX56" s="9">
        <f>IFERROR(((0+CO56)/T2),0)</f>
        <v/>
      </c>
      <c r="CY56" s="7">
        <f>IFERROR(CO56/CQ56,0)</f>
        <v/>
      </c>
      <c r="CZ56" s="7">
        <f>IFERROR(ROUND(CO56/CR56,2),0)</f>
        <v/>
      </c>
      <c r="DA56" s="6" t="inlineStr">
        <is>
          <t>Total</t>
        </is>
      </c>
      <c r="DB56" s="7">
        <f>ROUND(3.66,2)</f>
        <v/>
      </c>
      <c r="DC56" s="8">
        <f>ROUND(1990.0,2)</f>
        <v/>
      </c>
      <c r="DD56" s="8">
        <f>ROUND(36.0,2)</f>
        <v/>
      </c>
      <c r="DE56" s="8">
        <f>ROUND(302.0,2)</f>
        <v/>
      </c>
      <c r="DF56" s="8">
        <f>ROUND(172.0,2)</f>
        <v/>
      </c>
      <c r="DG56" s="8">
        <f>ROUND(89.0,2)</f>
        <v/>
      </c>
      <c r="DH56" s="8">
        <f>ROUND(75.0,2)</f>
        <v/>
      </c>
      <c r="DI56" s="8">
        <f>ROUND(60.0,2)</f>
        <v/>
      </c>
      <c r="DJ56" s="9">
        <f>IFERROR((DD56/DC56),0)</f>
        <v/>
      </c>
      <c r="DK56" s="9">
        <f>IFERROR(((0+DB56)/T2),0)</f>
        <v/>
      </c>
      <c r="DL56" s="7">
        <f>IFERROR(DB56/DD56,0)</f>
        <v/>
      </c>
      <c r="DM56" s="7">
        <f>IFERROR(ROUND(DB56/DE56,2),0)</f>
        <v/>
      </c>
      <c r="DN56" s="6" t="inlineStr">
        <is>
          <t>Total</t>
        </is>
      </c>
      <c r="DO56" s="7">
        <f>ROUND(159.74,2)</f>
        <v/>
      </c>
      <c r="DP56" s="8">
        <f>ROUND(56269.0,2)</f>
        <v/>
      </c>
      <c r="DQ56" s="8">
        <f>ROUND(1940.0,2)</f>
        <v/>
      </c>
      <c r="DR56" s="8">
        <f>ROUND(20397.0,2)</f>
        <v/>
      </c>
      <c r="DS56" s="8">
        <f>ROUND(17120.0,2)</f>
        <v/>
      </c>
      <c r="DT56" s="8">
        <f>ROUND(13183.0,2)</f>
        <v/>
      </c>
      <c r="DU56" s="8">
        <f>ROUND(12074.0,2)</f>
        <v/>
      </c>
      <c r="DV56" s="8">
        <f>ROUND(10330.0,2)</f>
        <v/>
      </c>
      <c r="DW56" s="9">
        <f>IFERROR((DQ56/DP56),0)</f>
        <v/>
      </c>
      <c r="DX56" s="9">
        <f>IFERROR(((0+DO56)/T2),0)</f>
        <v/>
      </c>
      <c r="DY56" s="7">
        <f>IFERROR(DO56/DQ56,0)</f>
        <v/>
      </c>
      <c r="DZ56" s="7">
        <f>IFERROR(ROUND(DO56/DR56,2),0)</f>
        <v/>
      </c>
      <c r="EA56" s="6" t="inlineStr">
        <is>
          <t>Total</t>
        </is>
      </c>
      <c r="EB56" s="7">
        <f>ROUND(1.98,2)</f>
        <v/>
      </c>
      <c r="EC56" s="8">
        <f>ROUND(1082.0,2)</f>
        <v/>
      </c>
      <c r="ED56" s="8">
        <f>ROUND(24.0,2)</f>
        <v/>
      </c>
      <c r="EE56" s="8">
        <f>ROUND(134.0,2)</f>
        <v/>
      </c>
      <c r="EF56" s="8">
        <f>ROUND(62.0,2)</f>
        <v/>
      </c>
      <c r="EG56" s="8">
        <f>ROUND(29.0,2)</f>
        <v/>
      </c>
      <c r="EH56" s="8">
        <f>ROUND(25.0,2)</f>
        <v/>
      </c>
      <c r="EI56" s="8">
        <f>ROUND(21.0,2)</f>
        <v/>
      </c>
      <c r="EJ56" s="9">
        <f>IFERROR((ED56/EC56),0)</f>
        <v/>
      </c>
      <c r="EK56" s="9">
        <f>IFERROR(((0+EB56)/T2),0)</f>
        <v/>
      </c>
      <c r="EL56" s="7">
        <f>IFERROR(EB56/ED56,0)</f>
        <v/>
      </c>
      <c r="EM56" s="7">
        <f>IFERROR(ROUND(EB56/EE56,2),0)</f>
        <v/>
      </c>
    </row>
  </sheetData>
  <mergeCells count="10">
    <mergeCell ref="DN9:DZ9"/>
    <mergeCell ref="AA9:AM9"/>
    <mergeCell ref="N9:Z9"/>
    <mergeCell ref="BA9:BM9"/>
    <mergeCell ref="CA9:CM9"/>
    <mergeCell ref="BN9:BZ9"/>
    <mergeCell ref="AN9:AZ9"/>
    <mergeCell ref="EA9:EM9"/>
    <mergeCell ref="CN9:CZ9"/>
    <mergeCell ref="DA9:DM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M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ROUND(0.0,2)</f>
        <v/>
      </c>
      <c r="C2" s="3">
        <f>ROUND(0.0,2)</f>
        <v/>
      </c>
      <c r="D2" s="3">
        <f>ROUND(0.0,2)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ROUND(0.0,2)</f>
        <v/>
      </c>
      <c r="C3" s="3">
        <f>ROUND(0.0,2)</f>
        <v/>
      </c>
      <c r="D3" s="3">
        <f>ROUND(0.0,2)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ROUND(0.0,2)</f>
        <v/>
      </c>
      <c r="C4" s="3">
        <f>ROUND(0.0,2)</f>
        <v/>
      </c>
      <c r="D4" s="3">
        <f>ROUND(0.0,2)</f>
        <v/>
      </c>
      <c r="E4" s="3">
        <f>ROUND(0.0,2)</f>
        <v/>
      </c>
      <c r="F4" s="3">
        <f>ROUND(0.0,2)</f>
        <v/>
      </c>
      <c r="G4" s="3">
        <f>ROUND(0.0,2)</f>
        <v/>
      </c>
      <c r="H4" s="3">
        <f>ROUND(0.0,2)</f>
        <v/>
      </c>
      <c r="I4" s="3">
        <f>ROUND(0.0,2)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ROUND(0.0,2)</f>
        <v/>
      </c>
      <c r="C5" s="3">
        <f>ROUND(0.0,2)</f>
        <v/>
      </c>
      <c r="D5" s="3">
        <f>ROUND(0.0,2)</f>
        <v/>
      </c>
      <c r="E5" s="3">
        <f>ROUND(0.0,2)</f>
        <v/>
      </c>
      <c r="F5" s="3">
        <f>ROUND(0.0,2)</f>
        <v/>
      </c>
      <c r="G5" s="3">
        <f>ROUND(0.0,2)</f>
        <v/>
      </c>
      <c r="H5" s="3">
        <f>ROUND(0.0,2)</f>
        <v/>
      </c>
      <c r="I5" s="3">
        <f>ROUND(0.0,2)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ROUND(369.21,2)</f>
        <v/>
      </c>
      <c r="C6" s="3">
        <f>ROUND(738013.0,2)</f>
        <v/>
      </c>
      <c r="D6" s="3">
        <f>ROUND(8449.0,2)</f>
        <v/>
      </c>
      <c r="E6" s="3">
        <f>ROUND(121706.0,2)</f>
        <v/>
      </c>
      <c r="F6" s="3">
        <f>ROUND(66693.0,2)</f>
        <v/>
      </c>
      <c r="G6" s="3">
        <f>ROUND(49039.0,2)</f>
        <v/>
      </c>
      <c r="H6" s="3">
        <f>ROUND(43747.0,2)</f>
        <v/>
      </c>
      <c r="I6" s="3">
        <f>ROUND(37249.0,2)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2" t="inlineStr">
        <is>
          <t>6</t>
        </is>
      </c>
      <c r="B7" s="3">
        <f>ROUND(487.72,2)</f>
        <v/>
      </c>
      <c r="C7" s="3">
        <f>ROUND(791812.0,2)</f>
        <v/>
      </c>
      <c r="D7" s="3">
        <f>ROUND(8487.0,2)</f>
        <v/>
      </c>
      <c r="E7" s="3">
        <f>ROUND(105853.0,2)</f>
        <v/>
      </c>
      <c r="F7" s="3">
        <f>ROUND(56024.0,2)</f>
        <v/>
      </c>
      <c r="G7" s="3">
        <f>ROUND(40316.0,2)</f>
        <v/>
      </c>
      <c r="H7" s="3">
        <f>ROUND(35519.0,2)</f>
        <v/>
      </c>
      <c r="I7" s="3">
        <f>ROUND(30180.0,2)</f>
        <v/>
      </c>
      <c r="J7" s="4">
        <f>IFERROR((D7/C7),0)</f>
        <v/>
      </c>
      <c r="K7" s="4">
        <f>IFERROR(((0+B2+B3+B4+B5+B6+B7)/T2),0)</f>
        <v/>
      </c>
      <c r="L7" s="5">
        <f>IFERROR(ROUND(B7/D7,2),0)</f>
        <v/>
      </c>
      <c r="M7" s="5">
        <f>IFERROR(ROUND(B7/E7,2),0)</f>
        <v/>
      </c>
    </row>
    <row r="8">
      <c r="A8" s="6" t="inlineStr">
        <is>
          <t>Total</t>
        </is>
      </c>
      <c r="B8" s="7">
        <f>ROUND(856.9300000000001,2)</f>
        <v/>
      </c>
      <c r="C8" s="8">
        <f>ROUND(1529825.0,2)</f>
        <v/>
      </c>
      <c r="D8" s="8">
        <f>ROUND(16936.0,2)</f>
        <v/>
      </c>
      <c r="E8" s="8">
        <f>ROUND(227559.0,2)</f>
        <v/>
      </c>
      <c r="F8" s="8">
        <f>ROUND(122717.0,2)</f>
        <v/>
      </c>
      <c r="G8" s="8">
        <f>ROUND(89355.0,2)</f>
        <v/>
      </c>
      <c r="H8" s="8">
        <f>ROUND(79266.0,2)</f>
        <v/>
      </c>
      <c r="I8" s="8">
        <f>ROUND(67429.0,2)</f>
        <v/>
      </c>
      <c r="J8" s="9">
        <f>IFERROR((D8/C8),0)</f>
        <v/>
      </c>
      <c r="K8" s="9">
        <f>IFERROR(((0+B8)/T2),0)</f>
        <v/>
      </c>
      <c r="L8" s="7">
        <f>IFERROR(B8/D8,0)</f>
        <v/>
      </c>
      <c r="M8" s="7">
        <f>IFERROR(ROUND(B8/E8,2),0)</f>
        <v/>
      </c>
      <c r="N8" s="1" t="inlineStr">
        <is>
          <t>Video</t>
        </is>
      </c>
      <c r="AA8" s="1" t="inlineStr">
        <is>
          <t>Video</t>
        </is>
      </c>
      <c r="AN8" s="1" t="inlineStr">
        <is>
          <t>Video</t>
        </is>
      </c>
      <c r="BA8" s="1" t="inlineStr">
        <is>
          <t>Video</t>
        </is>
      </c>
    </row>
    <row r="9">
      <c r="N9" s="1" t="inlineStr">
        <is>
          <t xml:space="preserve">DW (EN) </t>
        </is>
      </c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1" t="n"/>
      <c r="AA9" s="1" t="inlineStr">
        <is>
          <t xml:space="preserve">Knock (EN) </t>
        </is>
      </c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1" t="n"/>
      <c r="AN9" s="1" t="inlineStr">
        <is>
          <t xml:space="preserve">Oled_VO (EN) </t>
        </is>
      </c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1" t="n"/>
      <c r="BA9" s="1" t="inlineStr">
        <is>
          <t xml:space="preserve">RAC_ThinQ (EN) </t>
        </is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 t="n"/>
      <c r="BK9" s="10" t="n"/>
      <c r="BL9" s="10" t="n"/>
      <c r="BM9" s="11" t="n"/>
    </row>
    <row r="10">
      <c r="A10" s="1" t="inlineStr">
        <is>
          <t>date</t>
        </is>
      </c>
      <c r="B10" s="1" t="inlineStr">
        <is>
          <t>budget</t>
        </is>
      </c>
      <c r="C10" s="1" t="inlineStr">
        <is>
          <t>impressions</t>
        </is>
      </c>
      <c r="D10" s="1" t="inlineStr">
        <is>
          <t>clicks</t>
        </is>
      </c>
      <c r="E10" s="1" t="inlineStr">
        <is>
          <t>view</t>
        </is>
      </c>
      <c r="F10" s="1" t="inlineStr">
        <is>
          <t>percent_25</t>
        </is>
      </c>
      <c r="G10" s="1" t="inlineStr">
        <is>
          <t>percent_50</t>
        </is>
      </c>
      <c r="H10" s="1" t="inlineStr">
        <is>
          <t>percent_75</t>
        </is>
      </c>
      <c r="I10" s="1" t="inlineStr">
        <is>
          <t>percent_100</t>
        </is>
      </c>
      <c r="J10" s="1" t="inlineStr">
        <is>
          <t>CTR</t>
        </is>
      </c>
      <c r="K10" s="1" t="inlineStr">
        <is>
          <t>Spent Budget %</t>
        </is>
      </c>
      <c r="L10" s="1" t="inlineStr">
        <is>
          <t>CPC</t>
        </is>
      </c>
      <c r="M10" s="1" t="inlineStr">
        <is>
          <t>CPV</t>
        </is>
      </c>
      <c r="N10" s="1" t="inlineStr">
        <is>
          <t>date</t>
        </is>
      </c>
      <c r="O10" s="1" t="inlineStr">
        <is>
          <t>budget</t>
        </is>
      </c>
      <c r="P10" s="1" t="inlineStr">
        <is>
          <t>impressions</t>
        </is>
      </c>
      <c r="Q10" s="1" t="inlineStr">
        <is>
          <t>clicks</t>
        </is>
      </c>
      <c r="R10" s="1" t="inlineStr">
        <is>
          <t>view</t>
        </is>
      </c>
      <c r="S10" s="1" t="inlineStr">
        <is>
          <t>percent_25</t>
        </is>
      </c>
      <c r="T10" s="1" t="inlineStr">
        <is>
          <t>percent_50</t>
        </is>
      </c>
      <c r="U10" s="1" t="inlineStr">
        <is>
          <t>percent_75</t>
        </is>
      </c>
      <c r="V10" s="1" t="inlineStr">
        <is>
          <t>percent_100</t>
        </is>
      </c>
      <c r="W10" s="1" t="inlineStr">
        <is>
          <t>CTR</t>
        </is>
      </c>
      <c r="X10" s="1" t="inlineStr">
        <is>
          <t>Spent Budget %</t>
        </is>
      </c>
      <c r="Y10" s="1" t="inlineStr">
        <is>
          <t>CPC</t>
        </is>
      </c>
      <c r="Z10" s="1" t="inlineStr">
        <is>
          <t>CPV</t>
        </is>
      </c>
      <c r="AA10" s="1" t="inlineStr">
        <is>
          <t>date</t>
        </is>
      </c>
      <c r="AB10" s="1" t="inlineStr">
        <is>
          <t>budget</t>
        </is>
      </c>
      <c r="AC10" s="1" t="inlineStr">
        <is>
          <t>impressions</t>
        </is>
      </c>
      <c r="AD10" s="1" t="inlineStr">
        <is>
          <t>clicks</t>
        </is>
      </c>
      <c r="AE10" s="1" t="inlineStr">
        <is>
          <t>view</t>
        </is>
      </c>
      <c r="AF10" s="1" t="inlineStr">
        <is>
          <t>percent_25</t>
        </is>
      </c>
      <c r="AG10" s="1" t="inlineStr">
        <is>
          <t>percent_50</t>
        </is>
      </c>
      <c r="AH10" s="1" t="inlineStr">
        <is>
          <t>percent_75</t>
        </is>
      </c>
      <c r="AI10" s="1" t="inlineStr">
        <is>
          <t>percent_100</t>
        </is>
      </c>
      <c r="AJ10" s="1" t="inlineStr">
        <is>
          <t>CTR</t>
        </is>
      </c>
      <c r="AK10" s="1" t="inlineStr">
        <is>
          <t>Spent Budget %</t>
        </is>
      </c>
      <c r="AL10" s="1" t="inlineStr">
        <is>
          <t>CPC</t>
        </is>
      </c>
      <c r="AM10" s="1" t="inlineStr">
        <is>
          <t>CPV</t>
        </is>
      </c>
      <c r="AN10" s="1" t="inlineStr">
        <is>
          <t>date</t>
        </is>
      </c>
      <c r="AO10" s="1" t="inlineStr">
        <is>
          <t>budget</t>
        </is>
      </c>
      <c r="AP10" s="1" t="inlineStr">
        <is>
          <t>impressions</t>
        </is>
      </c>
      <c r="AQ10" s="1" t="inlineStr">
        <is>
          <t>clicks</t>
        </is>
      </c>
      <c r="AR10" s="1" t="inlineStr">
        <is>
          <t>view</t>
        </is>
      </c>
      <c r="AS10" s="1" t="inlineStr">
        <is>
          <t>percent_25</t>
        </is>
      </c>
      <c r="AT10" s="1" t="inlineStr">
        <is>
          <t>percent_50</t>
        </is>
      </c>
      <c r="AU10" s="1" t="inlineStr">
        <is>
          <t>percent_75</t>
        </is>
      </c>
      <c r="AV10" s="1" t="inlineStr">
        <is>
          <t>percent_100</t>
        </is>
      </c>
      <c r="AW10" s="1" t="inlineStr">
        <is>
          <t>CTR</t>
        </is>
      </c>
      <c r="AX10" s="1" t="inlineStr">
        <is>
          <t>Spent Budget %</t>
        </is>
      </c>
      <c r="AY10" s="1" t="inlineStr">
        <is>
          <t>CPC</t>
        </is>
      </c>
      <c r="AZ10" s="1" t="inlineStr">
        <is>
          <t>CPV</t>
        </is>
      </c>
      <c r="BA10" s="1" t="inlineStr">
        <is>
          <t>date</t>
        </is>
      </c>
      <c r="BB10" s="1" t="inlineStr">
        <is>
          <t>budget</t>
        </is>
      </c>
      <c r="BC10" s="1" t="inlineStr">
        <is>
          <t>impressions</t>
        </is>
      </c>
      <c r="BD10" s="1" t="inlineStr">
        <is>
          <t>clicks</t>
        </is>
      </c>
      <c r="BE10" s="1" t="inlineStr">
        <is>
          <t>view</t>
        </is>
      </c>
      <c r="BF10" s="1" t="inlineStr">
        <is>
          <t>percent_25</t>
        </is>
      </c>
      <c r="BG10" s="1" t="inlineStr">
        <is>
          <t>percent_50</t>
        </is>
      </c>
      <c r="BH10" s="1" t="inlineStr">
        <is>
          <t>percent_75</t>
        </is>
      </c>
      <c r="BI10" s="1" t="inlineStr">
        <is>
          <t>percent_100</t>
        </is>
      </c>
      <c r="BJ10" s="1" t="inlineStr">
        <is>
          <t>CTR</t>
        </is>
      </c>
      <c r="BK10" s="1" t="inlineStr">
        <is>
          <t>Spent Budget %</t>
        </is>
      </c>
      <c r="BL10" s="1" t="inlineStr">
        <is>
          <t>CPC</t>
        </is>
      </c>
      <c r="BM10" s="1" t="inlineStr">
        <is>
          <t>CPV</t>
        </is>
      </c>
    </row>
    <row r="11">
      <c r="A11" s="2" t="inlineStr">
        <is>
          <t>2023-09-20</t>
        </is>
      </c>
      <c r="B11" s="5">
        <f>ROUND(0.0,2)</f>
        <v/>
      </c>
      <c r="C11" s="3">
        <f>ROUND(0.0,2)</f>
        <v/>
      </c>
      <c r="D11" s="3">
        <f>ROUND(0.0,2)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2023-09-20</t>
        </is>
      </c>
      <c r="O11" s="5">
        <f>ROUND(0.0,2)</f>
        <v/>
      </c>
      <c r="P11" s="3">
        <f>ROUND(0.0,2)</f>
        <v/>
      </c>
      <c r="Q11" s="3">
        <f>ROUND(0.0,2)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2023-09-20</t>
        </is>
      </c>
      <c r="AB11" s="5">
        <f>ROUND(0.0,2)</f>
        <v/>
      </c>
      <c r="AC11" s="3">
        <f>ROUND(0.0,2)</f>
        <v/>
      </c>
      <c r="AD11" s="3">
        <f>ROUND(0.0,2)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2023-09-20</t>
        </is>
      </c>
      <c r="AO11" s="5">
        <f>ROUND(0.0,2)</f>
        <v/>
      </c>
      <c r="AP11" s="3">
        <f>ROUND(0.0,2)</f>
        <v/>
      </c>
      <c r="AQ11" s="3">
        <f>ROUND(0.0,2)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2023-09-20</t>
        </is>
      </c>
      <c r="BB11" s="5">
        <f>ROUND(0.0,2)</f>
        <v/>
      </c>
      <c r="BC11" s="3">
        <f>ROUND(0.0,2)</f>
        <v/>
      </c>
      <c r="BD11" s="3">
        <f>ROUND(0.0,2)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IFERROR(((0+BB11)/T2),0)</f>
        <v/>
      </c>
      <c r="BL11" s="5">
        <f>IFERROR(ROUND(BB11/BD11,2),0)</f>
        <v/>
      </c>
      <c r="BM11" s="5">
        <f>IFERROR(ROUND(BB11/BE11,2),0)</f>
        <v/>
      </c>
    </row>
    <row r="12">
      <c r="A12" s="2" t="inlineStr">
        <is>
          <t>2023-09-21</t>
        </is>
      </c>
      <c r="B12" s="5">
        <f>ROUND(0.0,2)</f>
        <v/>
      </c>
      <c r="C12" s="3">
        <f>ROUND(0.0,2)</f>
        <v/>
      </c>
      <c r="D12" s="3">
        <f>ROUND(0.0,2)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2023-09-21</t>
        </is>
      </c>
      <c r="O12" s="5">
        <f>ROUND(0.0,2)</f>
        <v/>
      </c>
      <c r="P12" s="3">
        <f>ROUND(0.0,2)</f>
        <v/>
      </c>
      <c r="Q12" s="3">
        <f>ROUND(0.0,2)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2023-09-21</t>
        </is>
      </c>
      <c r="AB12" s="5">
        <f>ROUND(0.0,2)</f>
        <v/>
      </c>
      <c r="AC12" s="3">
        <f>ROUND(0.0,2)</f>
        <v/>
      </c>
      <c r="AD12" s="3">
        <f>ROUND(0.0,2)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2023-09-21</t>
        </is>
      </c>
      <c r="AO12" s="5">
        <f>ROUND(0.0,2)</f>
        <v/>
      </c>
      <c r="AP12" s="3">
        <f>ROUND(0.0,2)</f>
        <v/>
      </c>
      <c r="AQ12" s="3">
        <f>ROUND(0.0,2)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2023-09-21</t>
        </is>
      </c>
      <c r="BB12" s="5">
        <f>ROUND(0.0,2)</f>
        <v/>
      </c>
      <c r="BC12" s="3">
        <f>ROUND(0.0,2)</f>
        <v/>
      </c>
      <c r="BD12" s="3">
        <f>ROUND(0.0,2)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IFERROR(((0+BB11+BB12)/T2),0)</f>
        <v/>
      </c>
      <c r="BL12" s="5">
        <f>IFERROR(ROUND(BB12/BD12,2),0)</f>
        <v/>
      </c>
      <c r="BM12" s="5">
        <f>IFERROR(ROUND(BB12/BE12,2),0)</f>
        <v/>
      </c>
    </row>
    <row r="13">
      <c r="A13" s="2" t="inlineStr">
        <is>
          <t>2023-09-22</t>
        </is>
      </c>
      <c r="B13" s="5">
        <f>ROUND(0.0,2)</f>
        <v/>
      </c>
      <c r="C13" s="3">
        <f>ROUND(0.0,2)</f>
        <v/>
      </c>
      <c r="D13" s="3">
        <f>ROUND(0.0,2)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2023-09-22</t>
        </is>
      </c>
      <c r="O13" s="5">
        <f>ROUND(0.0,2)</f>
        <v/>
      </c>
      <c r="P13" s="3">
        <f>ROUND(0.0,2)</f>
        <v/>
      </c>
      <c r="Q13" s="3">
        <f>ROUND(0.0,2)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2023-09-22</t>
        </is>
      </c>
      <c r="AB13" s="5">
        <f>ROUND(0.0,2)</f>
        <v/>
      </c>
      <c r="AC13" s="3">
        <f>ROUND(0.0,2)</f>
        <v/>
      </c>
      <c r="AD13" s="3">
        <f>ROUND(0.0,2)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2023-09-22</t>
        </is>
      </c>
      <c r="AO13" s="5">
        <f>ROUND(0.0,2)</f>
        <v/>
      </c>
      <c r="AP13" s="3">
        <f>ROUND(0.0,2)</f>
        <v/>
      </c>
      <c r="AQ13" s="3">
        <f>ROUND(0.0,2)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2023-09-22</t>
        </is>
      </c>
      <c r="BB13" s="5">
        <f>ROUND(0.0,2)</f>
        <v/>
      </c>
      <c r="BC13" s="3">
        <f>ROUND(0.0,2)</f>
        <v/>
      </c>
      <c r="BD13" s="3">
        <f>ROUND(0.0,2)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IFERROR(((0+BB11+BB12+BB13)/T2),0)</f>
        <v/>
      </c>
      <c r="BL13" s="5">
        <f>IFERROR(ROUND(BB13/BD13,2),0)</f>
        <v/>
      </c>
      <c r="BM13" s="5">
        <f>IFERROR(ROUND(BB13/BE13,2),0)</f>
        <v/>
      </c>
    </row>
    <row r="14">
      <c r="A14" s="2" t="inlineStr">
        <is>
          <t>2023-09-23</t>
        </is>
      </c>
      <c r="B14" s="5">
        <f>ROUND(0.0,2)</f>
        <v/>
      </c>
      <c r="C14" s="3">
        <f>ROUND(0.0,2)</f>
        <v/>
      </c>
      <c r="D14" s="3">
        <f>ROUND(0.0,2)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2023-09-23</t>
        </is>
      </c>
      <c r="O14" s="5">
        <f>ROUND(0.0,2)</f>
        <v/>
      </c>
      <c r="P14" s="3">
        <f>ROUND(0.0,2)</f>
        <v/>
      </c>
      <c r="Q14" s="3">
        <f>ROUND(0.0,2)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2023-09-23</t>
        </is>
      </c>
      <c r="AB14" s="5">
        <f>ROUND(0.0,2)</f>
        <v/>
      </c>
      <c r="AC14" s="3">
        <f>ROUND(0.0,2)</f>
        <v/>
      </c>
      <c r="AD14" s="3">
        <f>ROUND(0.0,2)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2023-09-23</t>
        </is>
      </c>
      <c r="AO14" s="5">
        <f>ROUND(0.0,2)</f>
        <v/>
      </c>
      <c r="AP14" s="3">
        <f>ROUND(0.0,2)</f>
        <v/>
      </c>
      <c r="AQ14" s="3">
        <f>ROUND(0.0,2)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2023-09-23</t>
        </is>
      </c>
      <c r="BB14" s="5">
        <f>ROUND(0.0,2)</f>
        <v/>
      </c>
      <c r="BC14" s="3">
        <f>ROUND(0.0,2)</f>
        <v/>
      </c>
      <c r="BD14" s="3">
        <f>ROUND(0.0,2)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IFERROR(((0+BB11+BB12+BB13+BB14)/T2),0)</f>
        <v/>
      </c>
      <c r="BL14" s="5">
        <f>IFERROR(ROUND(BB14/BD14,2),0)</f>
        <v/>
      </c>
      <c r="BM14" s="5">
        <f>IFERROR(ROUND(BB14/BE14,2),0)</f>
        <v/>
      </c>
    </row>
    <row r="15">
      <c r="A15" s="2" t="inlineStr">
        <is>
          <t>2023-09-24</t>
        </is>
      </c>
      <c r="B15" s="5">
        <f>ROUND(0.0,2)</f>
        <v/>
      </c>
      <c r="C15" s="3">
        <f>ROUND(0.0,2)</f>
        <v/>
      </c>
      <c r="D15" s="3">
        <f>ROUND(0.0,2)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2023-09-24</t>
        </is>
      </c>
      <c r="O15" s="5">
        <f>ROUND(0.0,2)</f>
        <v/>
      </c>
      <c r="P15" s="3">
        <f>ROUND(0.0,2)</f>
        <v/>
      </c>
      <c r="Q15" s="3">
        <f>ROUND(0.0,2)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2023-09-24</t>
        </is>
      </c>
      <c r="AB15" s="5">
        <f>ROUND(0.0,2)</f>
        <v/>
      </c>
      <c r="AC15" s="3">
        <f>ROUND(0.0,2)</f>
        <v/>
      </c>
      <c r="AD15" s="3">
        <f>ROUND(0.0,2)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2023-09-24</t>
        </is>
      </c>
      <c r="AO15" s="5">
        <f>ROUND(0.0,2)</f>
        <v/>
      </c>
      <c r="AP15" s="3">
        <f>ROUND(0.0,2)</f>
        <v/>
      </c>
      <c r="AQ15" s="3">
        <f>ROUND(0.0,2)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2023-09-24</t>
        </is>
      </c>
      <c r="BB15" s="5">
        <f>ROUND(0.0,2)</f>
        <v/>
      </c>
      <c r="BC15" s="3">
        <f>ROUND(0.0,2)</f>
        <v/>
      </c>
      <c r="BD15" s="3">
        <f>ROUND(0.0,2)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IFERROR(((0+BB11+BB12+BB13+BB14+BB15)/T2),0)</f>
        <v/>
      </c>
      <c r="BL15" s="5">
        <f>IFERROR(ROUND(BB15/BD15,2),0)</f>
        <v/>
      </c>
      <c r="BM15" s="5">
        <f>IFERROR(ROUND(BB15/BE15,2),0)</f>
        <v/>
      </c>
    </row>
    <row r="16">
      <c r="A16" s="2" t="inlineStr">
        <is>
          <t>2023-09-25</t>
        </is>
      </c>
      <c r="B16" s="5">
        <f>ROUND(0.0,2)</f>
        <v/>
      </c>
      <c r="C16" s="3">
        <f>ROUND(0.0,2)</f>
        <v/>
      </c>
      <c r="D16" s="3">
        <f>ROUND(0.0,2)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2023-09-25</t>
        </is>
      </c>
      <c r="O16" s="5">
        <f>ROUND(0.0,2)</f>
        <v/>
      </c>
      <c r="P16" s="3">
        <f>ROUND(0.0,2)</f>
        <v/>
      </c>
      <c r="Q16" s="3">
        <f>ROUND(0.0,2)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2023-09-25</t>
        </is>
      </c>
      <c r="AB16" s="5">
        <f>ROUND(0.0,2)</f>
        <v/>
      </c>
      <c r="AC16" s="3">
        <f>ROUND(0.0,2)</f>
        <v/>
      </c>
      <c r="AD16" s="3">
        <f>ROUND(0.0,2)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2023-09-25</t>
        </is>
      </c>
      <c r="AO16" s="5">
        <f>ROUND(0.0,2)</f>
        <v/>
      </c>
      <c r="AP16" s="3">
        <f>ROUND(0.0,2)</f>
        <v/>
      </c>
      <c r="AQ16" s="3">
        <f>ROUND(0.0,2)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2023-09-25</t>
        </is>
      </c>
      <c r="BB16" s="5">
        <f>ROUND(0.0,2)</f>
        <v/>
      </c>
      <c r="BC16" s="3">
        <f>ROUND(0.0,2)</f>
        <v/>
      </c>
      <c r="BD16" s="3">
        <f>ROUND(0.0,2)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IFERROR(((0+BB11+BB12+BB13+BB14+BB15+BB16)/T2),0)</f>
        <v/>
      </c>
      <c r="BL16" s="5">
        <f>IFERROR(ROUND(BB16/BD16,2),0)</f>
        <v/>
      </c>
      <c r="BM16" s="5">
        <f>IFERROR(ROUND(BB16/BE16,2),0)</f>
        <v/>
      </c>
    </row>
    <row r="17">
      <c r="A17" s="2" t="inlineStr">
        <is>
          <t>2023-09-26</t>
        </is>
      </c>
      <c r="B17" s="5">
        <f>ROUND(0.0,2)</f>
        <v/>
      </c>
      <c r="C17" s="3">
        <f>ROUND(0.0,2)</f>
        <v/>
      </c>
      <c r="D17" s="3">
        <f>ROUND(0.0,2)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IFERROR(((0+B11+B12+B13+B14+B15+B16+B17)/T2),0)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2023-09-26</t>
        </is>
      </c>
      <c r="O17" s="5">
        <f>ROUND(0.0,2)</f>
        <v/>
      </c>
      <c r="P17" s="3">
        <f>ROUND(0.0,2)</f>
        <v/>
      </c>
      <c r="Q17" s="3">
        <f>ROUND(0.0,2)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IFERROR(((0+O11+O12+O13+O14+O15+O16+O17)/T2),0)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2023-09-26</t>
        </is>
      </c>
      <c r="AB17" s="5">
        <f>ROUND(0.0,2)</f>
        <v/>
      </c>
      <c r="AC17" s="3">
        <f>ROUND(0.0,2)</f>
        <v/>
      </c>
      <c r="AD17" s="3">
        <f>ROUND(0.0,2)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IFERROR(((0+AB11+AB12+AB13+AB14+AB15+AB16+AB17)/T2),0)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2023-09-26</t>
        </is>
      </c>
      <c r="AO17" s="5">
        <f>ROUND(0.0,2)</f>
        <v/>
      </c>
      <c r="AP17" s="3">
        <f>ROUND(0.0,2)</f>
        <v/>
      </c>
      <c r="AQ17" s="3">
        <f>ROUND(0.0,2)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IFERROR(((0+AO11+AO12+AO13+AO14+AO15+AO16+AO17)/T2),0)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2023-09-26</t>
        </is>
      </c>
      <c r="BB17" s="5">
        <f>ROUND(0.0,2)</f>
        <v/>
      </c>
      <c r="BC17" s="3">
        <f>ROUND(0.0,2)</f>
        <v/>
      </c>
      <c r="BD17" s="3">
        <f>ROUND(0.0,2)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IFERROR(((0+BB11+BB12+BB13+BB14+BB15+BB16+BB17)/T2),0)</f>
        <v/>
      </c>
      <c r="BL17" s="5">
        <f>IFERROR(ROUND(BB17/BD17,2),0)</f>
        <v/>
      </c>
      <c r="BM17" s="5">
        <f>IFERROR(ROUND(BB17/BE17,2),0)</f>
        <v/>
      </c>
    </row>
    <row r="18">
      <c r="A18" s="2" t="inlineStr">
        <is>
          <t>1 Weekly Total</t>
        </is>
      </c>
      <c r="B18" s="5">
        <f>ROUND(0.0,2)</f>
        <v/>
      </c>
      <c r="C18" s="3">
        <f>ROUND(0.0,2)</f>
        <v/>
      </c>
      <c r="D18" s="3">
        <f>ROUND(0.0,2)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IFERROR(((0+B11+B12+B13+B14+B15+B16+B17)/T2),0)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1 Weekly Total</t>
        </is>
      </c>
      <c r="O18" s="5">
        <f>ROUND(0.0,2)</f>
        <v/>
      </c>
      <c r="P18" s="3">
        <f>ROUND(0.0,2)</f>
        <v/>
      </c>
      <c r="Q18" s="3">
        <f>ROUND(0.0,2)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IFERROR(((0+O11+O12+O13+O14+O15+O16+O17)/T2),0)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1 Weekly Total</t>
        </is>
      </c>
      <c r="AB18" s="5">
        <f>ROUND(0.0,2)</f>
        <v/>
      </c>
      <c r="AC18" s="3">
        <f>ROUND(0.0,2)</f>
        <v/>
      </c>
      <c r="AD18" s="3">
        <f>ROUND(0.0,2)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IFERROR(((0+AB11+AB12+AB13+AB14+AB15+AB16+AB17)/T2),0)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1 Weekly Total</t>
        </is>
      </c>
      <c r="AO18" s="5">
        <f>ROUND(0.0,2)</f>
        <v/>
      </c>
      <c r="AP18" s="3">
        <f>ROUND(0.0,2)</f>
        <v/>
      </c>
      <c r="AQ18" s="3">
        <f>ROUND(0.0,2)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IFERROR(((0+AO11+AO12+AO13+AO14+AO15+AO16+AO17)/T2),0)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1 Weekly Total</t>
        </is>
      </c>
      <c r="BB18" s="5">
        <f>ROUND(0.0,2)</f>
        <v/>
      </c>
      <c r="BC18" s="3">
        <f>ROUND(0.0,2)</f>
        <v/>
      </c>
      <c r="BD18" s="3">
        <f>ROUND(0.0,2)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IFERROR(((0+BB11+BB12+BB13+BB14+BB15+BB16+BB17)/T2),0)</f>
        <v/>
      </c>
      <c r="BL18" s="5">
        <f>IFERROR(ROUND(BB18/BD18,2),0)</f>
        <v/>
      </c>
      <c r="BM18" s="5">
        <f>IFERROR(ROUND(BB18/BE18,2),0)</f>
        <v/>
      </c>
    </row>
    <row r="19">
      <c r="A19" s="2" t="inlineStr">
        <is>
          <t>2023-09-27</t>
        </is>
      </c>
      <c r="B19" s="5">
        <f>ROUND(0.0,2)</f>
        <v/>
      </c>
      <c r="C19" s="3">
        <f>ROUND(0.0,2)</f>
        <v/>
      </c>
      <c r="D19" s="3">
        <f>ROUND(0.0,2)</f>
        <v/>
      </c>
      <c r="E19" s="3">
        <f>ROUND(0.0,2)</f>
        <v/>
      </c>
      <c r="F19" s="3">
        <f>ROUND(0.0,2)</f>
        <v/>
      </c>
      <c r="G19" s="3">
        <f>ROUND(0.0,2)</f>
        <v/>
      </c>
      <c r="H19" s="3">
        <f>ROUND(0.0,2)</f>
        <v/>
      </c>
      <c r="I19" s="3">
        <f>ROUND(0.0,2)</f>
        <v/>
      </c>
      <c r="J19" s="4">
        <f>IFERROR((D19/C19),0)</f>
        <v/>
      </c>
      <c r="K19" s="4">
        <f>IFERROR(((0+B11+B12+B13+B14+B15+B16+B17+B19)/T2),0)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2023-09-27</t>
        </is>
      </c>
      <c r="O19" s="5">
        <f>ROUND(0.0,2)</f>
        <v/>
      </c>
      <c r="P19" s="3">
        <f>ROUND(0.0,2)</f>
        <v/>
      </c>
      <c r="Q19" s="3">
        <f>ROUND(0.0,2)</f>
        <v/>
      </c>
      <c r="R19" s="3">
        <f>ROUND(0.0,2)</f>
        <v/>
      </c>
      <c r="S19" s="3">
        <f>ROUND(0.0,2)</f>
        <v/>
      </c>
      <c r="T19" s="3">
        <f>ROUND(0.0,2)</f>
        <v/>
      </c>
      <c r="U19" s="3">
        <f>ROUND(0.0,2)</f>
        <v/>
      </c>
      <c r="V19" s="3">
        <f>ROUND(0.0,2)</f>
        <v/>
      </c>
      <c r="W19" s="4">
        <f>IFERROR((Q19/P19),0)</f>
        <v/>
      </c>
      <c r="X19" s="4">
        <f>IFERROR(((0+O11+O12+O13+O14+O15+O16+O17+O19)/T2),0)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2023-09-27</t>
        </is>
      </c>
      <c r="AB19" s="5">
        <f>ROUND(0.0,2)</f>
        <v/>
      </c>
      <c r="AC19" s="3">
        <f>ROUND(0.0,2)</f>
        <v/>
      </c>
      <c r="AD19" s="3">
        <f>ROUND(0.0,2)</f>
        <v/>
      </c>
      <c r="AE19" s="3">
        <f>ROUND(0.0,2)</f>
        <v/>
      </c>
      <c r="AF19" s="3">
        <f>ROUND(0.0,2)</f>
        <v/>
      </c>
      <c r="AG19" s="3">
        <f>ROUND(0.0,2)</f>
        <v/>
      </c>
      <c r="AH19" s="3">
        <f>ROUND(0.0,2)</f>
        <v/>
      </c>
      <c r="AI19" s="3">
        <f>ROUND(0.0,2)</f>
        <v/>
      </c>
      <c r="AJ19" s="4">
        <f>IFERROR((AD19/AC19),0)</f>
        <v/>
      </c>
      <c r="AK19" s="4">
        <f>IFERROR(((0+AB11+AB12+AB13+AB14+AB15+AB16+AB17+AB19)/T2),0)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2023-09-27</t>
        </is>
      </c>
      <c r="AO19" s="5">
        <f>ROUND(0.0,2)</f>
        <v/>
      </c>
      <c r="AP19" s="3">
        <f>ROUND(0.0,2)</f>
        <v/>
      </c>
      <c r="AQ19" s="3">
        <f>ROUND(0.0,2)</f>
        <v/>
      </c>
      <c r="AR19" s="3">
        <f>ROUND(0.0,2)</f>
        <v/>
      </c>
      <c r="AS19" s="3">
        <f>ROUND(0.0,2)</f>
        <v/>
      </c>
      <c r="AT19" s="3">
        <f>ROUND(0.0,2)</f>
        <v/>
      </c>
      <c r="AU19" s="3">
        <f>ROUND(0.0,2)</f>
        <v/>
      </c>
      <c r="AV19" s="3">
        <f>ROUND(0.0,2)</f>
        <v/>
      </c>
      <c r="AW19" s="4">
        <f>IFERROR((AQ19/AP19),0)</f>
        <v/>
      </c>
      <c r="AX19" s="4">
        <f>IFERROR(((0+AO11+AO12+AO13+AO14+AO15+AO16+AO17+AO19)/T2),0)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2023-09-27</t>
        </is>
      </c>
      <c r="BB19" s="5">
        <f>ROUND(0.0,2)</f>
        <v/>
      </c>
      <c r="BC19" s="3">
        <f>ROUND(0.0,2)</f>
        <v/>
      </c>
      <c r="BD19" s="3">
        <f>ROUND(0.0,2)</f>
        <v/>
      </c>
      <c r="BE19" s="3">
        <f>ROUND(0.0,2)</f>
        <v/>
      </c>
      <c r="BF19" s="3">
        <f>ROUND(0.0,2)</f>
        <v/>
      </c>
      <c r="BG19" s="3">
        <f>ROUND(0.0,2)</f>
        <v/>
      </c>
      <c r="BH19" s="3">
        <f>ROUND(0.0,2)</f>
        <v/>
      </c>
      <c r="BI19" s="3">
        <f>ROUND(0.0,2)</f>
        <v/>
      </c>
      <c r="BJ19" s="4">
        <f>IFERROR((BD19/BC19),0)</f>
        <v/>
      </c>
      <c r="BK19" s="4">
        <f>IFERROR(((0+BB11+BB12+BB13+BB14+BB15+BB16+BB17+BB19)/T2),0)</f>
        <v/>
      </c>
      <c r="BL19" s="5">
        <f>IFERROR(ROUND(BB19/BD19,2),0)</f>
        <v/>
      </c>
      <c r="BM19" s="5">
        <f>IFERROR(ROUND(BB19/BE19,2),0)</f>
        <v/>
      </c>
    </row>
    <row r="20">
      <c r="A20" s="2" t="inlineStr">
        <is>
          <t>2023-09-28</t>
        </is>
      </c>
      <c r="B20" s="5">
        <f>ROUND(0.0,2)</f>
        <v/>
      </c>
      <c r="C20" s="3">
        <f>ROUND(0.0,2)</f>
        <v/>
      </c>
      <c r="D20" s="3">
        <f>ROUND(0.0,2)</f>
        <v/>
      </c>
      <c r="E20" s="3">
        <f>ROUND(0.0,2)</f>
        <v/>
      </c>
      <c r="F20" s="3">
        <f>ROUND(0.0,2)</f>
        <v/>
      </c>
      <c r="G20" s="3">
        <f>ROUND(0.0,2)</f>
        <v/>
      </c>
      <c r="H20" s="3">
        <f>ROUND(0.0,2)</f>
        <v/>
      </c>
      <c r="I20" s="3">
        <f>ROUND(0.0,2)</f>
        <v/>
      </c>
      <c r="J20" s="4">
        <f>IFERROR((D20/C20),0)</f>
        <v/>
      </c>
      <c r="K20" s="4">
        <f>IFERROR(((0+B11+B12+B13+B14+B15+B16+B17+B19+B20)/T2),0)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2023-09-28</t>
        </is>
      </c>
      <c r="O20" s="5">
        <f>ROUND(0.0,2)</f>
        <v/>
      </c>
      <c r="P20" s="3">
        <f>ROUND(0.0,2)</f>
        <v/>
      </c>
      <c r="Q20" s="3">
        <f>ROUND(0.0,2)</f>
        <v/>
      </c>
      <c r="R20" s="3">
        <f>ROUND(0.0,2)</f>
        <v/>
      </c>
      <c r="S20" s="3">
        <f>ROUND(0.0,2)</f>
        <v/>
      </c>
      <c r="T20" s="3">
        <f>ROUND(0.0,2)</f>
        <v/>
      </c>
      <c r="U20" s="3">
        <f>ROUND(0.0,2)</f>
        <v/>
      </c>
      <c r="V20" s="3">
        <f>ROUND(0.0,2)</f>
        <v/>
      </c>
      <c r="W20" s="4">
        <f>IFERROR((Q20/P20),0)</f>
        <v/>
      </c>
      <c r="X20" s="4">
        <f>IFERROR(((0+O11+O12+O13+O14+O15+O16+O17+O19+O20)/T2),0)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2023-09-28</t>
        </is>
      </c>
      <c r="AB20" s="5">
        <f>ROUND(0.0,2)</f>
        <v/>
      </c>
      <c r="AC20" s="3">
        <f>ROUND(0.0,2)</f>
        <v/>
      </c>
      <c r="AD20" s="3">
        <f>ROUND(0.0,2)</f>
        <v/>
      </c>
      <c r="AE20" s="3">
        <f>ROUND(0.0,2)</f>
        <v/>
      </c>
      <c r="AF20" s="3">
        <f>ROUND(0.0,2)</f>
        <v/>
      </c>
      <c r="AG20" s="3">
        <f>ROUND(0.0,2)</f>
        <v/>
      </c>
      <c r="AH20" s="3">
        <f>ROUND(0.0,2)</f>
        <v/>
      </c>
      <c r="AI20" s="3">
        <f>ROUND(0.0,2)</f>
        <v/>
      </c>
      <c r="AJ20" s="4">
        <f>IFERROR((AD20/AC20),0)</f>
        <v/>
      </c>
      <c r="AK20" s="4">
        <f>IFERROR(((0+AB11+AB12+AB13+AB14+AB15+AB16+AB17+AB19+AB20)/T2),0)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2023-09-28</t>
        </is>
      </c>
      <c r="AO20" s="5">
        <f>ROUND(0.0,2)</f>
        <v/>
      </c>
      <c r="AP20" s="3">
        <f>ROUND(0.0,2)</f>
        <v/>
      </c>
      <c r="AQ20" s="3">
        <f>ROUND(0.0,2)</f>
        <v/>
      </c>
      <c r="AR20" s="3">
        <f>ROUND(0.0,2)</f>
        <v/>
      </c>
      <c r="AS20" s="3">
        <f>ROUND(0.0,2)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IFERROR(((0+AO11+AO12+AO13+AO14+AO15+AO16+AO17+AO19+AO20)/T2),0)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2023-09-28</t>
        </is>
      </c>
      <c r="BB20" s="5">
        <f>ROUND(0.0,2)</f>
        <v/>
      </c>
      <c r="BC20" s="3">
        <f>ROUND(0.0,2)</f>
        <v/>
      </c>
      <c r="BD20" s="3">
        <f>ROUND(0.0,2)</f>
        <v/>
      </c>
      <c r="BE20" s="3">
        <f>ROUND(0.0,2)</f>
        <v/>
      </c>
      <c r="BF20" s="3">
        <f>ROUND(0.0,2)</f>
        <v/>
      </c>
      <c r="BG20" s="3">
        <f>ROUND(0.0,2)</f>
        <v/>
      </c>
      <c r="BH20" s="3">
        <f>ROUND(0.0,2)</f>
        <v/>
      </c>
      <c r="BI20" s="3">
        <f>ROUND(0.0,2)</f>
        <v/>
      </c>
      <c r="BJ20" s="4">
        <f>IFERROR((BD20/BC20),0)</f>
        <v/>
      </c>
      <c r="BK20" s="4">
        <f>IFERROR(((0+BB11+BB12+BB13+BB14+BB15+BB16+BB17+BB19+BB20)/T2),0)</f>
        <v/>
      </c>
      <c r="BL20" s="5">
        <f>IFERROR(ROUND(BB20/BD20,2),0)</f>
        <v/>
      </c>
      <c r="BM20" s="5">
        <f>IFERROR(ROUND(BB20/BE20,2),0)</f>
        <v/>
      </c>
    </row>
    <row r="21">
      <c r="A21" s="2" t="inlineStr">
        <is>
          <t>2023-09-29</t>
        </is>
      </c>
      <c r="B21" s="5">
        <f>ROUND(0.0,2)</f>
        <v/>
      </c>
      <c r="C21" s="3">
        <f>ROUND(0.0,2)</f>
        <v/>
      </c>
      <c r="D21" s="3">
        <f>ROUND(0.0,2)</f>
        <v/>
      </c>
      <c r="E21" s="3">
        <f>ROUND(0.0,2)</f>
        <v/>
      </c>
      <c r="F21" s="3">
        <f>ROUND(0.0,2)</f>
        <v/>
      </c>
      <c r="G21" s="3">
        <f>ROUND(0.0,2)</f>
        <v/>
      </c>
      <c r="H21" s="3">
        <f>ROUND(0.0,2)</f>
        <v/>
      </c>
      <c r="I21" s="3">
        <f>ROUND(0.0,2)</f>
        <v/>
      </c>
      <c r="J21" s="4">
        <f>IFERROR((D21/C21),0)</f>
        <v/>
      </c>
      <c r="K21" s="4">
        <f>IFERROR(((0+B11+B12+B13+B14+B15+B16+B17+B19+B20+B21)/T2),0)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2023-09-29</t>
        </is>
      </c>
      <c r="O21" s="5">
        <f>ROUND(0.0,2)</f>
        <v/>
      </c>
      <c r="P21" s="3">
        <f>ROUND(0.0,2)</f>
        <v/>
      </c>
      <c r="Q21" s="3">
        <f>ROUND(0.0,2)</f>
        <v/>
      </c>
      <c r="R21" s="3">
        <f>ROUND(0.0,2)</f>
        <v/>
      </c>
      <c r="S21" s="3">
        <f>ROUND(0.0,2)</f>
        <v/>
      </c>
      <c r="T21" s="3">
        <f>ROUND(0.0,2)</f>
        <v/>
      </c>
      <c r="U21" s="3">
        <f>ROUND(0.0,2)</f>
        <v/>
      </c>
      <c r="V21" s="3">
        <f>ROUND(0.0,2)</f>
        <v/>
      </c>
      <c r="W21" s="4">
        <f>IFERROR((Q21/P21),0)</f>
        <v/>
      </c>
      <c r="X21" s="4">
        <f>IFERROR(((0+O11+O12+O13+O14+O15+O16+O17+O19+O20+O21)/T2),0)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2023-09-29</t>
        </is>
      </c>
      <c r="AB21" s="5">
        <f>ROUND(0.0,2)</f>
        <v/>
      </c>
      <c r="AC21" s="3">
        <f>ROUND(0.0,2)</f>
        <v/>
      </c>
      <c r="AD21" s="3">
        <f>ROUND(0.0,2)</f>
        <v/>
      </c>
      <c r="AE21" s="3">
        <f>ROUND(0.0,2)</f>
        <v/>
      </c>
      <c r="AF21" s="3">
        <f>ROUND(0.0,2)</f>
        <v/>
      </c>
      <c r="AG21" s="3">
        <f>ROUND(0.0,2)</f>
        <v/>
      </c>
      <c r="AH21" s="3">
        <f>ROUND(0.0,2)</f>
        <v/>
      </c>
      <c r="AI21" s="3">
        <f>ROUND(0.0,2)</f>
        <v/>
      </c>
      <c r="AJ21" s="4">
        <f>IFERROR((AD21/AC21),0)</f>
        <v/>
      </c>
      <c r="AK21" s="4">
        <f>IFERROR(((0+AB11+AB12+AB13+AB14+AB15+AB16+AB17+AB19+AB20+AB21)/T2),0)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2023-09-29</t>
        </is>
      </c>
      <c r="AO21" s="5">
        <f>ROUND(0.0,2)</f>
        <v/>
      </c>
      <c r="AP21" s="3">
        <f>ROUND(0.0,2)</f>
        <v/>
      </c>
      <c r="AQ21" s="3">
        <f>ROUND(0.0,2)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IFERROR(((0+AO11+AO12+AO13+AO14+AO15+AO16+AO17+AO19+AO20+AO21)/T2),0)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2023-09-29</t>
        </is>
      </c>
      <c r="BB21" s="5">
        <f>ROUND(0.0,2)</f>
        <v/>
      </c>
      <c r="BC21" s="3">
        <f>ROUND(0.0,2)</f>
        <v/>
      </c>
      <c r="BD21" s="3">
        <f>ROUND(0.0,2)</f>
        <v/>
      </c>
      <c r="BE21" s="3">
        <f>ROUND(0.0,2)</f>
        <v/>
      </c>
      <c r="BF21" s="3">
        <f>ROUND(0.0,2)</f>
        <v/>
      </c>
      <c r="BG21" s="3">
        <f>ROUND(0.0,2)</f>
        <v/>
      </c>
      <c r="BH21" s="3">
        <f>ROUND(0.0,2)</f>
        <v/>
      </c>
      <c r="BI21" s="3">
        <f>ROUND(0.0,2)</f>
        <v/>
      </c>
      <c r="BJ21" s="4">
        <f>IFERROR((BD21/BC21),0)</f>
        <v/>
      </c>
      <c r="BK21" s="4">
        <f>IFERROR(((0+BB11+BB12+BB13+BB14+BB15+BB16+BB17+BB19+BB20+BB21)/T2),0)</f>
        <v/>
      </c>
      <c r="BL21" s="5">
        <f>IFERROR(ROUND(BB21/BD21,2),0)</f>
        <v/>
      </c>
      <c r="BM21" s="5">
        <f>IFERROR(ROUND(BB21/BE21,2),0)</f>
        <v/>
      </c>
    </row>
    <row r="22">
      <c r="A22" s="2" t="inlineStr">
        <is>
          <t>2023-09-30</t>
        </is>
      </c>
      <c r="B22" s="5">
        <f>ROUND(0.0,2)</f>
        <v/>
      </c>
      <c r="C22" s="3">
        <f>ROUND(0.0,2)</f>
        <v/>
      </c>
      <c r="D22" s="3">
        <f>ROUND(0.0,2)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IFERROR(((0+B11+B12+B13+B14+B15+B16+B17+B19+B20+B21+B22)/T2),0)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2023-09-30</t>
        </is>
      </c>
      <c r="O22" s="5">
        <f>ROUND(0.0,2)</f>
        <v/>
      </c>
      <c r="P22" s="3">
        <f>ROUND(0.0,2)</f>
        <v/>
      </c>
      <c r="Q22" s="3">
        <f>ROUND(0.0,2)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IFERROR(((0+O11+O12+O13+O14+O15+O16+O17+O19+O20+O21+O22)/T2),0)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2023-09-30</t>
        </is>
      </c>
      <c r="AB22" s="5">
        <f>ROUND(0.0,2)</f>
        <v/>
      </c>
      <c r="AC22" s="3">
        <f>ROUND(0.0,2)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IFERROR(((0+AB11+AB12+AB13+AB14+AB15+AB16+AB17+AB19+AB20+AB21+AB22)/T2),0)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2023-09-30</t>
        </is>
      </c>
      <c r="AO22" s="5">
        <f>ROUND(0.0,2)</f>
        <v/>
      </c>
      <c r="AP22" s="3">
        <f>ROUND(0.0,2)</f>
        <v/>
      </c>
      <c r="AQ22" s="3">
        <f>ROUND(0.0,2)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IFERROR(((0+AO11+AO12+AO13+AO14+AO15+AO16+AO17+AO19+AO20+AO21+AO22)/T2),0)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2023-09-30</t>
        </is>
      </c>
      <c r="BB22" s="5">
        <f>ROUND(0.0,2)</f>
        <v/>
      </c>
      <c r="BC22" s="3">
        <f>ROUND(0.0,2)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IFERROR(((0+BB11+BB12+BB13+BB14+BB15+BB16+BB17+BB19+BB20+BB21+BB22)/T2),0)</f>
        <v/>
      </c>
      <c r="BL22" s="5">
        <f>IFERROR(ROUND(BB22/BD22,2),0)</f>
        <v/>
      </c>
      <c r="BM22" s="5">
        <f>IFERROR(ROUND(BB22/BE22,2),0)</f>
        <v/>
      </c>
    </row>
    <row r="23">
      <c r="A23" s="2" t="inlineStr">
        <is>
          <t>2023-10-01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IFERROR(((0+B11+B12+B13+B14+B15+B16+B17+B19+B20+B21+B22+B23)/T2),0)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2023-10-01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IFERROR(((0+O11+O12+O13+O14+O15+O16+O17+O19+O20+O21+O22+O23)/T2),0)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2023-10-01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IFERROR(((0+AB11+AB12+AB13+AB14+AB15+AB16+AB17+AB19+AB20+AB21+AB22+AB23)/T2),0)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2023-10-01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IFERROR(((0+AO11+AO12+AO13+AO14+AO15+AO16+AO17+AO19+AO20+AO21+AO22+AO23)/T2),0)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2023-10-01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IFERROR(((0+BB11+BB12+BB13+BB14+BB15+BB16+BB17+BB19+BB20+BB21+BB22+BB23)/T2),0)</f>
        <v/>
      </c>
      <c r="BL23" s="5">
        <f>IFERROR(ROUND(BB23/BD23,2),0)</f>
        <v/>
      </c>
      <c r="BM23" s="5">
        <f>IFERROR(ROUND(BB23/BE23,2),0)</f>
        <v/>
      </c>
    </row>
    <row r="24">
      <c r="A24" s="2" t="inlineStr">
        <is>
          <t>2023-10-02</t>
        </is>
      </c>
      <c r="B24" s="5">
        <f>ROUND(0.0,2)</f>
        <v/>
      </c>
      <c r="C24" s="3">
        <f>ROUND(0.0,2)</f>
        <v/>
      </c>
      <c r="D24" s="3">
        <f>ROUND(0.0,2)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IFERROR(((0+B11+B12+B13+B14+B15+B16+B17+B19+B20+B21+B22+B23+B24)/T2),0)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2023-10-02</t>
        </is>
      </c>
      <c r="O24" s="5">
        <f>ROUND(0.0,2)</f>
        <v/>
      </c>
      <c r="P24" s="3">
        <f>ROUND(0.0,2)</f>
        <v/>
      </c>
      <c r="Q24" s="3">
        <f>ROUND(0.0,2)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IFERROR(((0+O11+O12+O13+O14+O15+O16+O17+O19+O20+O21+O22+O23+O24)/T2),0)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2023-10-02</t>
        </is>
      </c>
      <c r="AB24" s="5">
        <f>ROUND(0.0,2)</f>
        <v/>
      </c>
      <c r="AC24" s="3">
        <f>ROUND(0.0,2)</f>
        <v/>
      </c>
      <c r="AD24" s="3">
        <f>ROUND(0.0,2)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IFERROR(((0+AB11+AB12+AB13+AB14+AB15+AB16+AB17+AB19+AB20+AB21+AB22+AB23+AB24)/T2),0)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2023-10-02</t>
        </is>
      </c>
      <c r="AO24" s="5">
        <f>ROUND(0.0,2)</f>
        <v/>
      </c>
      <c r="AP24" s="3">
        <f>ROUND(0.0,2)</f>
        <v/>
      </c>
      <c r="AQ24" s="3">
        <f>ROUND(0.0,2)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IFERROR(((0+AO11+AO12+AO13+AO14+AO15+AO16+AO17+AO19+AO20+AO21+AO22+AO23+AO24)/T2),0)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2023-10-02</t>
        </is>
      </c>
      <c r="BB24" s="5">
        <f>ROUND(0.0,2)</f>
        <v/>
      </c>
      <c r="BC24" s="3">
        <f>ROUND(0.0,2)</f>
        <v/>
      </c>
      <c r="BD24" s="3">
        <f>ROUND(0.0,2)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IFERROR(((0+BB11+BB12+BB13+BB14+BB15+BB16+BB17+BB19+BB20+BB21+BB22+BB23+BB24)/T2),0)</f>
        <v/>
      </c>
      <c r="BL24" s="5">
        <f>IFERROR(ROUND(BB24/BD24,2),0)</f>
        <v/>
      </c>
      <c r="BM24" s="5">
        <f>IFERROR(ROUND(BB24/BE24,2),0)</f>
        <v/>
      </c>
    </row>
    <row r="25">
      <c r="A25" s="2" t="inlineStr">
        <is>
          <t>2023-10-03</t>
        </is>
      </c>
      <c r="B25" s="5">
        <f>ROUND(0.0,2)</f>
        <v/>
      </c>
      <c r="C25" s="3">
        <f>ROUND(0.0,2)</f>
        <v/>
      </c>
      <c r="D25" s="3">
        <f>ROUND(0.0,2)</f>
        <v/>
      </c>
      <c r="E25" s="3">
        <f>ROUND(0.0,2)</f>
        <v/>
      </c>
      <c r="F25" s="3">
        <f>ROUND(0.0,2)</f>
        <v/>
      </c>
      <c r="G25" s="3">
        <f>ROUND(0.0,2)</f>
        <v/>
      </c>
      <c r="H25" s="3">
        <f>ROUND(0.0,2)</f>
        <v/>
      </c>
      <c r="I25" s="3">
        <f>ROUND(0.0,2)</f>
        <v/>
      </c>
      <c r="J25" s="4">
        <f>IFERROR((D25/C25),0)</f>
        <v/>
      </c>
      <c r="K25" s="4">
        <f>IFERROR(((0+B11+B12+B13+B14+B15+B16+B17+B19+B20+B21+B22+B23+B24+B25)/T2),0)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2023-10-03</t>
        </is>
      </c>
      <c r="O25" s="5">
        <f>ROUND(0.0,2)</f>
        <v/>
      </c>
      <c r="P25" s="3">
        <f>ROUND(0.0,2)</f>
        <v/>
      </c>
      <c r="Q25" s="3">
        <f>ROUND(0.0,2)</f>
        <v/>
      </c>
      <c r="R25" s="3">
        <f>ROUND(0.0,2)</f>
        <v/>
      </c>
      <c r="S25" s="3">
        <f>ROUND(0.0,2)</f>
        <v/>
      </c>
      <c r="T25" s="3">
        <f>ROUND(0.0,2)</f>
        <v/>
      </c>
      <c r="U25" s="3">
        <f>ROUND(0.0,2)</f>
        <v/>
      </c>
      <c r="V25" s="3">
        <f>ROUND(0.0,2)</f>
        <v/>
      </c>
      <c r="W25" s="4">
        <f>IFERROR((Q25/P25),0)</f>
        <v/>
      </c>
      <c r="X25" s="4">
        <f>IFERROR(((0+O11+O12+O13+O14+O15+O16+O17+O19+O20+O21+O22+O23+O24+O25)/T2),0)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2023-10-03</t>
        </is>
      </c>
      <c r="AB25" s="5">
        <f>ROUND(0.0,2)</f>
        <v/>
      </c>
      <c r="AC25" s="3">
        <f>ROUND(0.0,2)</f>
        <v/>
      </c>
      <c r="AD25" s="3">
        <f>ROUND(0.0,2)</f>
        <v/>
      </c>
      <c r="AE25" s="3">
        <f>ROUND(0.0,2)</f>
        <v/>
      </c>
      <c r="AF25" s="3">
        <f>ROUND(0.0,2)</f>
        <v/>
      </c>
      <c r="AG25" s="3">
        <f>ROUND(0.0,2)</f>
        <v/>
      </c>
      <c r="AH25" s="3">
        <f>ROUND(0.0,2)</f>
        <v/>
      </c>
      <c r="AI25" s="3">
        <f>ROUND(0.0,2)</f>
        <v/>
      </c>
      <c r="AJ25" s="4">
        <f>IFERROR((AD25/AC25),0)</f>
        <v/>
      </c>
      <c r="AK25" s="4">
        <f>IFERROR(((0+AB11+AB12+AB13+AB14+AB15+AB16+AB17+AB19+AB20+AB21+AB22+AB23+AB24+AB25)/T2),0)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2023-10-03</t>
        </is>
      </c>
      <c r="AO25" s="5">
        <f>ROUND(0.0,2)</f>
        <v/>
      </c>
      <c r="AP25" s="3">
        <f>ROUND(0.0,2)</f>
        <v/>
      </c>
      <c r="AQ25" s="3">
        <f>ROUND(0.0,2)</f>
        <v/>
      </c>
      <c r="AR25" s="3">
        <f>ROUND(0.0,2)</f>
        <v/>
      </c>
      <c r="AS25" s="3">
        <f>ROUND(0.0,2)</f>
        <v/>
      </c>
      <c r="AT25" s="3">
        <f>ROUND(0.0,2)</f>
        <v/>
      </c>
      <c r="AU25" s="3">
        <f>ROUND(0.0,2)</f>
        <v/>
      </c>
      <c r="AV25" s="3">
        <f>ROUND(0.0,2)</f>
        <v/>
      </c>
      <c r="AW25" s="4">
        <f>IFERROR((AQ25/AP25),0)</f>
        <v/>
      </c>
      <c r="AX25" s="4">
        <f>IFERROR(((0+AO11+AO12+AO13+AO14+AO15+AO16+AO17+AO19+AO20+AO21+AO22+AO23+AO24+AO25)/T2),0)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2023-10-03</t>
        </is>
      </c>
      <c r="BB25" s="5">
        <f>ROUND(0.0,2)</f>
        <v/>
      </c>
      <c r="BC25" s="3">
        <f>ROUND(0.0,2)</f>
        <v/>
      </c>
      <c r="BD25" s="3">
        <f>ROUND(0.0,2)</f>
        <v/>
      </c>
      <c r="BE25" s="3">
        <f>ROUND(0.0,2)</f>
        <v/>
      </c>
      <c r="BF25" s="3">
        <f>ROUND(0.0,2)</f>
        <v/>
      </c>
      <c r="BG25" s="3">
        <f>ROUND(0.0,2)</f>
        <v/>
      </c>
      <c r="BH25" s="3">
        <f>ROUND(0.0,2)</f>
        <v/>
      </c>
      <c r="BI25" s="3">
        <f>ROUND(0.0,2)</f>
        <v/>
      </c>
      <c r="BJ25" s="4">
        <f>IFERROR((BD25/BC25),0)</f>
        <v/>
      </c>
      <c r="BK25" s="4">
        <f>IFERROR(((0+BB11+BB12+BB13+BB14+BB15+BB16+BB17+BB19+BB20+BB21+BB22+BB23+BB24+BB25)/T2),0)</f>
        <v/>
      </c>
      <c r="BL25" s="5">
        <f>IFERROR(ROUND(BB25/BD25,2),0)</f>
        <v/>
      </c>
      <c r="BM25" s="5">
        <f>IFERROR(ROUND(BB25/BE25,2),0)</f>
        <v/>
      </c>
    </row>
    <row r="26">
      <c r="A26" s="2" t="inlineStr">
        <is>
          <t>2 Weekly Total</t>
        </is>
      </c>
      <c r="B26" s="5">
        <f>ROUND(0.0,2)</f>
        <v/>
      </c>
      <c r="C26" s="3">
        <f>ROUND(0.0,2)</f>
        <v/>
      </c>
      <c r="D26" s="3">
        <f>ROUND(0.0,2)</f>
        <v/>
      </c>
      <c r="E26" s="3">
        <f>ROUND(0.0,2)</f>
        <v/>
      </c>
      <c r="F26" s="3">
        <f>ROUND(0.0,2)</f>
        <v/>
      </c>
      <c r="G26" s="3">
        <f>ROUND(0.0,2)</f>
        <v/>
      </c>
      <c r="H26" s="3">
        <f>ROUND(0.0,2)</f>
        <v/>
      </c>
      <c r="I26" s="3">
        <f>ROUND(0.0,2)</f>
        <v/>
      </c>
      <c r="J26" s="4">
        <f>IFERROR((D26/C26),0)</f>
        <v/>
      </c>
      <c r="K26" s="4">
        <f>IFERROR(((0+B11+B12+B13+B14+B15+B16+B17+B19+B20+B21+B22+B23+B24+B25)/T2),0)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 Weekly Total</t>
        </is>
      </c>
      <c r="O26" s="5">
        <f>ROUND(0.0,2)</f>
        <v/>
      </c>
      <c r="P26" s="3">
        <f>ROUND(0.0,2)</f>
        <v/>
      </c>
      <c r="Q26" s="3">
        <f>ROUND(0.0,2)</f>
        <v/>
      </c>
      <c r="R26" s="3">
        <f>ROUND(0.0,2)</f>
        <v/>
      </c>
      <c r="S26" s="3">
        <f>ROUND(0.0,2)</f>
        <v/>
      </c>
      <c r="T26" s="3">
        <f>ROUND(0.0,2)</f>
        <v/>
      </c>
      <c r="U26" s="3">
        <f>ROUND(0.0,2)</f>
        <v/>
      </c>
      <c r="V26" s="3">
        <f>ROUND(0.0,2)</f>
        <v/>
      </c>
      <c r="W26" s="4">
        <f>IFERROR((Q26/P26),0)</f>
        <v/>
      </c>
      <c r="X26" s="4">
        <f>IFERROR(((0+O11+O12+O13+O14+O15+O16+O17+O19+O20+O21+O22+O23+O24+O25)/T2),0)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 Weekly Total</t>
        </is>
      </c>
      <c r="AB26" s="5">
        <f>ROUND(0.0,2)</f>
        <v/>
      </c>
      <c r="AC26" s="3">
        <f>ROUND(0.0,2)</f>
        <v/>
      </c>
      <c r="AD26" s="3">
        <f>ROUND(0.0,2)</f>
        <v/>
      </c>
      <c r="AE26" s="3">
        <f>ROUND(0.0,2)</f>
        <v/>
      </c>
      <c r="AF26" s="3">
        <f>ROUND(0.0,2)</f>
        <v/>
      </c>
      <c r="AG26" s="3">
        <f>ROUND(0.0,2)</f>
        <v/>
      </c>
      <c r="AH26" s="3">
        <f>ROUND(0.0,2)</f>
        <v/>
      </c>
      <c r="AI26" s="3">
        <f>ROUND(0.0,2)</f>
        <v/>
      </c>
      <c r="AJ26" s="4">
        <f>IFERROR((AD26/AC26),0)</f>
        <v/>
      </c>
      <c r="AK26" s="4">
        <f>IFERROR(((0+AB11+AB12+AB13+AB14+AB15+AB16+AB17+AB19+AB20+AB21+AB22+AB23+AB24+AB25)/T2),0)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 Weekly Total</t>
        </is>
      </c>
      <c r="AO26" s="5">
        <f>ROUND(0.0,2)</f>
        <v/>
      </c>
      <c r="AP26" s="3">
        <f>ROUND(0.0,2)</f>
        <v/>
      </c>
      <c r="AQ26" s="3">
        <f>ROUND(0.0,2)</f>
        <v/>
      </c>
      <c r="AR26" s="3">
        <f>ROUND(0.0,2)</f>
        <v/>
      </c>
      <c r="AS26" s="3">
        <f>ROUND(0.0,2)</f>
        <v/>
      </c>
      <c r="AT26" s="3">
        <f>ROUND(0.0,2)</f>
        <v/>
      </c>
      <c r="AU26" s="3">
        <f>ROUND(0.0,2)</f>
        <v/>
      </c>
      <c r="AV26" s="3">
        <f>ROUND(0.0,2)</f>
        <v/>
      </c>
      <c r="AW26" s="4">
        <f>IFERROR((AQ26/AP26),0)</f>
        <v/>
      </c>
      <c r="AX26" s="4">
        <f>IFERROR(((0+AO11+AO12+AO13+AO14+AO15+AO16+AO17+AO19+AO20+AO21+AO22+AO23+AO24+AO25)/T2),0)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 Weekly Total</t>
        </is>
      </c>
      <c r="BB26" s="5">
        <f>ROUND(0.0,2)</f>
        <v/>
      </c>
      <c r="BC26" s="3">
        <f>ROUND(0.0,2)</f>
        <v/>
      </c>
      <c r="BD26" s="3">
        <f>ROUND(0.0,2)</f>
        <v/>
      </c>
      <c r="BE26" s="3">
        <f>ROUND(0.0,2)</f>
        <v/>
      </c>
      <c r="BF26" s="3">
        <f>ROUND(0.0,2)</f>
        <v/>
      </c>
      <c r="BG26" s="3">
        <f>ROUND(0.0,2)</f>
        <v/>
      </c>
      <c r="BH26" s="3">
        <f>ROUND(0.0,2)</f>
        <v/>
      </c>
      <c r="BI26" s="3">
        <f>ROUND(0.0,2)</f>
        <v/>
      </c>
      <c r="BJ26" s="4">
        <f>IFERROR((BD26/BC26),0)</f>
        <v/>
      </c>
      <c r="BK26" s="4">
        <f>IFERROR(((0+BB11+BB12+BB13+BB14+BB15+BB16+BB17+BB19+BB20+BB21+BB22+BB23+BB24+BB25)/T2),0)</f>
        <v/>
      </c>
      <c r="BL26" s="5">
        <f>IFERROR(ROUND(BB26/BD26,2),0)</f>
        <v/>
      </c>
      <c r="BM26" s="5">
        <f>IFERROR(ROUND(BB26/BE26,2),0)</f>
        <v/>
      </c>
    </row>
    <row r="27">
      <c r="A27" s="2" t="inlineStr">
        <is>
          <t>2023-10-04</t>
        </is>
      </c>
      <c r="B27" s="5">
        <f>ROUND(0.0,2)</f>
        <v/>
      </c>
      <c r="C27" s="3">
        <f>ROUND(0.0,2)</f>
        <v/>
      </c>
      <c r="D27" s="3">
        <f>ROUND(0.0,2)</f>
        <v/>
      </c>
      <c r="E27" s="3">
        <f>ROUND(0.0,2)</f>
        <v/>
      </c>
      <c r="F27" s="3">
        <f>ROUND(0.0,2)</f>
        <v/>
      </c>
      <c r="G27" s="3">
        <f>ROUND(0.0,2)</f>
        <v/>
      </c>
      <c r="H27" s="3">
        <f>ROUND(0.0,2)</f>
        <v/>
      </c>
      <c r="I27" s="3">
        <f>ROUND(0.0,2)</f>
        <v/>
      </c>
      <c r="J27" s="4">
        <f>IFERROR((D27/C27),0)</f>
        <v/>
      </c>
      <c r="K27" s="4">
        <f>IFERROR(((0+B11+B12+B13+B14+B15+B16+B17+B19+B20+B21+B22+B23+B24+B25+B27)/T2),0)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2023-10-04</t>
        </is>
      </c>
      <c r="O27" s="5">
        <f>ROUND(0.0,2)</f>
        <v/>
      </c>
      <c r="P27" s="3">
        <f>ROUND(0.0,2)</f>
        <v/>
      </c>
      <c r="Q27" s="3">
        <f>ROUND(0.0,2)</f>
        <v/>
      </c>
      <c r="R27" s="3">
        <f>ROUND(0.0,2)</f>
        <v/>
      </c>
      <c r="S27" s="3">
        <f>ROUND(0.0,2)</f>
        <v/>
      </c>
      <c r="T27" s="3">
        <f>ROUND(0.0,2)</f>
        <v/>
      </c>
      <c r="U27" s="3">
        <f>ROUND(0.0,2)</f>
        <v/>
      </c>
      <c r="V27" s="3">
        <f>ROUND(0.0,2)</f>
        <v/>
      </c>
      <c r="W27" s="4">
        <f>IFERROR((Q27/P27),0)</f>
        <v/>
      </c>
      <c r="X27" s="4">
        <f>IFERROR(((0+O11+O12+O13+O14+O15+O16+O17+O19+O20+O21+O22+O23+O24+O25+O27)/T2),0)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2023-10-04</t>
        </is>
      </c>
      <c r="AB27" s="5">
        <f>ROUND(0.0,2)</f>
        <v/>
      </c>
      <c r="AC27" s="3">
        <f>ROUND(0.0,2)</f>
        <v/>
      </c>
      <c r="AD27" s="3">
        <f>ROUND(0.0,2)</f>
        <v/>
      </c>
      <c r="AE27" s="3">
        <f>ROUND(0.0,2)</f>
        <v/>
      </c>
      <c r="AF27" s="3">
        <f>ROUND(0.0,2)</f>
        <v/>
      </c>
      <c r="AG27" s="3">
        <f>ROUND(0.0,2)</f>
        <v/>
      </c>
      <c r="AH27" s="3">
        <f>ROUND(0.0,2)</f>
        <v/>
      </c>
      <c r="AI27" s="3">
        <f>ROUND(0.0,2)</f>
        <v/>
      </c>
      <c r="AJ27" s="4">
        <f>IFERROR((AD27/AC27),0)</f>
        <v/>
      </c>
      <c r="AK27" s="4">
        <f>IFERROR(((0+AB11+AB12+AB13+AB14+AB15+AB16+AB17+AB19+AB20+AB21+AB22+AB23+AB24+AB25+AB27)/T2),0)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2023-10-04</t>
        </is>
      </c>
      <c r="AO27" s="5">
        <f>ROUND(0.0,2)</f>
        <v/>
      </c>
      <c r="AP27" s="3">
        <f>ROUND(0.0,2)</f>
        <v/>
      </c>
      <c r="AQ27" s="3">
        <f>ROUND(0.0,2)</f>
        <v/>
      </c>
      <c r="AR27" s="3">
        <f>ROUND(0.0,2)</f>
        <v/>
      </c>
      <c r="AS27" s="3">
        <f>ROUND(0.0,2)</f>
        <v/>
      </c>
      <c r="AT27" s="3">
        <f>ROUND(0.0,2)</f>
        <v/>
      </c>
      <c r="AU27" s="3">
        <f>ROUND(0.0,2)</f>
        <v/>
      </c>
      <c r="AV27" s="3">
        <f>ROUND(0.0,2)</f>
        <v/>
      </c>
      <c r="AW27" s="4">
        <f>IFERROR((AQ27/AP27),0)</f>
        <v/>
      </c>
      <c r="AX27" s="4">
        <f>IFERROR(((0+AO11+AO12+AO13+AO14+AO15+AO16+AO17+AO19+AO20+AO21+AO22+AO23+AO24+AO25+AO27)/T2),0)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2023-10-04</t>
        </is>
      </c>
      <c r="BB27" s="5">
        <f>ROUND(0.0,2)</f>
        <v/>
      </c>
      <c r="BC27" s="3">
        <f>ROUND(0.0,2)</f>
        <v/>
      </c>
      <c r="BD27" s="3">
        <f>ROUND(0.0,2)</f>
        <v/>
      </c>
      <c r="BE27" s="3">
        <f>ROUND(0.0,2)</f>
        <v/>
      </c>
      <c r="BF27" s="3">
        <f>ROUND(0.0,2)</f>
        <v/>
      </c>
      <c r="BG27" s="3">
        <f>ROUND(0.0,2)</f>
        <v/>
      </c>
      <c r="BH27" s="3">
        <f>ROUND(0.0,2)</f>
        <v/>
      </c>
      <c r="BI27" s="3">
        <f>ROUND(0.0,2)</f>
        <v/>
      </c>
      <c r="BJ27" s="4">
        <f>IFERROR((BD27/BC27),0)</f>
        <v/>
      </c>
      <c r="BK27" s="4">
        <f>IFERROR(((0+BB11+BB12+BB13+BB14+BB15+BB16+BB17+BB19+BB20+BB21+BB22+BB23+BB24+BB25+BB27)/T2),0)</f>
        <v/>
      </c>
      <c r="BL27" s="5">
        <f>IFERROR(ROUND(BB27/BD27,2),0)</f>
        <v/>
      </c>
      <c r="BM27" s="5">
        <f>IFERROR(ROUND(BB27/BE27,2),0)</f>
        <v/>
      </c>
    </row>
    <row r="28">
      <c r="A28" s="2" t="inlineStr">
        <is>
          <t>2023-10-05</t>
        </is>
      </c>
      <c r="B28" s="5">
        <f>ROUND(0.0,2)</f>
        <v/>
      </c>
      <c r="C28" s="3">
        <f>ROUND(0.0,2)</f>
        <v/>
      </c>
      <c r="D28" s="3">
        <f>ROUND(0.0,2)</f>
        <v/>
      </c>
      <c r="E28" s="3">
        <f>ROUND(0.0,2)</f>
        <v/>
      </c>
      <c r="F28" s="3">
        <f>ROUND(0.0,2)</f>
        <v/>
      </c>
      <c r="G28" s="3">
        <f>ROUND(0.0,2)</f>
        <v/>
      </c>
      <c r="H28" s="3">
        <f>ROUND(0.0,2)</f>
        <v/>
      </c>
      <c r="I28" s="3">
        <f>ROUND(0.0,2)</f>
        <v/>
      </c>
      <c r="J28" s="4">
        <f>IFERROR((D28/C28),0)</f>
        <v/>
      </c>
      <c r="K28" s="4">
        <f>IFERROR(((0+B11+B12+B13+B14+B15+B16+B17+B19+B20+B21+B22+B23+B24+B25+B27+B28)/T2),0)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2023-10-05</t>
        </is>
      </c>
      <c r="O28" s="5">
        <f>ROUND(0.0,2)</f>
        <v/>
      </c>
      <c r="P28" s="3">
        <f>ROUND(0.0,2)</f>
        <v/>
      </c>
      <c r="Q28" s="3">
        <f>ROUND(0.0,2)</f>
        <v/>
      </c>
      <c r="R28" s="3">
        <f>ROUND(0.0,2)</f>
        <v/>
      </c>
      <c r="S28" s="3">
        <f>ROUND(0.0,2)</f>
        <v/>
      </c>
      <c r="T28" s="3">
        <f>ROUND(0.0,2)</f>
        <v/>
      </c>
      <c r="U28" s="3">
        <f>ROUND(0.0,2)</f>
        <v/>
      </c>
      <c r="V28" s="3">
        <f>ROUND(0.0,2)</f>
        <v/>
      </c>
      <c r="W28" s="4">
        <f>IFERROR((Q28/P28),0)</f>
        <v/>
      </c>
      <c r="X28" s="4">
        <f>IFERROR(((0+O11+O12+O13+O14+O15+O16+O17+O19+O20+O21+O22+O23+O24+O25+O27+O28)/T2),0)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2023-10-05</t>
        </is>
      </c>
      <c r="AB28" s="5">
        <f>ROUND(0.0,2)</f>
        <v/>
      </c>
      <c r="AC28" s="3">
        <f>ROUND(0.0,2)</f>
        <v/>
      </c>
      <c r="AD28" s="3">
        <f>ROUND(0.0,2)</f>
        <v/>
      </c>
      <c r="AE28" s="3">
        <f>ROUND(0.0,2)</f>
        <v/>
      </c>
      <c r="AF28" s="3">
        <f>ROUND(0.0,2)</f>
        <v/>
      </c>
      <c r="AG28" s="3">
        <f>ROUND(0.0,2)</f>
        <v/>
      </c>
      <c r="AH28" s="3">
        <f>ROUND(0.0,2)</f>
        <v/>
      </c>
      <c r="AI28" s="3">
        <f>ROUND(0.0,2)</f>
        <v/>
      </c>
      <c r="AJ28" s="4">
        <f>IFERROR((AD28/AC28),0)</f>
        <v/>
      </c>
      <c r="AK28" s="4">
        <f>IFERROR(((0+AB11+AB12+AB13+AB14+AB15+AB16+AB17+AB19+AB20+AB21+AB22+AB23+AB24+AB25+AB27+AB28)/T2),0)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2023-10-05</t>
        </is>
      </c>
      <c r="AO28" s="5">
        <f>ROUND(0.0,2)</f>
        <v/>
      </c>
      <c r="AP28" s="3">
        <f>ROUND(0.0,2)</f>
        <v/>
      </c>
      <c r="AQ28" s="3">
        <f>ROUND(0.0,2)</f>
        <v/>
      </c>
      <c r="AR28" s="3">
        <f>ROUND(0.0,2)</f>
        <v/>
      </c>
      <c r="AS28" s="3">
        <f>ROUND(0.0,2)</f>
        <v/>
      </c>
      <c r="AT28" s="3">
        <f>ROUND(0.0,2)</f>
        <v/>
      </c>
      <c r="AU28" s="3">
        <f>ROUND(0.0,2)</f>
        <v/>
      </c>
      <c r="AV28" s="3">
        <f>ROUND(0.0,2)</f>
        <v/>
      </c>
      <c r="AW28" s="4">
        <f>IFERROR((AQ28/AP28),0)</f>
        <v/>
      </c>
      <c r="AX28" s="4">
        <f>IFERROR(((0+AO11+AO12+AO13+AO14+AO15+AO16+AO17+AO19+AO20+AO21+AO22+AO23+AO24+AO25+AO27+AO28)/T2),0)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2023-10-05</t>
        </is>
      </c>
      <c r="BB28" s="5">
        <f>ROUND(0.0,2)</f>
        <v/>
      </c>
      <c r="BC28" s="3">
        <f>ROUND(0.0,2)</f>
        <v/>
      </c>
      <c r="BD28" s="3">
        <f>ROUND(0.0,2)</f>
        <v/>
      </c>
      <c r="BE28" s="3">
        <f>ROUND(0.0,2)</f>
        <v/>
      </c>
      <c r="BF28" s="3">
        <f>ROUND(0.0,2)</f>
        <v/>
      </c>
      <c r="BG28" s="3">
        <f>ROUND(0.0,2)</f>
        <v/>
      </c>
      <c r="BH28" s="3">
        <f>ROUND(0.0,2)</f>
        <v/>
      </c>
      <c r="BI28" s="3">
        <f>ROUND(0.0,2)</f>
        <v/>
      </c>
      <c r="BJ28" s="4">
        <f>IFERROR((BD28/BC28),0)</f>
        <v/>
      </c>
      <c r="BK28" s="4">
        <f>IFERROR(((0+BB11+BB12+BB13+BB14+BB15+BB16+BB17+BB19+BB20+BB21+BB22+BB23+BB24+BB25+BB27+BB28)/T2),0)</f>
        <v/>
      </c>
      <c r="BL28" s="5">
        <f>IFERROR(ROUND(BB28/BD28,2),0)</f>
        <v/>
      </c>
      <c r="BM28" s="5">
        <f>IFERROR(ROUND(BB28/BE28,2),0)</f>
        <v/>
      </c>
    </row>
    <row r="29">
      <c r="A29" s="2" t="inlineStr">
        <is>
          <t>2023-10-06</t>
        </is>
      </c>
      <c r="B29" s="5">
        <f>ROUND(0.0,2)</f>
        <v/>
      </c>
      <c r="C29" s="3">
        <f>ROUND(0.0,2)</f>
        <v/>
      </c>
      <c r="D29" s="3">
        <f>ROUND(0.0,2)</f>
        <v/>
      </c>
      <c r="E29" s="3">
        <f>ROUND(0.0,2)</f>
        <v/>
      </c>
      <c r="F29" s="3">
        <f>ROUND(0.0,2)</f>
        <v/>
      </c>
      <c r="G29" s="3">
        <f>ROUND(0.0,2)</f>
        <v/>
      </c>
      <c r="H29" s="3">
        <f>ROUND(0.0,2)</f>
        <v/>
      </c>
      <c r="I29" s="3">
        <f>ROUND(0.0,2)</f>
        <v/>
      </c>
      <c r="J29" s="4">
        <f>IFERROR((D29/C29),0)</f>
        <v/>
      </c>
      <c r="K29" s="4">
        <f>IFERROR(((0+B11+B12+B13+B14+B15+B16+B17+B19+B20+B21+B22+B23+B24+B25+B27+B28+B29)/T2),0)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2023-10-06</t>
        </is>
      </c>
      <c r="O29" s="5">
        <f>ROUND(0.0,2)</f>
        <v/>
      </c>
      <c r="P29" s="3">
        <f>ROUND(0.0,2)</f>
        <v/>
      </c>
      <c r="Q29" s="3">
        <f>ROUND(0.0,2)</f>
        <v/>
      </c>
      <c r="R29" s="3">
        <f>ROUND(0.0,2)</f>
        <v/>
      </c>
      <c r="S29" s="3">
        <f>ROUND(0.0,2)</f>
        <v/>
      </c>
      <c r="T29" s="3">
        <f>ROUND(0.0,2)</f>
        <v/>
      </c>
      <c r="U29" s="3">
        <f>ROUND(0.0,2)</f>
        <v/>
      </c>
      <c r="V29" s="3">
        <f>ROUND(0.0,2)</f>
        <v/>
      </c>
      <c r="W29" s="4">
        <f>IFERROR((Q29/P29),0)</f>
        <v/>
      </c>
      <c r="X29" s="4">
        <f>IFERROR(((0+O11+O12+O13+O14+O15+O16+O17+O19+O20+O21+O22+O23+O24+O25+O27+O28+O29)/T2),0)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2023-10-06</t>
        </is>
      </c>
      <c r="AB29" s="5">
        <f>ROUND(0.0,2)</f>
        <v/>
      </c>
      <c r="AC29" s="3">
        <f>ROUND(0.0,2)</f>
        <v/>
      </c>
      <c r="AD29" s="3">
        <f>ROUND(0.0,2)</f>
        <v/>
      </c>
      <c r="AE29" s="3">
        <f>ROUND(0.0,2)</f>
        <v/>
      </c>
      <c r="AF29" s="3">
        <f>ROUND(0.0,2)</f>
        <v/>
      </c>
      <c r="AG29" s="3">
        <f>ROUND(0.0,2)</f>
        <v/>
      </c>
      <c r="AH29" s="3">
        <f>ROUND(0.0,2)</f>
        <v/>
      </c>
      <c r="AI29" s="3">
        <f>ROUND(0.0,2)</f>
        <v/>
      </c>
      <c r="AJ29" s="4">
        <f>IFERROR((AD29/AC29),0)</f>
        <v/>
      </c>
      <c r="AK29" s="4">
        <f>IFERROR(((0+AB11+AB12+AB13+AB14+AB15+AB16+AB17+AB19+AB20+AB21+AB22+AB23+AB24+AB25+AB27+AB28+AB29)/T2),0)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2023-10-06</t>
        </is>
      </c>
      <c r="AO29" s="5">
        <f>ROUND(0.0,2)</f>
        <v/>
      </c>
      <c r="AP29" s="3">
        <f>ROUND(0.0,2)</f>
        <v/>
      </c>
      <c r="AQ29" s="3">
        <f>ROUND(0.0,2)</f>
        <v/>
      </c>
      <c r="AR29" s="3">
        <f>ROUND(0.0,2)</f>
        <v/>
      </c>
      <c r="AS29" s="3">
        <f>ROUND(0.0,2)</f>
        <v/>
      </c>
      <c r="AT29" s="3">
        <f>ROUND(0.0,2)</f>
        <v/>
      </c>
      <c r="AU29" s="3">
        <f>ROUND(0.0,2)</f>
        <v/>
      </c>
      <c r="AV29" s="3">
        <f>ROUND(0.0,2)</f>
        <v/>
      </c>
      <c r="AW29" s="4">
        <f>IFERROR((AQ29/AP29),0)</f>
        <v/>
      </c>
      <c r="AX29" s="4">
        <f>IFERROR(((0+AO11+AO12+AO13+AO14+AO15+AO16+AO17+AO19+AO20+AO21+AO22+AO23+AO24+AO25+AO27+AO28+AO29)/T2),0)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2023-10-06</t>
        </is>
      </c>
      <c r="BB29" s="5">
        <f>ROUND(0.0,2)</f>
        <v/>
      </c>
      <c r="BC29" s="3">
        <f>ROUND(0.0,2)</f>
        <v/>
      </c>
      <c r="BD29" s="3">
        <f>ROUND(0.0,2)</f>
        <v/>
      </c>
      <c r="BE29" s="3">
        <f>ROUND(0.0,2)</f>
        <v/>
      </c>
      <c r="BF29" s="3">
        <f>ROUND(0.0,2)</f>
        <v/>
      </c>
      <c r="BG29" s="3">
        <f>ROUND(0.0,2)</f>
        <v/>
      </c>
      <c r="BH29" s="3">
        <f>ROUND(0.0,2)</f>
        <v/>
      </c>
      <c r="BI29" s="3">
        <f>ROUND(0.0,2)</f>
        <v/>
      </c>
      <c r="BJ29" s="4">
        <f>IFERROR((BD29/BC29),0)</f>
        <v/>
      </c>
      <c r="BK29" s="4">
        <f>IFERROR(((0+BB11+BB12+BB13+BB14+BB15+BB16+BB17+BB19+BB20+BB21+BB22+BB23+BB24+BB25+BB27+BB28+BB29)/T2),0)</f>
        <v/>
      </c>
      <c r="BL29" s="5">
        <f>IFERROR(ROUND(BB29/BD29,2),0)</f>
        <v/>
      </c>
      <c r="BM29" s="5">
        <f>IFERROR(ROUND(BB29/BE29,2),0)</f>
        <v/>
      </c>
    </row>
    <row r="30">
      <c r="A30" s="2" t="inlineStr">
        <is>
          <t>2023-10-07</t>
        </is>
      </c>
      <c r="B30" s="5">
        <f>ROUND(0.0,2)</f>
        <v/>
      </c>
      <c r="C30" s="3">
        <f>ROUND(0.0,2)</f>
        <v/>
      </c>
      <c r="D30" s="3">
        <f>ROUND(0.0,2)</f>
        <v/>
      </c>
      <c r="E30" s="3">
        <f>ROUND(0.0,2)</f>
        <v/>
      </c>
      <c r="F30" s="3">
        <f>ROUND(0.0,2)</f>
        <v/>
      </c>
      <c r="G30" s="3">
        <f>ROUND(0.0,2)</f>
        <v/>
      </c>
      <c r="H30" s="3">
        <f>ROUND(0.0,2)</f>
        <v/>
      </c>
      <c r="I30" s="3">
        <f>ROUND(0.0,2)</f>
        <v/>
      </c>
      <c r="J30" s="4">
        <f>IFERROR((D30/C30),0)</f>
        <v/>
      </c>
      <c r="K30" s="4">
        <f>IFERROR(((0+B11+B12+B13+B14+B15+B16+B17+B19+B20+B21+B22+B23+B24+B25+B27+B28+B29+B30)/T2),0)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2023-10-07</t>
        </is>
      </c>
      <c r="O30" s="5">
        <f>ROUND(0.0,2)</f>
        <v/>
      </c>
      <c r="P30" s="3">
        <f>ROUND(0.0,2)</f>
        <v/>
      </c>
      <c r="Q30" s="3">
        <f>ROUND(0.0,2)</f>
        <v/>
      </c>
      <c r="R30" s="3">
        <f>ROUND(0.0,2)</f>
        <v/>
      </c>
      <c r="S30" s="3">
        <f>ROUND(0.0,2)</f>
        <v/>
      </c>
      <c r="T30" s="3">
        <f>ROUND(0.0,2)</f>
        <v/>
      </c>
      <c r="U30" s="3">
        <f>ROUND(0.0,2)</f>
        <v/>
      </c>
      <c r="V30" s="3">
        <f>ROUND(0.0,2)</f>
        <v/>
      </c>
      <c r="W30" s="4">
        <f>IFERROR((Q30/P30),0)</f>
        <v/>
      </c>
      <c r="X30" s="4">
        <f>IFERROR(((0+O11+O12+O13+O14+O15+O16+O17+O19+O20+O21+O22+O23+O24+O25+O27+O28+O29+O30)/T2),0)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2023-10-07</t>
        </is>
      </c>
      <c r="AB30" s="5">
        <f>ROUND(0.0,2)</f>
        <v/>
      </c>
      <c r="AC30" s="3">
        <f>ROUND(0.0,2)</f>
        <v/>
      </c>
      <c r="AD30" s="3">
        <f>ROUND(0.0,2)</f>
        <v/>
      </c>
      <c r="AE30" s="3">
        <f>ROUND(0.0,2)</f>
        <v/>
      </c>
      <c r="AF30" s="3">
        <f>ROUND(0.0,2)</f>
        <v/>
      </c>
      <c r="AG30" s="3">
        <f>ROUND(0.0,2)</f>
        <v/>
      </c>
      <c r="AH30" s="3">
        <f>ROUND(0.0,2)</f>
        <v/>
      </c>
      <c r="AI30" s="3">
        <f>ROUND(0.0,2)</f>
        <v/>
      </c>
      <c r="AJ30" s="4">
        <f>IFERROR((AD30/AC30),0)</f>
        <v/>
      </c>
      <c r="AK30" s="4">
        <f>IFERROR(((0+AB11+AB12+AB13+AB14+AB15+AB16+AB17+AB19+AB20+AB21+AB22+AB23+AB24+AB25+AB27+AB28+AB29+AB30)/T2),0)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2023-10-07</t>
        </is>
      </c>
      <c r="AO30" s="5">
        <f>ROUND(0.0,2)</f>
        <v/>
      </c>
      <c r="AP30" s="3">
        <f>ROUND(0.0,2)</f>
        <v/>
      </c>
      <c r="AQ30" s="3">
        <f>ROUND(0.0,2)</f>
        <v/>
      </c>
      <c r="AR30" s="3">
        <f>ROUND(0.0,2)</f>
        <v/>
      </c>
      <c r="AS30" s="3">
        <f>ROUND(0.0,2)</f>
        <v/>
      </c>
      <c r="AT30" s="3">
        <f>ROUND(0.0,2)</f>
        <v/>
      </c>
      <c r="AU30" s="3">
        <f>ROUND(0.0,2)</f>
        <v/>
      </c>
      <c r="AV30" s="3">
        <f>ROUND(0.0,2)</f>
        <v/>
      </c>
      <c r="AW30" s="4">
        <f>IFERROR((AQ30/AP30),0)</f>
        <v/>
      </c>
      <c r="AX30" s="4">
        <f>IFERROR(((0+AO11+AO12+AO13+AO14+AO15+AO16+AO17+AO19+AO20+AO21+AO22+AO23+AO24+AO25+AO27+AO28+AO29+AO30)/T2),0)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2023-10-07</t>
        </is>
      </c>
      <c r="BB30" s="5">
        <f>ROUND(0.0,2)</f>
        <v/>
      </c>
      <c r="BC30" s="3">
        <f>ROUND(0.0,2)</f>
        <v/>
      </c>
      <c r="BD30" s="3">
        <f>ROUND(0.0,2)</f>
        <v/>
      </c>
      <c r="BE30" s="3">
        <f>ROUND(0.0,2)</f>
        <v/>
      </c>
      <c r="BF30" s="3">
        <f>ROUND(0.0,2)</f>
        <v/>
      </c>
      <c r="BG30" s="3">
        <f>ROUND(0.0,2)</f>
        <v/>
      </c>
      <c r="BH30" s="3">
        <f>ROUND(0.0,2)</f>
        <v/>
      </c>
      <c r="BI30" s="3">
        <f>ROUND(0.0,2)</f>
        <v/>
      </c>
      <c r="BJ30" s="4">
        <f>IFERROR((BD30/BC30),0)</f>
        <v/>
      </c>
      <c r="BK30" s="4">
        <f>IFERROR(((0+BB11+BB12+BB13+BB14+BB15+BB16+BB17+BB19+BB20+BB21+BB22+BB23+BB24+BB25+BB27+BB28+BB29+BB30)/T2),0)</f>
        <v/>
      </c>
      <c r="BL30" s="5">
        <f>IFERROR(ROUND(BB30/BD30,2),0)</f>
        <v/>
      </c>
      <c r="BM30" s="5">
        <f>IFERROR(ROUND(BB30/BE30,2),0)</f>
        <v/>
      </c>
    </row>
    <row r="31">
      <c r="A31" s="2" t="inlineStr">
        <is>
          <t>2023-10-08</t>
        </is>
      </c>
      <c r="B31" s="5">
        <f>ROUND(0.0,2)</f>
        <v/>
      </c>
      <c r="C31" s="3">
        <f>ROUND(0.0,2)</f>
        <v/>
      </c>
      <c r="D31" s="3">
        <f>ROUND(0.0,2)</f>
        <v/>
      </c>
      <c r="E31" s="3">
        <f>ROUND(0.0,2)</f>
        <v/>
      </c>
      <c r="F31" s="3">
        <f>ROUND(0.0,2)</f>
        <v/>
      </c>
      <c r="G31" s="3">
        <f>ROUND(0.0,2)</f>
        <v/>
      </c>
      <c r="H31" s="3">
        <f>ROUND(0.0,2)</f>
        <v/>
      </c>
      <c r="I31" s="3">
        <f>ROUND(0.0,2)</f>
        <v/>
      </c>
      <c r="J31" s="4">
        <f>IFERROR((D31/C31),0)</f>
        <v/>
      </c>
      <c r="K31" s="4">
        <f>IFERROR(((0+B11+B12+B13+B14+B15+B16+B17+B19+B20+B21+B22+B23+B24+B25+B27+B28+B29+B30+B31)/T2),0)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2023-10-08</t>
        </is>
      </c>
      <c r="O31" s="5">
        <f>ROUND(0.0,2)</f>
        <v/>
      </c>
      <c r="P31" s="3">
        <f>ROUND(0.0,2)</f>
        <v/>
      </c>
      <c r="Q31" s="3">
        <f>ROUND(0.0,2)</f>
        <v/>
      </c>
      <c r="R31" s="3">
        <f>ROUND(0.0,2)</f>
        <v/>
      </c>
      <c r="S31" s="3">
        <f>ROUND(0.0,2)</f>
        <v/>
      </c>
      <c r="T31" s="3">
        <f>ROUND(0.0,2)</f>
        <v/>
      </c>
      <c r="U31" s="3">
        <f>ROUND(0.0,2)</f>
        <v/>
      </c>
      <c r="V31" s="3">
        <f>ROUND(0.0,2)</f>
        <v/>
      </c>
      <c r="W31" s="4">
        <f>IFERROR((Q31/P31),0)</f>
        <v/>
      </c>
      <c r="X31" s="4">
        <f>IFERROR(((0+O11+O12+O13+O14+O15+O16+O17+O19+O20+O21+O22+O23+O24+O25+O27+O28+O29+O30+O31)/T2),0)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2023-10-08</t>
        </is>
      </c>
      <c r="AB31" s="5">
        <f>ROUND(0.0,2)</f>
        <v/>
      </c>
      <c r="AC31" s="3">
        <f>ROUND(0.0,2)</f>
        <v/>
      </c>
      <c r="AD31" s="3">
        <f>ROUND(0.0,2)</f>
        <v/>
      </c>
      <c r="AE31" s="3">
        <f>ROUND(0.0,2)</f>
        <v/>
      </c>
      <c r="AF31" s="3">
        <f>ROUND(0.0,2)</f>
        <v/>
      </c>
      <c r="AG31" s="3">
        <f>ROUND(0.0,2)</f>
        <v/>
      </c>
      <c r="AH31" s="3">
        <f>ROUND(0.0,2)</f>
        <v/>
      </c>
      <c r="AI31" s="3">
        <f>ROUND(0.0,2)</f>
        <v/>
      </c>
      <c r="AJ31" s="4">
        <f>IFERROR((AD31/AC31),0)</f>
        <v/>
      </c>
      <c r="AK31" s="4">
        <f>IFERROR(((0+AB11+AB12+AB13+AB14+AB15+AB16+AB17+AB19+AB20+AB21+AB22+AB23+AB24+AB25+AB27+AB28+AB29+AB30+AB31)/T2),0)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2023-10-08</t>
        </is>
      </c>
      <c r="AO31" s="5">
        <f>ROUND(0.0,2)</f>
        <v/>
      </c>
      <c r="AP31" s="3">
        <f>ROUND(0.0,2)</f>
        <v/>
      </c>
      <c r="AQ31" s="3">
        <f>ROUND(0.0,2)</f>
        <v/>
      </c>
      <c r="AR31" s="3">
        <f>ROUND(0.0,2)</f>
        <v/>
      </c>
      <c r="AS31" s="3">
        <f>ROUND(0.0,2)</f>
        <v/>
      </c>
      <c r="AT31" s="3">
        <f>ROUND(0.0,2)</f>
        <v/>
      </c>
      <c r="AU31" s="3">
        <f>ROUND(0.0,2)</f>
        <v/>
      </c>
      <c r="AV31" s="3">
        <f>ROUND(0.0,2)</f>
        <v/>
      </c>
      <c r="AW31" s="4">
        <f>IFERROR((AQ31/AP31),0)</f>
        <v/>
      </c>
      <c r="AX31" s="4">
        <f>IFERROR(((0+AO11+AO12+AO13+AO14+AO15+AO16+AO17+AO19+AO20+AO21+AO22+AO23+AO24+AO25+AO27+AO28+AO29+AO30+AO31)/T2),0)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2023-10-08</t>
        </is>
      </c>
      <c r="BB31" s="5">
        <f>ROUND(0.0,2)</f>
        <v/>
      </c>
      <c r="BC31" s="3">
        <f>ROUND(0.0,2)</f>
        <v/>
      </c>
      <c r="BD31" s="3">
        <f>ROUND(0.0,2)</f>
        <v/>
      </c>
      <c r="BE31" s="3">
        <f>ROUND(0.0,2)</f>
        <v/>
      </c>
      <c r="BF31" s="3">
        <f>ROUND(0.0,2)</f>
        <v/>
      </c>
      <c r="BG31" s="3">
        <f>ROUND(0.0,2)</f>
        <v/>
      </c>
      <c r="BH31" s="3">
        <f>ROUND(0.0,2)</f>
        <v/>
      </c>
      <c r="BI31" s="3">
        <f>ROUND(0.0,2)</f>
        <v/>
      </c>
      <c r="BJ31" s="4">
        <f>IFERROR((BD31/BC31),0)</f>
        <v/>
      </c>
      <c r="BK31" s="4">
        <f>IFERROR(((0+BB11+BB12+BB13+BB14+BB15+BB16+BB17+BB19+BB20+BB21+BB22+BB23+BB24+BB25+BB27+BB28+BB29+BB30+BB31)/T2),0)</f>
        <v/>
      </c>
      <c r="BL31" s="5">
        <f>IFERROR(ROUND(BB31/BD31,2),0)</f>
        <v/>
      </c>
      <c r="BM31" s="5">
        <f>IFERROR(ROUND(BB31/BE31,2),0)</f>
        <v/>
      </c>
    </row>
    <row r="32">
      <c r="A32" s="2" t="inlineStr">
        <is>
          <t>2023-10-09</t>
        </is>
      </c>
      <c r="B32" s="5">
        <f>ROUND(0.0,2)</f>
        <v/>
      </c>
      <c r="C32" s="3">
        <f>ROUND(0.0,2)</f>
        <v/>
      </c>
      <c r="D32" s="3">
        <f>ROUND(0.0,2)</f>
        <v/>
      </c>
      <c r="E32" s="3">
        <f>ROUND(0.0,2)</f>
        <v/>
      </c>
      <c r="F32" s="3">
        <f>ROUND(0.0,2)</f>
        <v/>
      </c>
      <c r="G32" s="3">
        <f>ROUND(0.0,2)</f>
        <v/>
      </c>
      <c r="H32" s="3">
        <f>ROUND(0.0,2)</f>
        <v/>
      </c>
      <c r="I32" s="3">
        <f>ROUND(0.0,2)</f>
        <v/>
      </c>
      <c r="J32" s="4">
        <f>IFERROR((D32/C32),0)</f>
        <v/>
      </c>
      <c r="K32" s="4">
        <f>IFERROR(((0+B11+B12+B13+B14+B15+B16+B17+B19+B20+B21+B22+B23+B24+B25+B27+B28+B29+B30+B31+B32)/T2),0)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2023-10-09</t>
        </is>
      </c>
      <c r="O32" s="5">
        <f>ROUND(0.0,2)</f>
        <v/>
      </c>
      <c r="P32" s="3">
        <f>ROUND(0.0,2)</f>
        <v/>
      </c>
      <c r="Q32" s="3">
        <f>ROUND(0.0,2)</f>
        <v/>
      </c>
      <c r="R32" s="3">
        <f>ROUND(0.0,2)</f>
        <v/>
      </c>
      <c r="S32" s="3">
        <f>ROUND(0.0,2)</f>
        <v/>
      </c>
      <c r="T32" s="3">
        <f>ROUND(0.0,2)</f>
        <v/>
      </c>
      <c r="U32" s="3">
        <f>ROUND(0.0,2)</f>
        <v/>
      </c>
      <c r="V32" s="3">
        <f>ROUND(0.0,2)</f>
        <v/>
      </c>
      <c r="W32" s="4">
        <f>IFERROR((Q32/P32),0)</f>
        <v/>
      </c>
      <c r="X32" s="4">
        <f>IFERROR(((0+O11+O12+O13+O14+O15+O16+O17+O19+O20+O21+O22+O23+O24+O25+O27+O28+O29+O30+O31+O32)/T2),0)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2023-10-09</t>
        </is>
      </c>
      <c r="AB32" s="5">
        <f>ROUND(0.0,2)</f>
        <v/>
      </c>
      <c r="AC32" s="3">
        <f>ROUND(0.0,2)</f>
        <v/>
      </c>
      <c r="AD32" s="3">
        <f>ROUND(0.0,2)</f>
        <v/>
      </c>
      <c r="AE32" s="3">
        <f>ROUND(0.0,2)</f>
        <v/>
      </c>
      <c r="AF32" s="3">
        <f>ROUND(0.0,2)</f>
        <v/>
      </c>
      <c r="AG32" s="3">
        <f>ROUND(0.0,2)</f>
        <v/>
      </c>
      <c r="AH32" s="3">
        <f>ROUND(0.0,2)</f>
        <v/>
      </c>
      <c r="AI32" s="3">
        <f>ROUND(0.0,2)</f>
        <v/>
      </c>
      <c r="AJ32" s="4">
        <f>IFERROR((AD32/AC32),0)</f>
        <v/>
      </c>
      <c r="AK32" s="4">
        <f>IFERROR(((0+AB11+AB12+AB13+AB14+AB15+AB16+AB17+AB19+AB20+AB21+AB22+AB23+AB24+AB25+AB27+AB28+AB29+AB30+AB31+AB32)/T2),0)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2023-10-09</t>
        </is>
      </c>
      <c r="AO32" s="5">
        <f>ROUND(0.0,2)</f>
        <v/>
      </c>
      <c r="AP32" s="3">
        <f>ROUND(0.0,2)</f>
        <v/>
      </c>
      <c r="AQ32" s="3">
        <f>ROUND(0.0,2)</f>
        <v/>
      </c>
      <c r="AR32" s="3">
        <f>ROUND(0.0,2)</f>
        <v/>
      </c>
      <c r="AS32" s="3">
        <f>ROUND(0.0,2)</f>
        <v/>
      </c>
      <c r="AT32" s="3">
        <f>ROUND(0.0,2)</f>
        <v/>
      </c>
      <c r="AU32" s="3">
        <f>ROUND(0.0,2)</f>
        <v/>
      </c>
      <c r="AV32" s="3">
        <f>ROUND(0.0,2)</f>
        <v/>
      </c>
      <c r="AW32" s="4">
        <f>IFERROR((AQ32/AP32),0)</f>
        <v/>
      </c>
      <c r="AX32" s="4">
        <f>IFERROR(((0+AO11+AO12+AO13+AO14+AO15+AO16+AO17+AO19+AO20+AO21+AO22+AO23+AO24+AO25+AO27+AO28+AO29+AO30+AO31+AO32)/T2),0)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2023-10-09</t>
        </is>
      </c>
      <c r="BB32" s="5">
        <f>ROUND(0.0,2)</f>
        <v/>
      </c>
      <c r="BC32" s="3">
        <f>ROUND(0.0,2)</f>
        <v/>
      </c>
      <c r="BD32" s="3">
        <f>ROUND(0.0,2)</f>
        <v/>
      </c>
      <c r="BE32" s="3">
        <f>ROUND(0.0,2)</f>
        <v/>
      </c>
      <c r="BF32" s="3">
        <f>ROUND(0.0,2)</f>
        <v/>
      </c>
      <c r="BG32" s="3">
        <f>ROUND(0.0,2)</f>
        <v/>
      </c>
      <c r="BH32" s="3">
        <f>ROUND(0.0,2)</f>
        <v/>
      </c>
      <c r="BI32" s="3">
        <f>ROUND(0.0,2)</f>
        <v/>
      </c>
      <c r="BJ32" s="4">
        <f>IFERROR((BD32/BC32),0)</f>
        <v/>
      </c>
      <c r="BK32" s="4">
        <f>IFERROR(((0+BB11+BB12+BB13+BB14+BB15+BB16+BB17+BB19+BB20+BB21+BB22+BB23+BB24+BB25+BB27+BB28+BB29+BB30+BB31+BB32)/T2),0)</f>
        <v/>
      </c>
      <c r="BL32" s="5">
        <f>IFERROR(ROUND(BB32/BD32,2),0)</f>
        <v/>
      </c>
      <c r="BM32" s="5">
        <f>IFERROR(ROUND(BB32/BE32,2),0)</f>
        <v/>
      </c>
    </row>
    <row r="33">
      <c r="A33" s="2" t="inlineStr">
        <is>
          <t>2023-10-10</t>
        </is>
      </c>
      <c r="B33" s="5">
        <f>ROUND(0.0,2)</f>
        <v/>
      </c>
      <c r="C33" s="3">
        <f>ROUND(0.0,2)</f>
        <v/>
      </c>
      <c r="D33" s="3">
        <f>ROUND(0.0,2)</f>
        <v/>
      </c>
      <c r="E33" s="3">
        <f>ROUND(0.0,2)</f>
        <v/>
      </c>
      <c r="F33" s="3">
        <f>ROUND(0.0,2)</f>
        <v/>
      </c>
      <c r="G33" s="3">
        <f>ROUND(0.0,2)</f>
        <v/>
      </c>
      <c r="H33" s="3">
        <f>ROUND(0.0,2)</f>
        <v/>
      </c>
      <c r="I33" s="3">
        <f>ROUND(0.0,2)</f>
        <v/>
      </c>
      <c r="J33" s="4">
        <f>IFERROR((D33/C33),0)</f>
        <v/>
      </c>
      <c r="K33" s="4">
        <f>IFERROR(((0+B11+B12+B13+B14+B15+B16+B17+B19+B20+B21+B22+B23+B24+B25+B27+B28+B29+B30+B31+B32+B33)/T2),0)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2023-10-10</t>
        </is>
      </c>
      <c r="O33" s="5">
        <f>ROUND(0.0,2)</f>
        <v/>
      </c>
      <c r="P33" s="3">
        <f>ROUND(0.0,2)</f>
        <v/>
      </c>
      <c r="Q33" s="3">
        <f>ROUND(0.0,2)</f>
        <v/>
      </c>
      <c r="R33" s="3">
        <f>ROUND(0.0,2)</f>
        <v/>
      </c>
      <c r="S33" s="3">
        <f>ROUND(0.0,2)</f>
        <v/>
      </c>
      <c r="T33" s="3">
        <f>ROUND(0.0,2)</f>
        <v/>
      </c>
      <c r="U33" s="3">
        <f>ROUND(0.0,2)</f>
        <v/>
      </c>
      <c r="V33" s="3">
        <f>ROUND(0.0,2)</f>
        <v/>
      </c>
      <c r="W33" s="4">
        <f>IFERROR((Q33/P33),0)</f>
        <v/>
      </c>
      <c r="X33" s="4">
        <f>IFERROR(((0+O11+O12+O13+O14+O15+O16+O17+O19+O20+O21+O22+O23+O24+O25+O27+O28+O29+O30+O31+O32+O33)/T2),0)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2023-10-10</t>
        </is>
      </c>
      <c r="AB33" s="5">
        <f>ROUND(0.0,2)</f>
        <v/>
      </c>
      <c r="AC33" s="3">
        <f>ROUND(0.0,2)</f>
        <v/>
      </c>
      <c r="AD33" s="3">
        <f>ROUND(0.0,2)</f>
        <v/>
      </c>
      <c r="AE33" s="3">
        <f>ROUND(0.0,2)</f>
        <v/>
      </c>
      <c r="AF33" s="3">
        <f>ROUND(0.0,2)</f>
        <v/>
      </c>
      <c r="AG33" s="3">
        <f>ROUND(0.0,2)</f>
        <v/>
      </c>
      <c r="AH33" s="3">
        <f>ROUND(0.0,2)</f>
        <v/>
      </c>
      <c r="AI33" s="3">
        <f>ROUND(0.0,2)</f>
        <v/>
      </c>
      <c r="AJ33" s="4">
        <f>IFERROR((AD33/AC33),0)</f>
        <v/>
      </c>
      <c r="AK33" s="4">
        <f>IFERROR(((0+AB11+AB12+AB13+AB14+AB15+AB16+AB17+AB19+AB20+AB21+AB22+AB23+AB24+AB25+AB27+AB28+AB29+AB30+AB31+AB32+AB33)/T2),0)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2023-10-10</t>
        </is>
      </c>
      <c r="AO33" s="5">
        <f>ROUND(0.0,2)</f>
        <v/>
      </c>
      <c r="AP33" s="3">
        <f>ROUND(0.0,2)</f>
        <v/>
      </c>
      <c r="AQ33" s="3">
        <f>ROUND(0.0,2)</f>
        <v/>
      </c>
      <c r="AR33" s="3">
        <f>ROUND(0.0,2)</f>
        <v/>
      </c>
      <c r="AS33" s="3">
        <f>ROUND(0.0,2)</f>
        <v/>
      </c>
      <c r="AT33" s="3">
        <f>ROUND(0.0,2)</f>
        <v/>
      </c>
      <c r="AU33" s="3">
        <f>ROUND(0.0,2)</f>
        <v/>
      </c>
      <c r="AV33" s="3">
        <f>ROUND(0.0,2)</f>
        <v/>
      </c>
      <c r="AW33" s="4">
        <f>IFERROR((AQ33/AP33),0)</f>
        <v/>
      </c>
      <c r="AX33" s="4">
        <f>IFERROR(((0+AO11+AO12+AO13+AO14+AO15+AO16+AO17+AO19+AO20+AO21+AO22+AO23+AO24+AO25+AO27+AO28+AO29+AO30+AO31+AO32+AO33)/T2),0)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2023-10-10</t>
        </is>
      </c>
      <c r="BB33" s="5">
        <f>ROUND(0.0,2)</f>
        <v/>
      </c>
      <c r="BC33" s="3">
        <f>ROUND(0.0,2)</f>
        <v/>
      </c>
      <c r="BD33" s="3">
        <f>ROUND(0.0,2)</f>
        <v/>
      </c>
      <c r="BE33" s="3">
        <f>ROUND(0.0,2)</f>
        <v/>
      </c>
      <c r="BF33" s="3">
        <f>ROUND(0.0,2)</f>
        <v/>
      </c>
      <c r="BG33" s="3">
        <f>ROUND(0.0,2)</f>
        <v/>
      </c>
      <c r="BH33" s="3">
        <f>ROUND(0.0,2)</f>
        <v/>
      </c>
      <c r="BI33" s="3">
        <f>ROUND(0.0,2)</f>
        <v/>
      </c>
      <c r="BJ33" s="4">
        <f>IFERROR((BD33/BC33),0)</f>
        <v/>
      </c>
      <c r="BK33" s="4">
        <f>IFERROR(((0+BB11+BB12+BB13+BB14+BB15+BB16+BB17+BB19+BB20+BB21+BB22+BB23+BB24+BB25+BB27+BB28+BB29+BB30+BB31+BB32+BB33)/T2),0)</f>
        <v/>
      </c>
      <c r="BL33" s="5">
        <f>IFERROR(ROUND(BB33/BD33,2),0)</f>
        <v/>
      </c>
      <c r="BM33" s="5">
        <f>IFERROR(ROUND(BB33/BE33,2),0)</f>
        <v/>
      </c>
    </row>
    <row r="34">
      <c r="A34" s="2" t="inlineStr">
        <is>
          <t>3 Weekly Total</t>
        </is>
      </c>
      <c r="B34" s="5">
        <f>ROUND(0.0,2)</f>
        <v/>
      </c>
      <c r="C34" s="3">
        <f>ROUND(0.0,2)</f>
        <v/>
      </c>
      <c r="D34" s="3">
        <f>ROUND(0.0,2)</f>
        <v/>
      </c>
      <c r="E34" s="3">
        <f>ROUND(0.0,2)</f>
        <v/>
      </c>
      <c r="F34" s="3">
        <f>ROUND(0.0,2)</f>
        <v/>
      </c>
      <c r="G34" s="3">
        <f>ROUND(0.0,2)</f>
        <v/>
      </c>
      <c r="H34" s="3">
        <f>ROUND(0.0,2)</f>
        <v/>
      </c>
      <c r="I34" s="3">
        <f>ROUND(0.0,2)</f>
        <v/>
      </c>
      <c r="J34" s="4">
        <f>IFERROR((D34/C34),0)</f>
        <v/>
      </c>
      <c r="K34" s="4">
        <f>IFERROR(((0+B11+B12+B13+B14+B15+B16+B17+B19+B20+B21+B22+B23+B24+B25+B27+B28+B29+B30+B31+B32+B33)/T2),0)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3 Weekly Total</t>
        </is>
      </c>
      <c r="O34" s="5">
        <f>ROUND(0.0,2)</f>
        <v/>
      </c>
      <c r="P34" s="3">
        <f>ROUND(0.0,2)</f>
        <v/>
      </c>
      <c r="Q34" s="3">
        <f>ROUND(0.0,2)</f>
        <v/>
      </c>
      <c r="R34" s="3">
        <f>ROUND(0.0,2)</f>
        <v/>
      </c>
      <c r="S34" s="3">
        <f>ROUND(0.0,2)</f>
        <v/>
      </c>
      <c r="T34" s="3">
        <f>ROUND(0.0,2)</f>
        <v/>
      </c>
      <c r="U34" s="3">
        <f>ROUND(0.0,2)</f>
        <v/>
      </c>
      <c r="V34" s="3">
        <f>ROUND(0.0,2)</f>
        <v/>
      </c>
      <c r="W34" s="4">
        <f>IFERROR((Q34/P34),0)</f>
        <v/>
      </c>
      <c r="X34" s="4">
        <f>IFERROR(((0+O11+O12+O13+O14+O15+O16+O17+O19+O20+O21+O22+O23+O24+O25+O27+O28+O29+O30+O31+O32+O33)/T2),0)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3 Weekly Total</t>
        </is>
      </c>
      <c r="AB34" s="5">
        <f>ROUND(0.0,2)</f>
        <v/>
      </c>
      <c r="AC34" s="3">
        <f>ROUND(0.0,2)</f>
        <v/>
      </c>
      <c r="AD34" s="3">
        <f>ROUND(0.0,2)</f>
        <v/>
      </c>
      <c r="AE34" s="3">
        <f>ROUND(0.0,2)</f>
        <v/>
      </c>
      <c r="AF34" s="3">
        <f>ROUND(0.0,2)</f>
        <v/>
      </c>
      <c r="AG34" s="3">
        <f>ROUND(0.0,2)</f>
        <v/>
      </c>
      <c r="AH34" s="3">
        <f>ROUND(0.0,2)</f>
        <v/>
      </c>
      <c r="AI34" s="3">
        <f>ROUND(0.0,2)</f>
        <v/>
      </c>
      <c r="AJ34" s="4">
        <f>IFERROR((AD34/AC34),0)</f>
        <v/>
      </c>
      <c r="AK34" s="4">
        <f>IFERROR(((0+AB11+AB12+AB13+AB14+AB15+AB16+AB17+AB19+AB20+AB21+AB22+AB23+AB24+AB25+AB27+AB28+AB29+AB30+AB31+AB32+AB33)/T2),0)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3 Weekly Total</t>
        </is>
      </c>
      <c r="AO34" s="5">
        <f>ROUND(0.0,2)</f>
        <v/>
      </c>
      <c r="AP34" s="3">
        <f>ROUND(0.0,2)</f>
        <v/>
      </c>
      <c r="AQ34" s="3">
        <f>ROUND(0.0,2)</f>
        <v/>
      </c>
      <c r="AR34" s="3">
        <f>ROUND(0.0,2)</f>
        <v/>
      </c>
      <c r="AS34" s="3">
        <f>ROUND(0.0,2)</f>
        <v/>
      </c>
      <c r="AT34" s="3">
        <f>ROUND(0.0,2)</f>
        <v/>
      </c>
      <c r="AU34" s="3">
        <f>ROUND(0.0,2)</f>
        <v/>
      </c>
      <c r="AV34" s="3">
        <f>ROUND(0.0,2)</f>
        <v/>
      </c>
      <c r="AW34" s="4">
        <f>IFERROR((AQ34/AP34),0)</f>
        <v/>
      </c>
      <c r="AX34" s="4">
        <f>IFERROR(((0+AO11+AO12+AO13+AO14+AO15+AO16+AO17+AO19+AO20+AO21+AO22+AO23+AO24+AO25+AO27+AO28+AO29+AO30+AO31+AO32+AO33)/T2),0)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3 Weekly Total</t>
        </is>
      </c>
      <c r="BB34" s="5">
        <f>ROUND(0.0,2)</f>
        <v/>
      </c>
      <c r="BC34" s="3">
        <f>ROUND(0.0,2)</f>
        <v/>
      </c>
      <c r="BD34" s="3">
        <f>ROUND(0.0,2)</f>
        <v/>
      </c>
      <c r="BE34" s="3">
        <f>ROUND(0.0,2)</f>
        <v/>
      </c>
      <c r="BF34" s="3">
        <f>ROUND(0.0,2)</f>
        <v/>
      </c>
      <c r="BG34" s="3">
        <f>ROUND(0.0,2)</f>
        <v/>
      </c>
      <c r="BH34" s="3">
        <f>ROUND(0.0,2)</f>
        <v/>
      </c>
      <c r="BI34" s="3">
        <f>ROUND(0.0,2)</f>
        <v/>
      </c>
      <c r="BJ34" s="4">
        <f>IFERROR((BD34/BC34),0)</f>
        <v/>
      </c>
      <c r="BK34" s="4">
        <f>IFERROR(((0+BB11+BB12+BB13+BB14+BB15+BB16+BB17+BB19+BB20+BB21+BB22+BB23+BB24+BB25+BB27+BB28+BB29+BB30+BB31+BB32+BB33)/T2),0)</f>
        <v/>
      </c>
      <c r="BL34" s="5">
        <f>IFERROR(ROUND(BB34/BD34,2),0)</f>
        <v/>
      </c>
      <c r="BM34" s="5">
        <f>IFERROR(ROUND(BB34/BE34,2),0)</f>
        <v/>
      </c>
    </row>
    <row r="35">
      <c r="A35" s="2" t="inlineStr">
        <is>
          <t>2023-10-11</t>
        </is>
      </c>
      <c r="B35" s="5">
        <f>ROUND(0.0,2)</f>
        <v/>
      </c>
      <c r="C35" s="3">
        <f>ROUND(0.0,2)</f>
        <v/>
      </c>
      <c r="D35" s="3">
        <f>ROUND(0.0,2)</f>
        <v/>
      </c>
      <c r="E35" s="3">
        <f>ROUND(0.0,2)</f>
        <v/>
      </c>
      <c r="F35" s="3">
        <f>ROUND(0.0,2)</f>
        <v/>
      </c>
      <c r="G35" s="3">
        <f>ROUND(0.0,2)</f>
        <v/>
      </c>
      <c r="H35" s="3">
        <f>ROUND(0.0,2)</f>
        <v/>
      </c>
      <c r="I35" s="3">
        <f>ROUND(0.0,2)</f>
        <v/>
      </c>
      <c r="J35" s="4">
        <f>IFERROR((D35/C35),0)</f>
        <v/>
      </c>
      <c r="K35" s="4">
        <f>IFERROR(((0+B11+B12+B13+B14+B15+B16+B17+B19+B20+B21+B22+B23+B24+B25+B27+B28+B29+B30+B31+B32+B33+B35)/T2),0)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2023-10-11</t>
        </is>
      </c>
      <c r="O35" s="5">
        <f>ROUND(0.0,2)</f>
        <v/>
      </c>
      <c r="P35" s="3">
        <f>ROUND(0.0,2)</f>
        <v/>
      </c>
      <c r="Q35" s="3">
        <f>ROUND(0.0,2)</f>
        <v/>
      </c>
      <c r="R35" s="3">
        <f>ROUND(0.0,2)</f>
        <v/>
      </c>
      <c r="S35" s="3">
        <f>ROUND(0.0,2)</f>
        <v/>
      </c>
      <c r="T35" s="3">
        <f>ROUND(0.0,2)</f>
        <v/>
      </c>
      <c r="U35" s="3">
        <f>ROUND(0.0,2)</f>
        <v/>
      </c>
      <c r="V35" s="3">
        <f>ROUND(0.0,2)</f>
        <v/>
      </c>
      <c r="W35" s="4">
        <f>IFERROR((Q35/P35),0)</f>
        <v/>
      </c>
      <c r="X35" s="4">
        <f>IFERROR(((0+O11+O12+O13+O14+O15+O16+O17+O19+O20+O21+O22+O23+O24+O25+O27+O28+O29+O30+O31+O32+O33+O35)/T2),0)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2023-10-11</t>
        </is>
      </c>
      <c r="AB35" s="5">
        <f>ROUND(0.0,2)</f>
        <v/>
      </c>
      <c r="AC35" s="3">
        <f>ROUND(0.0,2)</f>
        <v/>
      </c>
      <c r="AD35" s="3">
        <f>ROUND(0.0,2)</f>
        <v/>
      </c>
      <c r="AE35" s="3">
        <f>ROUND(0.0,2)</f>
        <v/>
      </c>
      <c r="AF35" s="3">
        <f>ROUND(0.0,2)</f>
        <v/>
      </c>
      <c r="AG35" s="3">
        <f>ROUND(0.0,2)</f>
        <v/>
      </c>
      <c r="AH35" s="3">
        <f>ROUND(0.0,2)</f>
        <v/>
      </c>
      <c r="AI35" s="3">
        <f>ROUND(0.0,2)</f>
        <v/>
      </c>
      <c r="AJ35" s="4">
        <f>IFERROR((AD35/AC35),0)</f>
        <v/>
      </c>
      <c r="AK35" s="4">
        <f>IFERROR(((0+AB11+AB12+AB13+AB14+AB15+AB16+AB17+AB19+AB20+AB21+AB22+AB23+AB24+AB25+AB27+AB28+AB29+AB30+AB31+AB32+AB33+AB35)/T2),0)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2023-10-11</t>
        </is>
      </c>
      <c r="AO35" s="5">
        <f>ROUND(0.0,2)</f>
        <v/>
      </c>
      <c r="AP35" s="3">
        <f>ROUND(0.0,2)</f>
        <v/>
      </c>
      <c r="AQ35" s="3">
        <f>ROUND(0.0,2)</f>
        <v/>
      </c>
      <c r="AR35" s="3">
        <f>ROUND(0.0,2)</f>
        <v/>
      </c>
      <c r="AS35" s="3">
        <f>ROUND(0.0,2)</f>
        <v/>
      </c>
      <c r="AT35" s="3">
        <f>ROUND(0.0,2)</f>
        <v/>
      </c>
      <c r="AU35" s="3">
        <f>ROUND(0.0,2)</f>
        <v/>
      </c>
      <c r="AV35" s="3">
        <f>ROUND(0.0,2)</f>
        <v/>
      </c>
      <c r="AW35" s="4">
        <f>IFERROR((AQ35/AP35),0)</f>
        <v/>
      </c>
      <c r="AX35" s="4">
        <f>IFERROR(((0+AO11+AO12+AO13+AO14+AO15+AO16+AO17+AO19+AO20+AO21+AO22+AO23+AO24+AO25+AO27+AO28+AO29+AO30+AO31+AO32+AO33+AO35)/T2),0)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2023-10-11</t>
        </is>
      </c>
      <c r="BB35" s="5">
        <f>ROUND(0.0,2)</f>
        <v/>
      </c>
      <c r="BC35" s="3">
        <f>ROUND(0.0,2)</f>
        <v/>
      </c>
      <c r="BD35" s="3">
        <f>ROUND(0.0,2)</f>
        <v/>
      </c>
      <c r="BE35" s="3">
        <f>ROUND(0.0,2)</f>
        <v/>
      </c>
      <c r="BF35" s="3">
        <f>ROUND(0.0,2)</f>
        <v/>
      </c>
      <c r="BG35" s="3">
        <f>ROUND(0.0,2)</f>
        <v/>
      </c>
      <c r="BH35" s="3">
        <f>ROUND(0.0,2)</f>
        <v/>
      </c>
      <c r="BI35" s="3">
        <f>ROUND(0.0,2)</f>
        <v/>
      </c>
      <c r="BJ35" s="4">
        <f>IFERROR((BD35/BC35),0)</f>
        <v/>
      </c>
      <c r="BK35" s="4">
        <f>IFERROR(((0+BB11+BB12+BB13+BB14+BB15+BB16+BB17+BB19+BB20+BB21+BB22+BB23+BB24+BB25+BB27+BB28+BB29+BB30+BB31+BB32+BB33+BB35)/T2),0)</f>
        <v/>
      </c>
      <c r="BL35" s="5">
        <f>IFERROR(ROUND(BB35/BD35,2),0)</f>
        <v/>
      </c>
      <c r="BM35" s="5">
        <f>IFERROR(ROUND(BB35/BE35,2),0)</f>
        <v/>
      </c>
    </row>
    <row r="36">
      <c r="A36" s="2" t="inlineStr">
        <is>
          <t>2023-10-12</t>
        </is>
      </c>
      <c r="B36" s="5">
        <f>ROUND(0.0,2)</f>
        <v/>
      </c>
      <c r="C36" s="3">
        <f>ROUND(0.0,2)</f>
        <v/>
      </c>
      <c r="D36" s="3">
        <f>ROUND(0.0,2)</f>
        <v/>
      </c>
      <c r="E36" s="3">
        <f>ROUND(0.0,2)</f>
        <v/>
      </c>
      <c r="F36" s="3">
        <f>ROUND(0.0,2)</f>
        <v/>
      </c>
      <c r="G36" s="3">
        <f>ROUND(0.0,2)</f>
        <v/>
      </c>
      <c r="H36" s="3">
        <f>ROUND(0.0,2)</f>
        <v/>
      </c>
      <c r="I36" s="3">
        <f>ROUND(0.0,2)</f>
        <v/>
      </c>
      <c r="J36" s="4">
        <f>IFERROR((D36/C36),0)</f>
        <v/>
      </c>
      <c r="K36" s="4">
        <f>IFERROR(((0+B11+B12+B13+B14+B15+B16+B17+B19+B20+B21+B22+B23+B24+B25+B27+B28+B29+B30+B31+B32+B33+B35+B36)/T2),0)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2023-10-12</t>
        </is>
      </c>
      <c r="O36" s="5">
        <f>ROUND(0.0,2)</f>
        <v/>
      </c>
      <c r="P36" s="3">
        <f>ROUND(0.0,2)</f>
        <v/>
      </c>
      <c r="Q36" s="3">
        <f>ROUND(0.0,2)</f>
        <v/>
      </c>
      <c r="R36" s="3">
        <f>ROUND(0.0,2)</f>
        <v/>
      </c>
      <c r="S36" s="3">
        <f>ROUND(0.0,2)</f>
        <v/>
      </c>
      <c r="T36" s="3">
        <f>ROUND(0.0,2)</f>
        <v/>
      </c>
      <c r="U36" s="3">
        <f>ROUND(0.0,2)</f>
        <v/>
      </c>
      <c r="V36" s="3">
        <f>ROUND(0.0,2)</f>
        <v/>
      </c>
      <c r="W36" s="4">
        <f>IFERROR((Q36/P36),0)</f>
        <v/>
      </c>
      <c r="X36" s="4">
        <f>IFERROR(((0+O11+O12+O13+O14+O15+O16+O17+O19+O20+O21+O22+O23+O24+O25+O27+O28+O29+O30+O31+O32+O33+O35+O36)/T2),0)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2023-10-12</t>
        </is>
      </c>
      <c r="AB36" s="5">
        <f>ROUND(0.0,2)</f>
        <v/>
      </c>
      <c r="AC36" s="3">
        <f>ROUND(0.0,2)</f>
        <v/>
      </c>
      <c r="AD36" s="3">
        <f>ROUND(0.0,2)</f>
        <v/>
      </c>
      <c r="AE36" s="3">
        <f>ROUND(0.0,2)</f>
        <v/>
      </c>
      <c r="AF36" s="3">
        <f>ROUND(0.0,2)</f>
        <v/>
      </c>
      <c r="AG36" s="3">
        <f>ROUND(0.0,2)</f>
        <v/>
      </c>
      <c r="AH36" s="3">
        <f>ROUND(0.0,2)</f>
        <v/>
      </c>
      <c r="AI36" s="3">
        <f>ROUND(0.0,2)</f>
        <v/>
      </c>
      <c r="AJ36" s="4">
        <f>IFERROR((AD36/AC36),0)</f>
        <v/>
      </c>
      <c r="AK36" s="4">
        <f>IFERROR(((0+AB11+AB12+AB13+AB14+AB15+AB16+AB17+AB19+AB20+AB21+AB22+AB23+AB24+AB25+AB27+AB28+AB29+AB30+AB31+AB32+AB33+AB35+AB36)/T2),0)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2023-10-12</t>
        </is>
      </c>
      <c r="AO36" s="5">
        <f>ROUND(0.0,2)</f>
        <v/>
      </c>
      <c r="AP36" s="3">
        <f>ROUND(0.0,2)</f>
        <v/>
      </c>
      <c r="AQ36" s="3">
        <f>ROUND(0.0,2)</f>
        <v/>
      </c>
      <c r="AR36" s="3">
        <f>ROUND(0.0,2)</f>
        <v/>
      </c>
      <c r="AS36" s="3">
        <f>ROUND(0.0,2)</f>
        <v/>
      </c>
      <c r="AT36" s="3">
        <f>ROUND(0.0,2)</f>
        <v/>
      </c>
      <c r="AU36" s="3">
        <f>ROUND(0.0,2)</f>
        <v/>
      </c>
      <c r="AV36" s="3">
        <f>ROUND(0.0,2)</f>
        <v/>
      </c>
      <c r="AW36" s="4">
        <f>IFERROR((AQ36/AP36),0)</f>
        <v/>
      </c>
      <c r="AX36" s="4">
        <f>IFERROR(((0+AO11+AO12+AO13+AO14+AO15+AO16+AO17+AO19+AO20+AO21+AO22+AO23+AO24+AO25+AO27+AO28+AO29+AO30+AO31+AO32+AO33+AO35+AO36)/T2),0)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2023-10-12</t>
        </is>
      </c>
      <c r="BB36" s="5">
        <f>ROUND(0.0,2)</f>
        <v/>
      </c>
      <c r="BC36" s="3">
        <f>ROUND(0.0,2)</f>
        <v/>
      </c>
      <c r="BD36" s="3">
        <f>ROUND(0.0,2)</f>
        <v/>
      </c>
      <c r="BE36" s="3">
        <f>ROUND(0.0,2)</f>
        <v/>
      </c>
      <c r="BF36" s="3">
        <f>ROUND(0.0,2)</f>
        <v/>
      </c>
      <c r="BG36" s="3">
        <f>ROUND(0.0,2)</f>
        <v/>
      </c>
      <c r="BH36" s="3">
        <f>ROUND(0.0,2)</f>
        <v/>
      </c>
      <c r="BI36" s="3">
        <f>ROUND(0.0,2)</f>
        <v/>
      </c>
      <c r="BJ36" s="4">
        <f>IFERROR((BD36/BC36),0)</f>
        <v/>
      </c>
      <c r="BK36" s="4">
        <f>IFERROR(((0+BB11+BB12+BB13+BB14+BB15+BB16+BB17+BB19+BB20+BB21+BB22+BB23+BB24+BB25+BB27+BB28+BB29+BB30+BB31+BB32+BB33+BB35+BB36)/T2),0)</f>
        <v/>
      </c>
      <c r="BL36" s="5">
        <f>IFERROR(ROUND(BB36/BD36,2),0)</f>
        <v/>
      </c>
      <c r="BM36" s="5">
        <f>IFERROR(ROUND(BB36/BE36,2),0)</f>
        <v/>
      </c>
    </row>
    <row r="37">
      <c r="A37" s="2" t="inlineStr">
        <is>
          <t>2023-10-13</t>
        </is>
      </c>
      <c r="B37" s="5">
        <f>ROUND(0.0,2)</f>
        <v/>
      </c>
      <c r="C37" s="3">
        <f>ROUND(0.0,2)</f>
        <v/>
      </c>
      <c r="D37" s="3">
        <f>ROUND(0.0,2)</f>
        <v/>
      </c>
      <c r="E37" s="3">
        <f>ROUND(0.0,2)</f>
        <v/>
      </c>
      <c r="F37" s="3">
        <f>ROUND(0.0,2)</f>
        <v/>
      </c>
      <c r="G37" s="3">
        <f>ROUND(0.0,2)</f>
        <v/>
      </c>
      <c r="H37" s="3">
        <f>ROUND(0.0,2)</f>
        <v/>
      </c>
      <c r="I37" s="3">
        <f>ROUND(0.0,2)</f>
        <v/>
      </c>
      <c r="J37" s="4">
        <f>IFERROR((D37/C37),0)</f>
        <v/>
      </c>
      <c r="K37" s="4">
        <f>IFERROR(((0+B11+B12+B13+B14+B15+B16+B17+B19+B20+B21+B22+B23+B24+B25+B27+B28+B29+B30+B31+B32+B33+B35+B36+B37)/T2),0)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2023-10-13</t>
        </is>
      </c>
      <c r="O37" s="5">
        <f>ROUND(0.0,2)</f>
        <v/>
      </c>
      <c r="P37" s="3">
        <f>ROUND(0.0,2)</f>
        <v/>
      </c>
      <c r="Q37" s="3">
        <f>ROUND(0.0,2)</f>
        <v/>
      </c>
      <c r="R37" s="3">
        <f>ROUND(0.0,2)</f>
        <v/>
      </c>
      <c r="S37" s="3">
        <f>ROUND(0.0,2)</f>
        <v/>
      </c>
      <c r="T37" s="3">
        <f>ROUND(0.0,2)</f>
        <v/>
      </c>
      <c r="U37" s="3">
        <f>ROUND(0.0,2)</f>
        <v/>
      </c>
      <c r="V37" s="3">
        <f>ROUND(0.0,2)</f>
        <v/>
      </c>
      <c r="W37" s="4">
        <f>IFERROR((Q37/P37),0)</f>
        <v/>
      </c>
      <c r="X37" s="4">
        <f>IFERROR(((0+O11+O12+O13+O14+O15+O16+O17+O19+O20+O21+O22+O23+O24+O25+O27+O28+O29+O30+O31+O32+O33+O35+O36+O37)/T2),0)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2023-10-13</t>
        </is>
      </c>
      <c r="AB37" s="5">
        <f>ROUND(0.0,2)</f>
        <v/>
      </c>
      <c r="AC37" s="3">
        <f>ROUND(0.0,2)</f>
        <v/>
      </c>
      <c r="AD37" s="3">
        <f>ROUND(0.0,2)</f>
        <v/>
      </c>
      <c r="AE37" s="3">
        <f>ROUND(0.0,2)</f>
        <v/>
      </c>
      <c r="AF37" s="3">
        <f>ROUND(0.0,2)</f>
        <v/>
      </c>
      <c r="AG37" s="3">
        <f>ROUND(0.0,2)</f>
        <v/>
      </c>
      <c r="AH37" s="3">
        <f>ROUND(0.0,2)</f>
        <v/>
      </c>
      <c r="AI37" s="3">
        <f>ROUND(0.0,2)</f>
        <v/>
      </c>
      <c r="AJ37" s="4">
        <f>IFERROR((AD37/AC37),0)</f>
        <v/>
      </c>
      <c r="AK37" s="4">
        <f>IFERROR(((0+AB11+AB12+AB13+AB14+AB15+AB16+AB17+AB19+AB20+AB21+AB22+AB23+AB24+AB25+AB27+AB28+AB29+AB30+AB31+AB32+AB33+AB35+AB36+AB37)/T2),0)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2023-10-13</t>
        </is>
      </c>
      <c r="AO37" s="5">
        <f>ROUND(0.0,2)</f>
        <v/>
      </c>
      <c r="AP37" s="3">
        <f>ROUND(0.0,2)</f>
        <v/>
      </c>
      <c r="AQ37" s="3">
        <f>ROUND(0.0,2)</f>
        <v/>
      </c>
      <c r="AR37" s="3">
        <f>ROUND(0.0,2)</f>
        <v/>
      </c>
      <c r="AS37" s="3">
        <f>ROUND(0.0,2)</f>
        <v/>
      </c>
      <c r="AT37" s="3">
        <f>ROUND(0.0,2)</f>
        <v/>
      </c>
      <c r="AU37" s="3">
        <f>ROUND(0.0,2)</f>
        <v/>
      </c>
      <c r="AV37" s="3">
        <f>ROUND(0.0,2)</f>
        <v/>
      </c>
      <c r="AW37" s="4">
        <f>IFERROR((AQ37/AP37),0)</f>
        <v/>
      </c>
      <c r="AX37" s="4">
        <f>IFERROR(((0+AO11+AO12+AO13+AO14+AO15+AO16+AO17+AO19+AO20+AO21+AO22+AO23+AO24+AO25+AO27+AO28+AO29+AO30+AO31+AO32+AO33+AO35+AO36+AO37)/T2),0)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2023-10-13</t>
        </is>
      </c>
      <c r="BB37" s="5">
        <f>ROUND(0.0,2)</f>
        <v/>
      </c>
      <c r="BC37" s="3">
        <f>ROUND(0.0,2)</f>
        <v/>
      </c>
      <c r="BD37" s="3">
        <f>ROUND(0.0,2)</f>
        <v/>
      </c>
      <c r="BE37" s="3">
        <f>ROUND(0.0,2)</f>
        <v/>
      </c>
      <c r="BF37" s="3">
        <f>ROUND(0.0,2)</f>
        <v/>
      </c>
      <c r="BG37" s="3">
        <f>ROUND(0.0,2)</f>
        <v/>
      </c>
      <c r="BH37" s="3">
        <f>ROUND(0.0,2)</f>
        <v/>
      </c>
      <c r="BI37" s="3">
        <f>ROUND(0.0,2)</f>
        <v/>
      </c>
      <c r="BJ37" s="4">
        <f>IFERROR((BD37/BC37),0)</f>
        <v/>
      </c>
      <c r="BK37" s="4">
        <f>IFERROR(((0+BB11+BB12+BB13+BB14+BB15+BB16+BB17+BB19+BB20+BB21+BB22+BB23+BB24+BB25+BB27+BB28+BB29+BB30+BB31+BB32+BB33+BB35+BB36+BB37)/T2),0)</f>
        <v/>
      </c>
      <c r="BL37" s="5">
        <f>IFERROR(ROUND(BB37/BD37,2),0)</f>
        <v/>
      </c>
      <c r="BM37" s="5">
        <f>IFERROR(ROUND(BB37/BE37,2),0)</f>
        <v/>
      </c>
    </row>
    <row r="38">
      <c r="A38" s="2" t="inlineStr">
        <is>
          <t>2023-10-14</t>
        </is>
      </c>
      <c r="B38" s="5">
        <f>ROUND(0.0,2)</f>
        <v/>
      </c>
      <c r="C38" s="3">
        <f>ROUND(0.0,2)</f>
        <v/>
      </c>
      <c r="D38" s="3">
        <f>ROUND(0.0,2)</f>
        <v/>
      </c>
      <c r="E38" s="3">
        <f>ROUND(0.0,2)</f>
        <v/>
      </c>
      <c r="F38" s="3">
        <f>ROUND(0.0,2)</f>
        <v/>
      </c>
      <c r="G38" s="3">
        <f>ROUND(0.0,2)</f>
        <v/>
      </c>
      <c r="H38" s="3">
        <f>ROUND(0.0,2)</f>
        <v/>
      </c>
      <c r="I38" s="3">
        <f>ROUND(0.0,2)</f>
        <v/>
      </c>
      <c r="J38" s="4">
        <f>IFERROR((D38/C38),0)</f>
        <v/>
      </c>
      <c r="K38" s="4">
        <f>IFERROR(((0+B11+B12+B13+B14+B15+B16+B17+B19+B20+B21+B22+B23+B24+B25+B27+B28+B29+B30+B31+B32+B33+B35+B36+B37+B38)/T2),0)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2023-10-14</t>
        </is>
      </c>
      <c r="O38" s="5">
        <f>ROUND(0.0,2)</f>
        <v/>
      </c>
      <c r="P38" s="3">
        <f>ROUND(0.0,2)</f>
        <v/>
      </c>
      <c r="Q38" s="3">
        <f>ROUND(0.0,2)</f>
        <v/>
      </c>
      <c r="R38" s="3">
        <f>ROUND(0.0,2)</f>
        <v/>
      </c>
      <c r="S38" s="3">
        <f>ROUND(0.0,2)</f>
        <v/>
      </c>
      <c r="T38" s="3">
        <f>ROUND(0.0,2)</f>
        <v/>
      </c>
      <c r="U38" s="3">
        <f>ROUND(0.0,2)</f>
        <v/>
      </c>
      <c r="V38" s="3">
        <f>ROUND(0.0,2)</f>
        <v/>
      </c>
      <c r="W38" s="4">
        <f>IFERROR((Q38/P38),0)</f>
        <v/>
      </c>
      <c r="X38" s="4">
        <f>IFERROR(((0+O11+O12+O13+O14+O15+O16+O17+O19+O20+O21+O22+O23+O24+O25+O27+O28+O29+O30+O31+O32+O33+O35+O36+O37+O38)/T2),0)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2023-10-14</t>
        </is>
      </c>
      <c r="AB38" s="5">
        <f>ROUND(0.0,2)</f>
        <v/>
      </c>
      <c r="AC38" s="3">
        <f>ROUND(0.0,2)</f>
        <v/>
      </c>
      <c r="AD38" s="3">
        <f>ROUND(0.0,2)</f>
        <v/>
      </c>
      <c r="AE38" s="3">
        <f>ROUND(0.0,2)</f>
        <v/>
      </c>
      <c r="AF38" s="3">
        <f>ROUND(0.0,2)</f>
        <v/>
      </c>
      <c r="AG38" s="3">
        <f>ROUND(0.0,2)</f>
        <v/>
      </c>
      <c r="AH38" s="3">
        <f>ROUND(0.0,2)</f>
        <v/>
      </c>
      <c r="AI38" s="3">
        <f>ROUND(0.0,2)</f>
        <v/>
      </c>
      <c r="AJ38" s="4">
        <f>IFERROR((AD38/AC38),0)</f>
        <v/>
      </c>
      <c r="AK38" s="4">
        <f>IFERROR(((0+AB11+AB12+AB13+AB14+AB15+AB16+AB17+AB19+AB20+AB21+AB22+AB23+AB24+AB25+AB27+AB28+AB29+AB30+AB31+AB32+AB33+AB35+AB36+AB37+AB38)/T2),0)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2023-10-14</t>
        </is>
      </c>
      <c r="AO38" s="5">
        <f>ROUND(0.0,2)</f>
        <v/>
      </c>
      <c r="AP38" s="3">
        <f>ROUND(0.0,2)</f>
        <v/>
      </c>
      <c r="AQ38" s="3">
        <f>ROUND(0.0,2)</f>
        <v/>
      </c>
      <c r="AR38" s="3">
        <f>ROUND(0.0,2)</f>
        <v/>
      </c>
      <c r="AS38" s="3">
        <f>ROUND(0.0,2)</f>
        <v/>
      </c>
      <c r="AT38" s="3">
        <f>ROUND(0.0,2)</f>
        <v/>
      </c>
      <c r="AU38" s="3">
        <f>ROUND(0.0,2)</f>
        <v/>
      </c>
      <c r="AV38" s="3">
        <f>ROUND(0.0,2)</f>
        <v/>
      </c>
      <c r="AW38" s="4">
        <f>IFERROR((AQ38/AP38),0)</f>
        <v/>
      </c>
      <c r="AX38" s="4">
        <f>IFERROR(((0+AO11+AO12+AO13+AO14+AO15+AO16+AO17+AO19+AO20+AO21+AO22+AO23+AO24+AO25+AO27+AO28+AO29+AO30+AO31+AO32+AO33+AO35+AO36+AO37+AO38)/T2),0)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2023-10-14</t>
        </is>
      </c>
      <c r="BB38" s="5">
        <f>ROUND(0.0,2)</f>
        <v/>
      </c>
      <c r="BC38" s="3">
        <f>ROUND(0.0,2)</f>
        <v/>
      </c>
      <c r="BD38" s="3">
        <f>ROUND(0.0,2)</f>
        <v/>
      </c>
      <c r="BE38" s="3">
        <f>ROUND(0.0,2)</f>
        <v/>
      </c>
      <c r="BF38" s="3">
        <f>ROUND(0.0,2)</f>
        <v/>
      </c>
      <c r="BG38" s="3">
        <f>ROUND(0.0,2)</f>
        <v/>
      </c>
      <c r="BH38" s="3">
        <f>ROUND(0.0,2)</f>
        <v/>
      </c>
      <c r="BI38" s="3">
        <f>ROUND(0.0,2)</f>
        <v/>
      </c>
      <c r="BJ38" s="4">
        <f>IFERROR((BD38/BC38),0)</f>
        <v/>
      </c>
      <c r="BK38" s="4">
        <f>IFERROR(((0+BB11+BB12+BB13+BB14+BB15+BB16+BB17+BB19+BB20+BB21+BB22+BB23+BB24+BB25+BB27+BB28+BB29+BB30+BB31+BB32+BB33+BB35+BB36+BB37+BB38)/T2),0)</f>
        <v/>
      </c>
      <c r="BL38" s="5">
        <f>IFERROR(ROUND(BB38/BD38,2),0)</f>
        <v/>
      </c>
      <c r="BM38" s="5">
        <f>IFERROR(ROUND(BB38/BE38,2),0)</f>
        <v/>
      </c>
    </row>
    <row r="39">
      <c r="A39" s="2" t="inlineStr">
        <is>
          <t>2023-10-15</t>
        </is>
      </c>
      <c r="B39" s="5">
        <f>ROUND(0.0,2)</f>
        <v/>
      </c>
      <c r="C39" s="3">
        <f>ROUND(0.0,2)</f>
        <v/>
      </c>
      <c r="D39" s="3">
        <f>ROUND(0.0,2)</f>
        <v/>
      </c>
      <c r="E39" s="3">
        <f>ROUND(0.0,2)</f>
        <v/>
      </c>
      <c r="F39" s="3">
        <f>ROUND(0.0,2)</f>
        <v/>
      </c>
      <c r="G39" s="3">
        <f>ROUND(0.0,2)</f>
        <v/>
      </c>
      <c r="H39" s="3">
        <f>ROUND(0.0,2)</f>
        <v/>
      </c>
      <c r="I39" s="3">
        <f>ROUND(0.0,2)</f>
        <v/>
      </c>
      <c r="J39" s="4">
        <f>IFERROR((D39/C39),0)</f>
        <v/>
      </c>
      <c r="K39" s="4">
        <f>IFERROR(((0+B11+B12+B13+B14+B15+B16+B17+B19+B20+B21+B22+B23+B24+B25+B27+B28+B29+B30+B31+B32+B33+B35+B36+B37+B38+B39)/T2),0)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2023-10-15</t>
        </is>
      </c>
      <c r="O39" s="5">
        <f>ROUND(0.0,2)</f>
        <v/>
      </c>
      <c r="P39" s="3">
        <f>ROUND(0.0,2)</f>
        <v/>
      </c>
      <c r="Q39" s="3">
        <f>ROUND(0.0,2)</f>
        <v/>
      </c>
      <c r="R39" s="3">
        <f>ROUND(0.0,2)</f>
        <v/>
      </c>
      <c r="S39" s="3">
        <f>ROUND(0.0,2)</f>
        <v/>
      </c>
      <c r="T39" s="3">
        <f>ROUND(0.0,2)</f>
        <v/>
      </c>
      <c r="U39" s="3">
        <f>ROUND(0.0,2)</f>
        <v/>
      </c>
      <c r="V39" s="3">
        <f>ROUND(0.0,2)</f>
        <v/>
      </c>
      <c r="W39" s="4">
        <f>IFERROR((Q39/P39),0)</f>
        <v/>
      </c>
      <c r="X39" s="4">
        <f>IFERROR(((0+O11+O12+O13+O14+O15+O16+O17+O19+O20+O21+O22+O23+O24+O25+O27+O28+O29+O30+O31+O32+O33+O35+O36+O37+O38+O39)/T2),0)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2023-10-15</t>
        </is>
      </c>
      <c r="AB39" s="5">
        <f>ROUND(0.0,2)</f>
        <v/>
      </c>
      <c r="AC39" s="3">
        <f>ROUND(0.0,2)</f>
        <v/>
      </c>
      <c r="AD39" s="3">
        <f>ROUND(0.0,2)</f>
        <v/>
      </c>
      <c r="AE39" s="3">
        <f>ROUND(0.0,2)</f>
        <v/>
      </c>
      <c r="AF39" s="3">
        <f>ROUND(0.0,2)</f>
        <v/>
      </c>
      <c r="AG39" s="3">
        <f>ROUND(0.0,2)</f>
        <v/>
      </c>
      <c r="AH39" s="3">
        <f>ROUND(0.0,2)</f>
        <v/>
      </c>
      <c r="AI39" s="3">
        <f>ROUND(0.0,2)</f>
        <v/>
      </c>
      <c r="AJ39" s="4">
        <f>IFERROR((AD39/AC39),0)</f>
        <v/>
      </c>
      <c r="AK39" s="4">
        <f>IFERROR(((0+AB11+AB12+AB13+AB14+AB15+AB16+AB17+AB19+AB20+AB21+AB22+AB23+AB24+AB25+AB27+AB28+AB29+AB30+AB31+AB32+AB33+AB35+AB36+AB37+AB38+AB39)/T2),0)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2023-10-15</t>
        </is>
      </c>
      <c r="AO39" s="5">
        <f>ROUND(0.0,2)</f>
        <v/>
      </c>
      <c r="AP39" s="3">
        <f>ROUND(0.0,2)</f>
        <v/>
      </c>
      <c r="AQ39" s="3">
        <f>ROUND(0.0,2)</f>
        <v/>
      </c>
      <c r="AR39" s="3">
        <f>ROUND(0.0,2)</f>
        <v/>
      </c>
      <c r="AS39" s="3">
        <f>ROUND(0.0,2)</f>
        <v/>
      </c>
      <c r="AT39" s="3">
        <f>ROUND(0.0,2)</f>
        <v/>
      </c>
      <c r="AU39" s="3">
        <f>ROUND(0.0,2)</f>
        <v/>
      </c>
      <c r="AV39" s="3">
        <f>ROUND(0.0,2)</f>
        <v/>
      </c>
      <c r="AW39" s="4">
        <f>IFERROR((AQ39/AP39),0)</f>
        <v/>
      </c>
      <c r="AX39" s="4">
        <f>IFERROR(((0+AO11+AO12+AO13+AO14+AO15+AO16+AO17+AO19+AO20+AO21+AO22+AO23+AO24+AO25+AO27+AO28+AO29+AO30+AO31+AO32+AO33+AO35+AO36+AO37+AO38+AO39)/T2),0)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2023-10-15</t>
        </is>
      </c>
      <c r="BB39" s="5">
        <f>ROUND(0.0,2)</f>
        <v/>
      </c>
      <c r="BC39" s="3">
        <f>ROUND(0.0,2)</f>
        <v/>
      </c>
      <c r="BD39" s="3">
        <f>ROUND(0.0,2)</f>
        <v/>
      </c>
      <c r="BE39" s="3">
        <f>ROUND(0.0,2)</f>
        <v/>
      </c>
      <c r="BF39" s="3">
        <f>ROUND(0.0,2)</f>
        <v/>
      </c>
      <c r="BG39" s="3">
        <f>ROUND(0.0,2)</f>
        <v/>
      </c>
      <c r="BH39" s="3">
        <f>ROUND(0.0,2)</f>
        <v/>
      </c>
      <c r="BI39" s="3">
        <f>ROUND(0.0,2)</f>
        <v/>
      </c>
      <c r="BJ39" s="4">
        <f>IFERROR((BD39/BC39),0)</f>
        <v/>
      </c>
      <c r="BK39" s="4">
        <f>IFERROR(((0+BB11+BB12+BB13+BB14+BB15+BB16+BB17+BB19+BB20+BB21+BB22+BB23+BB24+BB25+BB27+BB28+BB29+BB30+BB31+BB32+BB33+BB35+BB36+BB37+BB38+BB39)/T2),0)</f>
        <v/>
      </c>
      <c r="BL39" s="5">
        <f>IFERROR(ROUND(BB39/BD39,2),0)</f>
        <v/>
      </c>
      <c r="BM39" s="5">
        <f>IFERROR(ROUND(BB39/BE39,2),0)</f>
        <v/>
      </c>
    </row>
    <row r="40">
      <c r="A40" s="2" t="inlineStr">
        <is>
          <t>2023-10-16</t>
        </is>
      </c>
      <c r="B40" s="5">
        <f>ROUND(0.0,2)</f>
        <v/>
      </c>
      <c r="C40" s="3">
        <f>ROUND(0.0,2)</f>
        <v/>
      </c>
      <c r="D40" s="3">
        <f>ROUND(0.0,2)</f>
        <v/>
      </c>
      <c r="E40" s="3">
        <f>ROUND(0.0,2)</f>
        <v/>
      </c>
      <c r="F40" s="3">
        <f>ROUND(0.0,2)</f>
        <v/>
      </c>
      <c r="G40" s="3">
        <f>ROUND(0.0,2)</f>
        <v/>
      </c>
      <c r="H40" s="3">
        <f>ROUND(0.0,2)</f>
        <v/>
      </c>
      <c r="I40" s="3">
        <f>ROUND(0.0,2)</f>
        <v/>
      </c>
      <c r="J40" s="4">
        <f>IFERROR((D40/C40),0)</f>
        <v/>
      </c>
      <c r="K40" s="4">
        <f>IFERROR(((0+B11+B12+B13+B14+B15+B16+B17+B19+B20+B21+B22+B23+B24+B25+B27+B28+B29+B30+B31+B32+B33+B35+B36+B37+B38+B39+B40)/T2),0)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2023-10-16</t>
        </is>
      </c>
      <c r="O40" s="5">
        <f>ROUND(0.0,2)</f>
        <v/>
      </c>
      <c r="P40" s="3">
        <f>ROUND(0.0,2)</f>
        <v/>
      </c>
      <c r="Q40" s="3">
        <f>ROUND(0.0,2)</f>
        <v/>
      </c>
      <c r="R40" s="3">
        <f>ROUND(0.0,2)</f>
        <v/>
      </c>
      <c r="S40" s="3">
        <f>ROUND(0.0,2)</f>
        <v/>
      </c>
      <c r="T40" s="3">
        <f>ROUND(0.0,2)</f>
        <v/>
      </c>
      <c r="U40" s="3">
        <f>ROUND(0.0,2)</f>
        <v/>
      </c>
      <c r="V40" s="3">
        <f>ROUND(0.0,2)</f>
        <v/>
      </c>
      <c r="W40" s="4">
        <f>IFERROR((Q40/P40),0)</f>
        <v/>
      </c>
      <c r="X40" s="4">
        <f>IFERROR(((0+O11+O12+O13+O14+O15+O16+O17+O19+O20+O21+O22+O23+O24+O25+O27+O28+O29+O30+O31+O32+O33+O35+O36+O37+O38+O39+O40)/T2),0)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2023-10-16</t>
        </is>
      </c>
      <c r="AB40" s="5">
        <f>ROUND(0.0,2)</f>
        <v/>
      </c>
      <c r="AC40" s="3">
        <f>ROUND(0.0,2)</f>
        <v/>
      </c>
      <c r="AD40" s="3">
        <f>ROUND(0.0,2)</f>
        <v/>
      </c>
      <c r="AE40" s="3">
        <f>ROUND(0.0,2)</f>
        <v/>
      </c>
      <c r="AF40" s="3">
        <f>ROUND(0.0,2)</f>
        <v/>
      </c>
      <c r="AG40" s="3">
        <f>ROUND(0.0,2)</f>
        <v/>
      </c>
      <c r="AH40" s="3">
        <f>ROUND(0.0,2)</f>
        <v/>
      </c>
      <c r="AI40" s="3">
        <f>ROUND(0.0,2)</f>
        <v/>
      </c>
      <c r="AJ40" s="4">
        <f>IFERROR((AD40/AC40),0)</f>
        <v/>
      </c>
      <c r="AK40" s="4">
        <f>IFERROR(((0+AB11+AB12+AB13+AB14+AB15+AB16+AB17+AB19+AB20+AB21+AB22+AB23+AB24+AB25+AB27+AB28+AB29+AB30+AB31+AB32+AB33+AB35+AB36+AB37+AB38+AB39+AB40)/T2),0)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2023-10-16</t>
        </is>
      </c>
      <c r="AO40" s="5">
        <f>ROUND(0.0,2)</f>
        <v/>
      </c>
      <c r="AP40" s="3">
        <f>ROUND(0.0,2)</f>
        <v/>
      </c>
      <c r="AQ40" s="3">
        <f>ROUND(0.0,2)</f>
        <v/>
      </c>
      <c r="AR40" s="3">
        <f>ROUND(0.0,2)</f>
        <v/>
      </c>
      <c r="AS40" s="3">
        <f>ROUND(0.0,2)</f>
        <v/>
      </c>
      <c r="AT40" s="3">
        <f>ROUND(0.0,2)</f>
        <v/>
      </c>
      <c r="AU40" s="3">
        <f>ROUND(0.0,2)</f>
        <v/>
      </c>
      <c r="AV40" s="3">
        <f>ROUND(0.0,2)</f>
        <v/>
      </c>
      <c r="AW40" s="4">
        <f>IFERROR((AQ40/AP40),0)</f>
        <v/>
      </c>
      <c r="AX40" s="4">
        <f>IFERROR(((0+AO11+AO12+AO13+AO14+AO15+AO16+AO17+AO19+AO20+AO21+AO22+AO23+AO24+AO25+AO27+AO28+AO29+AO30+AO31+AO32+AO33+AO35+AO36+AO37+AO38+AO39+AO40)/T2),0)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2023-10-16</t>
        </is>
      </c>
      <c r="BB40" s="5">
        <f>ROUND(0.0,2)</f>
        <v/>
      </c>
      <c r="BC40" s="3">
        <f>ROUND(0.0,2)</f>
        <v/>
      </c>
      <c r="BD40" s="3">
        <f>ROUND(0.0,2)</f>
        <v/>
      </c>
      <c r="BE40" s="3">
        <f>ROUND(0.0,2)</f>
        <v/>
      </c>
      <c r="BF40" s="3">
        <f>ROUND(0.0,2)</f>
        <v/>
      </c>
      <c r="BG40" s="3">
        <f>ROUND(0.0,2)</f>
        <v/>
      </c>
      <c r="BH40" s="3">
        <f>ROUND(0.0,2)</f>
        <v/>
      </c>
      <c r="BI40" s="3">
        <f>ROUND(0.0,2)</f>
        <v/>
      </c>
      <c r="BJ40" s="4">
        <f>IFERROR((BD40/BC40),0)</f>
        <v/>
      </c>
      <c r="BK40" s="4">
        <f>IFERROR(((0+BB11+BB12+BB13+BB14+BB15+BB16+BB17+BB19+BB20+BB21+BB22+BB23+BB24+BB25+BB27+BB28+BB29+BB30+BB31+BB32+BB33+BB35+BB36+BB37+BB38+BB39+BB40)/T2),0)</f>
        <v/>
      </c>
      <c r="BL40" s="5">
        <f>IFERROR(ROUND(BB40/BD40,2),0)</f>
        <v/>
      </c>
      <c r="BM40" s="5">
        <f>IFERROR(ROUND(BB40/BE40,2),0)</f>
        <v/>
      </c>
    </row>
    <row r="41">
      <c r="A41" s="2" t="inlineStr">
        <is>
          <t>2023-10-17</t>
        </is>
      </c>
      <c r="B41" s="5">
        <f>ROUND(0.0,2)</f>
        <v/>
      </c>
      <c r="C41" s="3">
        <f>ROUND(0.0,2)</f>
        <v/>
      </c>
      <c r="D41" s="3">
        <f>ROUND(0.0,2)</f>
        <v/>
      </c>
      <c r="E41" s="3">
        <f>ROUND(0.0,2)</f>
        <v/>
      </c>
      <c r="F41" s="3">
        <f>ROUND(0.0,2)</f>
        <v/>
      </c>
      <c r="G41" s="3">
        <f>ROUND(0.0,2)</f>
        <v/>
      </c>
      <c r="H41" s="3">
        <f>ROUND(0.0,2)</f>
        <v/>
      </c>
      <c r="I41" s="3">
        <f>ROUND(0.0,2)</f>
        <v/>
      </c>
      <c r="J41" s="4">
        <f>IFERROR((D41/C41),0)</f>
        <v/>
      </c>
      <c r="K41" s="4">
        <f>IFERROR(((0+B11+B12+B13+B14+B15+B16+B17+B19+B20+B21+B22+B23+B24+B25+B27+B28+B29+B30+B31+B32+B33+B35+B36+B37+B38+B39+B40+B41)/T2),0)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2023-10-17</t>
        </is>
      </c>
      <c r="O41" s="5">
        <f>ROUND(0.0,2)</f>
        <v/>
      </c>
      <c r="P41" s="3">
        <f>ROUND(0.0,2)</f>
        <v/>
      </c>
      <c r="Q41" s="3">
        <f>ROUND(0.0,2)</f>
        <v/>
      </c>
      <c r="R41" s="3">
        <f>ROUND(0.0,2)</f>
        <v/>
      </c>
      <c r="S41" s="3">
        <f>ROUND(0.0,2)</f>
        <v/>
      </c>
      <c r="T41" s="3">
        <f>ROUND(0.0,2)</f>
        <v/>
      </c>
      <c r="U41" s="3">
        <f>ROUND(0.0,2)</f>
        <v/>
      </c>
      <c r="V41" s="3">
        <f>ROUND(0.0,2)</f>
        <v/>
      </c>
      <c r="W41" s="4">
        <f>IFERROR((Q41/P41),0)</f>
        <v/>
      </c>
      <c r="X41" s="4">
        <f>IFERROR(((0+O11+O12+O13+O14+O15+O16+O17+O19+O20+O21+O22+O23+O24+O25+O27+O28+O29+O30+O31+O32+O33+O35+O36+O37+O38+O39+O40+O41)/T2),0)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2023-10-17</t>
        </is>
      </c>
      <c r="AB41" s="5">
        <f>ROUND(0.0,2)</f>
        <v/>
      </c>
      <c r="AC41" s="3">
        <f>ROUND(0.0,2)</f>
        <v/>
      </c>
      <c r="AD41" s="3">
        <f>ROUND(0.0,2)</f>
        <v/>
      </c>
      <c r="AE41" s="3">
        <f>ROUND(0.0,2)</f>
        <v/>
      </c>
      <c r="AF41" s="3">
        <f>ROUND(0.0,2)</f>
        <v/>
      </c>
      <c r="AG41" s="3">
        <f>ROUND(0.0,2)</f>
        <v/>
      </c>
      <c r="AH41" s="3">
        <f>ROUND(0.0,2)</f>
        <v/>
      </c>
      <c r="AI41" s="3">
        <f>ROUND(0.0,2)</f>
        <v/>
      </c>
      <c r="AJ41" s="4">
        <f>IFERROR((AD41/AC41),0)</f>
        <v/>
      </c>
      <c r="AK41" s="4">
        <f>IFERROR(((0+AB11+AB12+AB13+AB14+AB15+AB16+AB17+AB19+AB20+AB21+AB22+AB23+AB24+AB25+AB27+AB28+AB29+AB30+AB31+AB32+AB33+AB35+AB36+AB37+AB38+AB39+AB40+AB41)/T2),0)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2023-10-17</t>
        </is>
      </c>
      <c r="AO41" s="5">
        <f>ROUND(0.0,2)</f>
        <v/>
      </c>
      <c r="AP41" s="3">
        <f>ROUND(0.0,2)</f>
        <v/>
      </c>
      <c r="AQ41" s="3">
        <f>ROUND(0.0,2)</f>
        <v/>
      </c>
      <c r="AR41" s="3">
        <f>ROUND(0.0,2)</f>
        <v/>
      </c>
      <c r="AS41" s="3">
        <f>ROUND(0.0,2)</f>
        <v/>
      </c>
      <c r="AT41" s="3">
        <f>ROUND(0.0,2)</f>
        <v/>
      </c>
      <c r="AU41" s="3">
        <f>ROUND(0.0,2)</f>
        <v/>
      </c>
      <c r="AV41" s="3">
        <f>ROUND(0.0,2)</f>
        <v/>
      </c>
      <c r="AW41" s="4">
        <f>IFERROR((AQ41/AP41),0)</f>
        <v/>
      </c>
      <c r="AX41" s="4">
        <f>IFERROR(((0+AO11+AO12+AO13+AO14+AO15+AO16+AO17+AO19+AO20+AO21+AO22+AO23+AO24+AO25+AO27+AO28+AO29+AO30+AO31+AO32+AO33+AO35+AO36+AO37+AO38+AO39+AO40+AO41)/T2),0)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2023-10-17</t>
        </is>
      </c>
      <c r="BB41" s="5">
        <f>ROUND(0.0,2)</f>
        <v/>
      </c>
      <c r="BC41" s="3">
        <f>ROUND(0.0,2)</f>
        <v/>
      </c>
      <c r="BD41" s="3">
        <f>ROUND(0.0,2)</f>
        <v/>
      </c>
      <c r="BE41" s="3">
        <f>ROUND(0.0,2)</f>
        <v/>
      </c>
      <c r="BF41" s="3">
        <f>ROUND(0.0,2)</f>
        <v/>
      </c>
      <c r="BG41" s="3">
        <f>ROUND(0.0,2)</f>
        <v/>
      </c>
      <c r="BH41" s="3">
        <f>ROUND(0.0,2)</f>
        <v/>
      </c>
      <c r="BI41" s="3">
        <f>ROUND(0.0,2)</f>
        <v/>
      </c>
      <c r="BJ41" s="4">
        <f>IFERROR((BD41/BC41),0)</f>
        <v/>
      </c>
      <c r="BK41" s="4">
        <f>IFERROR(((0+BB11+BB12+BB13+BB14+BB15+BB16+BB17+BB19+BB20+BB21+BB22+BB23+BB24+BB25+BB27+BB28+BB29+BB30+BB31+BB32+BB33+BB35+BB36+BB37+BB38+BB39+BB40+BB41)/T2),0)</f>
        <v/>
      </c>
      <c r="BL41" s="5">
        <f>IFERROR(ROUND(BB41/BD41,2),0)</f>
        <v/>
      </c>
      <c r="BM41" s="5">
        <f>IFERROR(ROUND(BB41/BE41,2),0)</f>
        <v/>
      </c>
    </row>
    <row r="42">
      <c r="A42" s="2" t="inlineStr">
        <is>
          <t>4 Weekly Total</t>
        </is>
      </c>
      <c r="B42" s="5">
        <f>ROUND(0.0,2)</f>
        <v/>
      </c>
      <c r="C42" s="3">
        <f>ROUND(0.0,2)</f>
        <v/>
      </c>
      <c r="D42" s="3">
        <f>ROUND(0.0,2)</f>
        <v/>
      </c>
      <c r="E42" s="3">
        <f>ROUND(0.0,2)</f>
        <v/>
      </c>
      <c r="F42" s="3">
        <f>ROUND(0.0,2)</f>
        <v/>
      </c>
      <c r="G42" s="3">
        <f>ROUND(0.0,2)</f>
        <v/>
      </c>
      <c r="H42" s="3">
        <f>ROUND(0.0,2)</f>
        <v/>
      </c>
      <c r="I42" s="3">
        <f>ROUND(0.0,2)</f>
        <v/>
      </c>
      <c r="J42" s="4">
        <f>IFERROR((D42/C42),0)</f>
        <v/>
      </c>
      <c r="K42" s="4">
        <f>IFERROR(((0+B11+B12+B13+B14+B15+B16+B17+B19+B20+B21+B22+B23+B24+B25+B27+B28+B29+B30+B31+B32+B33+B35+B36+B37+B38+B39+B40+B41)/T2),0)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4 Weekly Total</t>
        </is>
      </c>
      <c r="O42" s="5">
        <f>ROUND(0.0,2)</f>
        <v/>
      </c>
      <c r="P42" s="3">
        <f>ROUND(0.0,2)</f>
        <v/>
      </c>
      <c r="Q42" s="3">
        <f>ROUND(0.0,2)</f>
        <v/>
      </c>
      <c r="R42" s="3">
        <f>ROUND(0.0,2)</f>
        <v/>
      </c>
      <c r="S42" s="3">
        <f>ROUND(0.0,2)</f>
        <v/>
      </c>
      <c r="T42" s="3">
        <f>ROUND(0.0,2)</f>
        <v/>
      </c>
      <c r="U42" s="3">
        <f>ROUND(0.0,2)</f>
        <v/>
      </c>
      <c r="V42" s="3">
        <f>ROUND(0.0,2)</f>
        <v/>
      </c>
      <c r="W42" s="4">
        <f>IFERROR((Q42/P42),0)</f>
        <v/>
      </c>
      <c r="X42" s="4">
        <f>IFERROR(((0+O11+O12+O13+O14+O15+O16+O17+O19+O20+O21+O22+O23+O24+O25+O27+O28+O29+O30+O31+O32+O33+O35+O36+O37+O38+O39+O40+O41)/T2),0)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4 Weekly Total</t>
        </is>
      </c>
      <c r="AB42" s="5">
        <f>ROUND(0.0,2)</f>
        <v/>
      </c>
      <c r="AC42" s="3">
        <f>ROUND(0.0,2)</f>
        <v/>
      </c>
      <c r="AD42" s="3">
        <f>ROUND(0.0,2)</f>
        <v/>
      </c>
      <c r="AE42" s="3">
        <f>ROUND(0.0,2)</f>
        <v/>
      </c>
      <c r="AF42" s="3">
        <f>ROUND(0.0,2)</f>
        <v/>
      </c>
      <c r="AG42" s="3">
        <f>ROUND(0.0,2)</f>
        <v/>
      </c>
      <c r="AH42" s="3">
        <f>ROUND(0.0,2)</f>
        <v/>
      </c>
      <c r="AI42" s="3">
        <f>ROUND(0.0,2)</f>
        <v/>
      </c>
      <c r="AJ42" s="4">
        <f>IFERROR((AD42/AC42),0)</f>
        <v/>
      </c>
      <c r="AK42" s="4">
        <f>IFERROR(((0+AB11+AB12+AB13+AB14+AB15+AB16+AB17+AB19+AB20+AB21+AB22+AB23+AB24+AB25+AB27+AB28+AB29+AB30+AB31+AB32+AB33+AB35+AB36+AB37+AB38+AB39+AB40+AB41)/T2),0)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4 Weekly Total</t>
        </is>
      </c>
      <c r="AO42" s="5">
        <f>ROUND(0.0,2)</f>
        <v/>
      </c>
      <c r="AP42" s="3">
        <f>ROUND(0.0,2)</f>
        <v/>
      </c>
      <c r="AQ42" s="3">
        <f>ROUND(0.0,2)</f>
        <v/>
      </c>
      <c r="AR42" s="3">
        <f>ROUND(0.0,2)</f>
        <v/>
      </c>
      <c r="AS42" s="3">
        <f>ROUND(0.0,2)</f>
        <v/>
      </c>
      <c r="AT42" s="3">
        <f>ROUND(0.0,2)</f>
        <v/>
      </c>
      <c r="AU42" s="3">
        <f>ROUND(0.0,2)</f>
        <v/>
      </c>
      <c r="AV42" s="3">
        <f>ROUND(0.0,2)</f>
        <v/>
      </c>
      <c r="AW42" s="4">
        <f>IFERROR((AQ42/AP42),0)</f>
        <v/>
      </c>
      <c r="AX42" s="4">
        <f>IFERROR(((0+AO11+AO12+AO13+AO14+AO15+AO16+AO17+AO19+AO20+AO21+AO22+AO23+AO24+AO25+AO27+AO28+AO29+AO30+AO31+AO32+AO33+AO35+AO36+AO37+AO38+AO39+AO40+AO41)/T2),0)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4 Weekly Total</t>
        </is>
      </c>
      <c r="BB42" s="5">
        <f>ROUND(0.0,2)</f>
        <v/>
      </c>
      <c r="BC42" s="3">
        <f>ROUND(0.0,2)</f>
        <v/>
      </c>
      <c r="BD42" s="3">
        <f>ROUND(0.0,2)</f>
        <v/>
      </c>
      <c r="BE42" s="3">
        <f>ROUND(0.0,2)</f>
        <v/>
      </c>
      <c r="BF42" s="3">
        <f>ROUND(0.0,2)</f>
        <v/>
      </c>
      <c r="BG42" s="3">
        <f>ROUND(0.0,2)</f>
        <v/>
      </c>
      <c r="BH42" s="3">
        <f>ROUND(0.0,2)</f>
        <v/>
      </c>
      <c r="BI42" s="3">
        <f>ROUND(0.0,2)</f>
        <v/>
      </c>
      <c r="BJ42" s="4">
        <f>IFERROR((BD42/BC42),0)</f>
        <v/>
      </c>
      <c r="BK42" s="4">
        <f>IFERROR(((0+BB11+BB12+BB13+BB14+BB15+BB16+BB17+BB19+BB20+BB21+BB22+BB23+BB24+BB25+BB27+BB28+BB29+BB30+BB31+BB32+BB33+BB35+BB36+BB37+BB38+BB39+BB40+BB41)/T2),0)</f>
        <v/>
      </c>
      <c r="BL42" s="5">
        <f>IFERROR(ROUND(BB42/BD42,2),0)</f>
        <v/>
      </c>
      <c r="BM42" s="5">
        <f>IFERROR(ROUND(BB42/BE42,2),0)</f>
        <v/>
      </c>
    </row>
    <row r="43">
      <c r="A43" s="2" t="inlineStr">
        <is>
          <t>2023-10-18</t>
        </is>
      </c>
      <c r="B43" s="5">
        <f>ROUND(0.0,2)</f>
        <v/>
      </c>
      <c r="C43" s="3">
        <f>ROUND(0.0,2)</f>
        <v/>
      </c>
      <c r="D43" s="3">
        <f>ROUND(0.0,2)</f>
        <v/>
      </c>
      <c r="E43" s="3">
        <f>ROUND(0.0,2)</f>
        <v/>
      </c>
      <c r="F43" s="3">
        <f>ROUND(0.0,2)</f>
        <v/>
      </c>
      <c r="G43" s="3">
        <f>ROUND(0.0,2)</f>
        <v/>
      </c>
      <c r="H43" s="3">
        <f>ROUND(0.0,2)</f>
        <v/>
      </c>
      <c r="I43" s="3">
        <f>ROUND(0.0,2)</f>
        <v/>
      </c>
      <c r="J43" s="4">
        <f>IFERROR((D43/C43),0)</f>
        <v/>
      </c>
      <c r="K43" s="4">
        <f>IFERROR(((0+B11+B12+B13+B14+B15+B16+B17+B19+B20+B21+B22+B23+B24+B25+B27+B28+B29+B30+B31+B32+B33+B35+B36+B37+B38+B39+B40+B41+B43)/T2),0)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2023-10-18</t>
        </is>
      </c>
      <c r="O43" s="5">
        <f>ROUND(0.0,2)</f>
        <v/>
      </c>
      <c r="P43" s="3">
        <f>ROUND(0.0,2)</f>
        <v/>
      </c>
      <c r="Q43" s="3">
        <f>ROUND(0.0,2)</f>
        <v/>
      </c>
      <c r="R43" s="3">
        <f>ROUND(0.0,2)</f>
        <v/>
      </c>
      <c r="S43" s="3">
        <f>ROUND(0.0,2)</f>
        <v/>
      </c>
      <c r="T43" s="3">
        <f>ROUND(0.0,2)</f>
        <v/>
      </c>
      <c r="U43" s="3">
        <f>ROUND(0.0,2)</f>
        <v/>
      </c>
      <c r="V43" s="3">
        <f>ROUND(0.0,2)</f>
        <v/>
      </c>
      <c r="W43" s="4">
        <f>IFERROR((Q43/P43),0)</f>
        <v/>
      </c>
      <c r="X43" s="4">
        <f>IFERROR(((0+O11+O12+O13+O14+O15+O16+O17+O19+O20+O21+O22+O23+O24+O25+O27+O28+O29+O30+O31+O32+O33+O35+O36+O37+O38+O39+O40+O41+O43)/T2),0)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2023-10-18</t>
        </is>
      </c>
      <c r="AB43" s="5">
        <f>ROUND(0.0,2)</f>
        <v/>
      </c>
      <c r="AC43" s="3">
        <f>ROUND(0.0,2)</f>
        <v/>
      </c>
      <c r="AD43" s="3">
        <f>ROUND(0.0,2)</f>
        <v/>
      </c>
      <c r="AE43" s="3">
        <f>ROUND(0.0,2)</f>
        <v/>
      </c>
      <c r="AF43" s="3">
        <f>ROUND(0.0,2)</f>
        <v/>
      </c>
      <c r="AG43" s="3">
        <f>ROUND(0.0,2)</f>
        <v/>
      </c>
      <c r="AH43" s="3">
        <f>ROUND(0.0,2)</f>
        <v/>
      </c>
      <c r="AI43" s="3">
        <f>ROUND(0.0,2)</f>
        <v/>
      </c>
      <c r="AJ43" s="4">
        <f>IFERROR((AD43/AC43),0)</f>
        <v/>
      </c>
      <c r="AK43" s="4">
        <f>IFERROR(((0+AB11+AB12+AB13+AB14+AB15+AB16+AB17+AB19+AB20+AB21+AB22+AB23+AB24+AB25+AB27+AB28+AB29+AB30+AB31+AB32+AB33+AB35+AB36+AB37+AB38+AB39+AB40+AB41+AB43)/T2),0)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2023-10-18</t>
        </is>
      </c>
      <c r="AO43" s="5">
        <f>ROUND(0.0,2)</f>
        <v/>
      </c>
      <c r="AP43" s="3">
        <f>ROUND(0.0,2)</f>
        <v/>
      </c>
      <c r="AQ43" s="3">
        <f>ROUND(0.0,2)</f>
        <v/>
      </c>
      <c r="AR43" s="3">
        <f>ROUND(0.0,2)</f>
        <v/>
      </c>
      <c r="AS43" s="3">
        <f>ROUND(0.0,2)</f>
        <v/>
      </c>
      <c r="AT43" s="3">
        <f>ROUND(0.0,2)</f>
        <v/>
      </c>
      <c r="AU43" s="3">
        <f>ROUND(0.0,2)</f>
        <v/>
      </c>
      <c r="AV43" s="3">
        <f>ROUND(0.0,2)</f>
        <v/>
      </c>
      <c r="AW43" s="4">
        <f>IFERROR((AQ43/AP43),0)</f>
        <v/>
      </c>
      <c r="AX43" s="4">
        <f>IFERROR(((0+AO11+AO12+AO13+AO14+AO15+AO16+AO17+AO19+AO20+AO21+AO22+AO23+AO24+AO25+AO27+AO28+AO29+AO30+AO31+AO32+AO33+AO35+AO36+AO37+AO38+AO39+AO40+AO41+AO43)/T2),0)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2023-10-18</t>
        </is>
      </c>
      <c r="BB43" s="5">
        <f>ROUND(0.0,2)</f>
        <v/>
      </c>
      <c r="BC43" s="3">
        <f>ROUND(0.0,2)</f>
        <v/>
      </c>
      <c r="BD43" s="3">
        <f>ROUND(0.0,2)</f>
        <v/>
      </c>
      <c r="BE43" s="3">
        <f>ROUND(0.0,2)</f>
        <v/>
      </c>
      <c r="BF43" s="3">
        <f>ROUND(0.0,2)</f>
        <v/>
      </c>
      <c r="BG43" s="3">
        <f>ROUND(0.0,2)</f>
        <v/>
      </c>
      <c r="BH43" s="3">
        <f>ROUND(0.0,2)</f>
        <v/>
      </c>
      <c r="BI43" s="3">
        <f>ROUND(0.0,2)</f>
        <v/>
      </c>
      <c r="BJ43" s="4">
        <f>IFERROR((BD43/BC43),0)</f>
        <v/>
      </c>
      <c r="BK43" s="4">
        <f>IFERROR(((0+BB11+BB12+BB13+BB14+BB15+BB16+BB17+BB19+BB20+BB21+BB22+BB23+BB24+BB25+BB27+BB28+BB29+BB30+BB31+BB32+BB33+BB35+BB36+BB37+BB38+BB39+BB40+BB41+BB43)/T2),0)</f>
        <v/>
      </c>
      <c r="BL43" s="5">
        <f>IFERROR(ROUND(BB43/BD43,2),0)</f>
        <v/>
      </c>
      <c r="BM43" s="5">
        <f>IFERROR(ROUND(BB43/BE43,2),0)</f>
        <v/>
      </c>
    </row>
    <row r="44">
      <c r="A44" s="2" t="inlineStr">
        <is>
          <t>2023-10-19</t>
        </is>
      </c>
      <c r="B44" s="5">
        <f>ROUND(0.0,2)</f>
        <v/>
      </c>
      <c r="C44" s="3">
        <f>ROUND(0.0,2)</f>
        <v/>
      </c>
      <c r="D44" s="3">
        <f>ROUND(0.0,2)</f>
        <v/>
      </c>
      <c r="E44" s="3">
        <f>ROUND(0.0,2)</f>
        <v/>
      </c>
      <c r="F44" s="3">
        <f>ROUND(0.0,2)</f>
        <v/>
      </c>
      <c r="G44" s="3">
        <f>ROUND(0.0,2)</f>
        <v/>
      </c>
      <c r="H44" s="3">
        <f>ROUND(0.0,2)</f>
        <v/>
      </c>
      <c r="I44" s="3">
        <f>ROUND(0.0,2)</f>
        <v/>
      </c>
      <c r="J44" s="4">
        <f>IFERROR((D44/C44),0)</f>
        <v/>
      </c>
      <c r="K44" s="4">
        <f>IFERROR(((0+B11+B12+B13+B14+B15+B16+B17+B19+B20+B21+B22+B23+B24+B25+B27+B28+B29+B30+B31+B32+B33+B35+B36+B37+B38+B39+B40+B41+B43+B44)/T2),0)</f>
        <v/>
      </c>
      <c r="L44" s="5">
        <f>IFERROR(ROUND(B44/D44,2),0)</f>
        <v/>
      </c>
      <c r="M44" s="5">
        <f>IFERROR(ROUND(B44/E44,2),0)</f>
        <v/>
      </c>
      <c r="N44" s="2" t="inlineStr">
        <is>
          <t>2023-10-19</t>
        </is>
      </c>
      <c r="O44" s="5">
        <f>ROUND(0.0,2)</f>
        <v/>
      </c>
      <c r="P44" s="3">
        <f>ROUND(0.0,2)</f>
        <v/>
      </c>
      <c r="Q44" s="3">
        <f>ROUND(0.0,2)</f>
        <v/>
      </c>
      <c r="R44" s="3">
        <f>ROUND(0.0,2)</f>
        <v/>
      </c>
      <c r="S44" s="3">
        <f>ROUND(0.0,2)</f>
        <v/>
      </c>
      <c r="T44" s="3">
        <f>ROUND(0.0,2)</f>
        <v/>
      </c>
      <c r="U44" s="3">
        <f>ROUND(0.0,2)</f>
        <v/>
      </c>
      <c r="V44" s="3">
        <f>ROUND(0.0,2)</f>
        <v/>
      </c>
      <c r="W44" s="4">
        <f>IFERROR((Q44/P44),0)</f>
        <v/>
      </c>
      <c r="X44" s="4">
        <f>IFERROR(((0+O11+O12+O13+O14+O15+O16+O17+O19+O20+O21+O22+O23+O24+O25+O27+O28+O29+O30+O31+O32+O33+O35+O36+O37+O38+O39+O40+O41+O43+O44)/T2),0)</f>
        <v/>
      </c>
      <c r="Y44" s="5">
        <f>IFERROR(ROUND(O44/Q44,2),0)</f>
        <v/>
      </c>
      <c r="Z44" s="5">
        <f>IFERROR(ROUND(O44/R44,2),0)</f>
        <v/>
      </c>
      <c r="AA44" s="2" t="inlineStr">
        <is>
          <t>2023-10-19</t>
        </is>
      </c>
      <c r="AB44" s="5">
        <f>ROUND(0.0,2)</f>
        <v/>
      </c>
      <c r="AC44" s="3">
        <f>ROUND(0.0,2)</f>
        <v/>
      </c>
      <c r="AD44" s="3">
        <f>ROUND(0.0,2)</f>
        <v/>
      </c>
      <c r="AE44" s="3">
        <f>ROUND(0.0,2)</f>
        <v/>
      </c>
      <c r="AF44" s="3">
        <f>ROUND(0.0,2)</f>
        <v/>
      </c>
      <c r="AG44" s="3">
        <f>ROUND(0.0,2)</f>
        <v/>
      </c>
      <c r="AH44" s="3">
        <f>ROUND(0.0,2)</f>
        <v/>
      </c>
      <c r="AI44" s="3">
        <f>ROUND(0.0,2)</f>
        <v/>
      </c>
      <c r="AJ44" s="4">
        <f>IFERROR((AD44/AC44),0)</f>
        <v/>
      </c>
      <c r="AK44" s="4">
        <f>IFERROR(((0+AB11+AB12+AB13+AB14+AB15+AB16+AB17+AB19+AB20+AB21+AB22+AB23+AB24+AB25+AB27+AB28+AB29+AB30+AB31+AB32+AB33+AB35+AB36+AB37+AB38+AB39+AB40+AB41+AB43+AB44)/T2),0)</f>
        <v/>
      </c>
      <c r="AL44" s="5">
        <f>IFERROR(ROUND(AB44/AD44,2),0)</f>
        <v/>
      </c>
      <c r="AM44" s="5">
        <f>IFERROR(ROUND(AB44/AE44,2),0)</f>
        <v/>
      </c>
      <c r="AN44" s="2" t="inlineStr">
        <is>
          <t>2023-10-19</t>
        </is>
      </c>
      <c r="AO44" s="5">
        <f>ROUND(0.0,2)</f>
        <v/>
      </c>
      <c r="AP44" s="3">
        <f>ROUND(0.0,2)</f>
        <v/>
      </c>
      <c r="AQ44" s="3">
        <f>ROUND(0.0,2)</f>
        <v/>
      </c>
      <c r="AR44" s="3">
        <f>ROUND(0.0,2)</f>
        <v/>
      </c>
      <c r="AS44" s="3">
        <f>ROUND(0.0,2)</f>
        <v/>
      </c>
      <c r="AT44" s="3">
        <f>ROUND(0.0,2)</f>
        <v/>
      </c>
      <c r="AU44" s="3">
        <f>ROUND(0.0,2)</f>
        <v/>
      </c>
      <c r="AV44" s="3">
        <f>ROUND(0.0,2)</f>
        <v/>
      </c>
      <c r="AW44" s="4">
        <f>IFERROR((AQ44/AP44),0)</f>
        <v/>
      </c>
      <c r="AX44" s="4">
        <f>IFERROR(((0+AO11+AO12+AO13+AO14+AO15+AO16+AO17+AO19+AO20+AO21+AO22+AO23+AO24+AO25+AO27+AO28+AO29+AO30+AO31+AO32+AO33+AO35+AO36+AO37+AO38+AO39+AO40+AO41+AO43+AO44)/T2),0)</f>
        <v/>
      </c>
      <c r="AY44" s="5">
        <f>IFERROR(ROUND(AO44/AQ44,2),0)</f>
        <v/>
      </c>
      <c r="AZ44" s="5">
        <f>IFERROR(ROUND(AO44/AR44,2),0)</f>
        <v/>
      </c>
      <c r="BA44" s="2" t="inlineStr">
        <is>
          <t>2023-10-19</t>
        </is>
      </c>
      <c r="BB44" s="5">
        <f>ROUND(0.0,2)</f>
        <v/>
      </c>
      <c r="BC44" s="3">
        <f>ROUND(0.0,2)</f>
        <v/>
      </c>
      <c r="BD44" s="3">
        <f>ROUND(0.0,2)</f>
        <v/>
      </c>
      <c r="BE44" s="3">
        <f>ROUND(0.0,2)</f>
        <v/>
      </c>
      <c r="BF44" s="3">
        <f>ROUND(0.0,2)</f>
        <v/>
      </c>
      <c r="BG44" s="3">
        <f>ROUND(0.0,2)</f>
        <v/>
      </c>
      <c r="BH44" s="3">
        <f>ROUND(0.0,2)</f>
        <v/>
      </c>
      <c r="BI44" s="3">
        <f>ROUND(0.0,2)</f>
        <v/>
      </c>
      <c r="BJ44" s="4">
        <f>IFERROR((BD44/BC44),0)</f>
        <v/>
      </c>
      <c r="BK44" s="4">
        <f>IFERROR(((0+BB11+BB12+BB13+BB14+BB15+BB16+BB17+BB19+BB20+BB21+BB22+BB23+BB24+BB25+BB27+BB28+BB29+BB30+BB31+BB32+BB33+BB35+BB36+BB37+BB38+BB39+BB40+BB41+BB43+BB44)/T2),0)</f>
        <v/>
      </c>
      <c r="BL44" s="5">
        <f>IFERROR(ROUND(BB44/BD44,2),0)</f>
        <v/>
      </c>
      <c r="BM44" s="5">
        <f>IFERROR(ROUND(BB44/BE44,2),0)</f>
        <v/>
      </c>
    </row>
    <row r="45">
      <c r="A45" s="2" t="inlineStr">
        <is>
          <t>2023-10-20</t>
        </is>
      </c>
      <c r="B45" s="5">
        <f>ROUND(0.0,2)</f>
        <v/>
      </c>
      <c r="C45" s="3">
        <f>ROUND(0.0,2)</f>
        <v/>
      </c>
      <c r="D45" s="3">
        <f>ROUND(0.0,2)</f>
        <v/>
      </c>
      <c r="E45" s="3">
        <f>ROUND(0.0,2)</f>
        <v/>
      </c>
      <c r="F45" s="3">
        <f>ROUND(0.0,2)</f>
        <v/>
      </c>
      <c r="G45" s="3">
        <f>ROUND(0.0,2)</f>
        <v/>
      </c>
      <c r="H45" s="3">
        <f>ROUND(0.0,2)</f>
        <v/>
      </c>
      <c r="I45" s="3">
        <f>ROUND(0.0,2)</f>
        <v/>
      </c>
      <c r="J45" s="4">
        <f>IFERROR((D45/C45),0)</f>
        <v/>
      </c>
      <c r="K45" s="4">
        <f>IFERROR(((0+B11+B12+B13+B14+B15+B16+B17+B19+B20+B21+B22+B23+B24+B25+B27+B28+B29+B30+B31+B32+B33+B35+B36+B37+B38+B39+B40+B41+B43+B44+B45)/T2),0)</f>
        <v/>
      </c>
      <c r="L45" s="5">
        <f>IFERROR(ROUND(B45/D45,2),0)</f>
        <v/>
      </c>
      <c r="M45" s="5">
        <f>IFERROR(ROUND(B45/E45,2),0)</f>
        <v/>
      </c>
      <c r="N45" s="2" t="inlineStr">
        <is>
          <t>2023-10-20</t>
        </is>
      </c>
      <c r="O45" s="5">
        <f>ROUND(0.0,2)</f>
        <v/>
      </c>
      <c r="P45" s="3">
        <f>ROUND(0.0,2)</f>
        <v/>
      </c>
      <c r="Q45" s="3">
        <f>ROUND(0.0,2)</f>
        <v/>
      </c>
      <c r="R45" s="3">
        <f>ROUND(0.0,2)</f>
        <v/>
      </c>
      <c r="S45" s="3">
        <f>ROUND(0.0,2)</f>
        <v/>
      </c>
      <c r="T45" s="3">
        <f>ROUND(0.0,2)</f>
        <v/>
      </c>
      <c r="U45" s="3">
        <f>ROUND(0.0,2)</f>
        <v/>
      </c>
      <c r="V45" s="3">
        <f>ROUND(0.0,2)</f>
        <v/>
      </c>
      <c r="W45" s="4">
        <f>IFERROR((Q45/P45),0)</f>
        <v/>
      </c>
      <c r="X45" s="4">
        <f>IFERROR(((0+O11+O12+O13+O14+O15+O16+O17+O19+O20+O21+O22+O23+O24+O25+O27+O28+O29+O30+O31+O32+O33+O35+O36+O37+O38+O39+O40+O41+O43+O44+O45)/T2),0)</f>
        <v/>
      </c>
      <c r="Y45" s="5">
        <f>IFERROR(ROUND(O45/Q45,2),0)</f>
        <v/>
      </c>
      <c r="Z45" s="5">
        <f>IFERROR(ROUND(O45/R45,2),0)</f>
        <v/>
      </c>
      <c r="AA45" s="2" t="inlineStr">
        <is>
          <t>2023-10-20</t>
        </is>
      </c>
      <c r="AB45" s="5">
        <f>ROUND(0.0,2)</f>
        <v/>
      </c>
      <c r="AC45" s="3">
        <f>ROUND(0.0,2)</f>
        <v/>
      </c>
      <c r="AD45" s="3">
        <f>ROUND(0.0,2)</f>
        <v/>
      </c>
      <c r="AE45" s="3">
        <f>ROUND(0.0,2)</f>
        <v/>
      </c>
      <c r="AF45" s="3">
        <f>ROUND(0.0,2)</f>
        <v/>
      </c>
      <c r="AG45" s="3">
        <f>ROUND(0.0,2)</f>
        <v/>
      </c>
      <c r="AH45" s="3">
        <f>ROUND(0.0,2)</f>
        <v/>
      </c>
      <c r="AI45" s="3">
        <f>ROUND(0.0,2)</f>
        <v/>
      </c>
      <c r="AJ45" s="4">
        <f>IFERROR((AD45/AC45),0)</f>
        <v/>
      </c>
      <c r="AK45" s="4">
        <f>IFERROR(((0+AB11+AB12+AB13+AB14+AB15+AB16+AB17+AB19+AB20+AB21+AB22+AB23+AB24+AB25+AB27+AB28+AB29+AB30+AB31+AB32+AB33+AB35+AB36+AB37+AB38+AB39+AB40+AB41+AB43+AB44+AB45)/T2),0)</f>
        <v/>
      </c>
      <c r="AL45" s="5">
        <f>IFERROR(ROUND(AB45/AD45,2),0)</f>
        <v/>
      </c>
      <c r="AM45" s="5">
        <f>IFERROR(ROUND(AB45/AE45,2),0)</f>
        <v/>
      </c>
      <c r="AN45" s="2" t="inlineStr">
        <is>
          <t>2023-10-20</t>
        </is>
      </c>
      <c r="AO45" s="5">
        <f>ROUND(0.0,2)</f>
        <v/>
      </c>
      <c r="AP45" s="3">
        <f>ROUND(0.0,2)</f>
        <v/>
      </c>
      <c r="AQ45" s="3">
        <f>ROUND(0.0,2)</f>
        <v/>
      </c>
      <c r="AR45" s="3">
        <f>ROUND(0.0,2)</f>
        <v/>
      </c>
      <c r="AS45" s="3">
        <f>ROUND(0.0,2)</f>
        <v/>
      </c>
      <c r="AT45" s="3">
        <f>ROUND(0.0,2)</f>
        <v/>
      </c>
      <c r="AU45" s="3">
        <f>ROUND(0.0,2)</f>
        <v/>
      </c>
      <c r="AV45" s="3">
        <f>ROUND(0.0,2)</f>
        <v/>
      </c>
      <c r="AW45" s="4">
        <f>IFERROR((AQ45/AP45),0)</f>
        <v/>
      </c>
      <c r="AX45" s="4">
        <f>IFERROR(((0+AO11+AO12+AO13+AO14+AO15+AO16+AO17+AO19+AO20+AO21+AO22+AO23+AO24+AO25+AO27+AO28+AO29+AO30+AO31+AO32+AO33+AO35+AO36+AO37+AO38+AO39+AO40+AO41+AO43+AO44+AO45)/T2),0)</f>
        <v/>
      </c>
      <c r="AY45" s="5">
        <f>IFERROR(ROUND(AO45/AQ45,2),0)</f>
        <v/>
      </c>
      <c r="AZ45" s="5">
        <f>IFERROR(ROUND(AO45/AR45,2),0)</f>
        <v/>
      </c>
      <c r="BA45" s="2" t="inlineStr">
        <is>
          <t>2023-10-20</t>
        </is>
      </c>
      <c r="BB45" s="5">
        <f>ROUND(0.0,2)</f>
        <v/>
      </c>
      <c r="BC45" s="3">
        <f>ROUND(0.0,2)</f>
        <v/>
      </c>
      <c r="BD45" s="3">
        <f>ROUND(0.0,2)</f>
        <v/>
      </c>
      <c r="BE45" s="3">
        <f>ROUND(0.0,2)</f>
        <v/>
      </c>
      <c r="BF45" s="3">
        <f>ROUND(0.0,2)</f>
        <v/>
      </c>
      <c r="BG45" s="3">
        <f>ROUND(0.0,2)</f>
        <v/>
      </c>
      <c r="BH45" s="3">
        <f>ROUND(0.0,2)</f>
        <v/>
      </c>
      <c r="BI45" s="3">
        <f>ROUND(0.0,2)</f>
        <v/>
      </c>
      <c r="BJ45" s="4">
        <f>IFERROR((BD45/BC45),0)</f>
        <v/>
      </c>
      <c r="BK45" s="4">
        <f>IFERROR(((0+BB11+BB12+BB13+BB14+BB15+BB16+BB17+BB19+BB20+BB21+BB22+BB23+BB24+BB25+BB27+BB28+BB29+BB30+BB31+BB32+BB33+BB35+BB36+BB37+BB38+BB39+BB40+BB41+BB43+BB44+BB45)/T2),0)</f>
        <v/>
      </c>
      <c r="BL45" s="5">
        <f>IFERROR(ROUND(BB45/BD45,2),0)</f>
        <v/>
      </c>
      <c r="BM45" s="5">
        <f>IFERROR(ROUND(BB45/BE45,2),0)</f>
        <v/>
      </c>
    </row>
    <row r="46">
      <c r="A46" s="2" t="inlineStr">
        <is>
          <t>2023-10-21</t>
        </is>
      </c>
      <c r="B46" s="5">
        <f>ROUND(79.62,2)</f>
        <v/>
      </c>
      <c r="C46" s="3">
        <f>ROUND(147205.0,2)</f>
        <v/>
      </c>
      <c r="D46" s="3">
        <f>ROUND(1641.0,2)</f>
        <v/>
      </c>
      <c r="E46" s="3">
        <f>ROUND(25894.0,2)</f>
        <v/>
      </c>
      <c r="F46" s="3">
        <f>ROUND(14629.0,2)</f>
        <v/>
      </c>
      <c r="G46" s="3">
        <f>ROUND(10947.0,2)</f>
        <v/>
      </c>
      <c r="H46" s="3">
        <f>ROUND(9883.0,2)</f>
        <v/>
      </c>
      <c r="I46" s="3">
        <f>ROUND(8468.0,2)</f>
        <v/>
      </c>
      <c r="J46" s="4">
        <f>IFERROR((D46/C46),0)</f>
        <v/>
      </c>
      <c r="K46" s="4">
        <f>IFERROR(((0+B11+B12+B13+B14+B15+B16+B17+B19+B20+B21+B22+B23+B24+B25+B27+B28+B29+B30+B31+B32+B33+B35+B36+B37+B38+B39+B40+B41+B43+B44+B45+B46)/T2),0)</f>
        <v/>
      </c>
      <c r="L46" s="5">
        <f>IFERROR(ROUND(B46/D46,2),0)</f>
        <v/>
      </c>
      <c r="M46" s="5">
        <f>IFERROR(ROUND(B46/E46,2),0)</f>
        <v/>
      </c>
      <c r="N46" s="2" t="inlineStr">
        <is>
          <t>2023-10-21</t>
        </is>
      </c>
      <c r="O46" s="5">
        <f>ROUND(8.63,2)</f>
        <v/>
      </c>
      <c r="P46" s="3">
        <f>ROUND(15492.0,2)</f>
        <v/>
      </c>
      <c r="Q46" s="3">
        <f>ROUND(139.0,2)</f>
        <v/>
      </c>
      <c r="R46" s="3">
        <f>ROUND(2948.0,2)</f>
        <v/>
      </c>
      <c r="S46" s="3">
        <f>ROUND(1897.0,2)</f>
        <v/>
      </c>
      <c r="T46" s="3">
        <f>ROUND(1489.0,2)</f>
        <v/>
      </c>
      <c r="U46" s="3">
        <f>ROUND(1362.0,2)</f>
        <v/>
      </c>
      <c r="V46" s="3">
        <f>ROUND(1245.0,2)</f>
        <v/>
      </c>
      <c r="W46" s="4">
        <f>IFERROR((Q46/P46),0)</f>
        <v/>
      </c>
      <c r="X46" s="4">
        <f>IFERROR(((0+O11+O12+O13+O14+O15+O16+O17+O19+O20+O21+O22+O23+O24+O25+O27+O28+O29+O30+O31+O32+O33+O35+O36+O37+O38+O39+O40+O41+O43+O44+O45+O46)/T2),0)</f>
        <v/>
      </c>
      <c r="Y46" s="5">
        <f>IFERROR(ROUND(O46/Q46,2),0)</f>
        <v/>
      </c>
      <c r="Z46" s="5">
        <f>IFERROR(ROUND(O46/R46,2),0)</f>
        <v/>
      </c>
      <c r="AA46" s="2" t="inlineStr">
        <is>
          <t>2023-10-21</t>
        </is>
      </c>
      <c r="AB46" s="5">
        <f>ROUND(39.160000000000004,2)</f>
        <v/>
      </c>
      <c r="AC46" s="3">
        <f>ROUND(71677.0,2)</f>
        <v/>
      </c>
      <c r="AD46" s="3">
        <f>ROUND(934.0,2)</f>
        <v/>
      </c>
      <c r="AE46" s="3">
        <f>ROUND(13521.0,2)</f>
        <v/>
      </c>
      <c r="AF46" s="3">
        <f>ROUND(7624.0,2)</f>
        <v/>
      </c>
      <c r="AG46" s="3">
        <f>ROUND(5461.0,2)</f>
        <v/>
      </c>
      <c r="AH46" s="3">
        <f>ROUND(4891.0,2)</f>
        <v/>
      </c>
      <c r="AI46" s="3">
        <f>ROUND(4191.0,2)</f>
        <v/>
      </c>
      <c r="AJ46" s="4">
        <f>IFERROR((AD46/AC46),0)</f>
        <v/>
      </c>
      <c r="AK46" s="4">
        <f>IFERROR(((0+AB11+AB12+AB13+AB14+AB15+AB16+AB17+AB19+AB20+AB21+AB22+AB23+AB24+AB25+AB27+AB28+AB29+AB30+AB31+AB32+AB33+AB35+AB36+AB37+AB38+AB39+AB40+AB41+AB43+AB44+AB45+AB46)/T2),0)</f>
        <v/>
      </c>
      <c r="AL46" s="5">
        <f>IFERROR(ROUND(AB46/AD46,2),0)</f>
        <v/>
      </c>
      <c r="AM46" s="5">
        <f>IFERROR(ROUND(AB46/AE46,2),0)</f>
        <v/>
      </c>
      <c r="AN46" s="2" t="inlineStr">
        <is>
          <t>2023-10-21</t>
        </is>
      </c>
      <c r="AO46" s="5">
        <f>ROUND(8.04,2)</f>
        <v/>
      </c>
      <c r="AP46" s="3">
        <f>ROUND(15702.0,2)</f>
        <v/>
      </c>
      <c r="AQ46" s="3">
        <f>ROUND(159.0,2)</f>
        <v/>
      </c>
      <c r="AR46" s="3">
        <f>ROUND(2574.0,2)</f>
        <v/>
      </c>
      <c r="AS46" s="3">
        <f>ROUND(1568.0,2)</f>
        <v/>
      </c>
      <c r="AT46" s="3">
        <f>ROUND(1309.0,2)</f>
        <v/>
      </c>
      <c r="AU46" s="3">
        <f>ROUND(1209.0,2)</f>
        <v/>
      </c>
      <c r="AV46" s="3">
        <f>ROUND(1109.0,2)</f>
        <v/>
      </c>
      <c r="AW46" s="4">
        <f>IFERROR((AQ46/AP46),0)</f>
        <v/>
      </c>
      <c r="AX46" s="4">
        <f>IFERROR(((0+AO11+AO12+AO13+AO14+AO15+AO16+AO17+AO19+AO20+AO21+AO22+AO23+AO24+AO25+AO27+AO28+AO29+AO30+AO31+AO32+AO33+AO35+AO36+AO37+AO38+AO39+AO40+AO41+AO43+AO44+AO45+AO46)/T2),0)</f>
        <v/>
      </c>
      <c r="AY46" s="5">
        <f>IFERROR(ROUND(AO46/AQ46,2),0)</f>
        <v/>
      </c>
      <c r="AZ46" s="5">
        <f>IFERROR(ROUND(AO46/AR46,2),0)</f>
        <v/>
      </c>
      <c r="BA46" s="2" t="inlineStr">
        <is>
          <t>2023-10-21</t>
        </is>
      </c>
      <c r="BB46" s="5">
        <f>ROUND(23.79,2)</f>
        <v/>
      </c>
      <c r="BC46" s="3">
        <f>ROUND(44334.0,2)</f>
        <v/>
      </c>
      <c r="BD46" s="3">
        <f>ROUND(409.0,2)</f>
        <v/>
      </c>
      <c r="BE46" s="3">
        <f>ROUND(6851.0,2)</f>
        <v/>
      </c>
      <c r="BF46" s="3">
        <f>ROUND(3540.0,2)</f>
        <v/>
      </c>
      <c r="BG46" s="3">
        <f>ROUND(2688.0,2)</f>
        <v/>
      </c>
      <c r="BH46" s="3">
        <f>ROUND(2421.0,2)</f>
        <v/>
      </c>
      <c r="BI46" s="3">
        <f>ROUND(1923.0,2)</f>
        <v/>
      </c>
      <c r="BJ46" s="4">
        <f>IFERROR((BD46/BC46),0)</f>
        <v/>
      </c>
      <c r="BK46" s="4">
        <f>IFERROR(((0+BB11+BB12+BB13+BB14+BB15+BB16+BB17+BB19+BB20+BB21+BB22+BB23+BB24+BB25+BB27+BB28+BB29+BB30+BB31+BB32+BB33+BB35+BB36+BB37+BB38+BB39+BB40+BB41+BB43+BB44+BB45+BB46)/T2),0)</f>
        <v/>
      </c>
      <c r="BL46" s="5">
        <f>IFERROR(ROUND(BB46/BD46,2),0)</f>
        <v/>
      </c>
      <c r="BM46" s="5">
        <f>IFERROR(ROUND(BB46/BE46,2),0)</f>
        <v/>
      </c>
    </row>
    <row r="47">
      <c r="A47" s="2" t="inlineStr">
        <is>
          <t>2023-10-22</t>
        </is>
      </c>
      <c r="B47" s="5">
        <f>ROUND(99.58,2)</f>
        <v/>
      </c>
      <c r="C47" s="3">
        <f>ROUND(222278.0,2)</f>
        <v/>
      </c>
      <c r="D47" s="3">
        <f>ROUND(2479.0,2)</f>
        <v/>
      </c>
      <c r="E47" s="3">
        <f>ROUND(35104.0,2)</f>
        <v/>
      </c>
      <c r="F47" s="3">
        <f>ROUND(18675.0,2)</f>
        <v/>
      </c>
      <c r="G47" s="3">
        <f>ROUND(13621.0,2)</f>
        <v/>
      </c>
      <c r="H47" s="3">
        <f>ROUND(12086.0,2)</f>
        <v/>
      </c>
      <c r="I47" s="3">
        <f>ROUND(10275.0,2)</f>
        <v/>
      </c>
      <c r="J47" s="4">
        <f>IFERROR((D47/C47),0)</f>
        <v/>
      </c>
      <c r="K47" s="4">
        <f>IFERROR(((0+B11+B12+B13+B14+B15+B16+B17+B19+B20+B21+B22+B23+B24+B25+B27+B28+B29+B30+B31+B32+B33+B35+B36+B37+B38+B39+B40+B41+B43+B44+B45+B46+B47)/T2),0)</f>
        <v/>
      </c>
      <c r="L47" s="5">
        <f>IFERROR(ROUND(B47/D47,2),0)</f>
        <v/>
      </c>
      <c r="M47" s="5">
        <f>IFERROR(ROUND(B47/E47,2),0)</f>
        <v/>
      </c>
      <c r="N47" s="2" t="inlineStr">
        <is>
          <t>2023-10-22</t>
        </is>
      </c>
      <c r="O47" s="5">
        <f>ROUND(9.09,2)</f>
        <v/>
      </c>
      <c r="P47" s="3">
        <f>ROUND(19017.0,2)</f>
        <v/>
      </c>
      <c r="Q47" s="3">
        <f>ROUND(199.0,2)</f>
        <v/>
      </c>
      <c r="R47" s="3">
        <f>ROUND(3235.0,2)</f>
        <v/>
      </c>
      <c r="S47" s="3">
        <f>ROUND(1968.0,2)</f>
        <v/>
      </c>
      <c r="T47" s="3">
        <f>ROUND(1509.0,2)</f>
        <v/>
      </c>
      <c r="U47" s="3">
        <f>ROUND(1369.0,2)</f>
        <v/>
      </c>
      <c r="V47" s="3">
        <f>ROUND(1250.0,2)</f>
        <v/>
      </c>
      <c r="W47" s="4">
        <f>IFERROR((Q47/P47),0)</f>
        <v/>
      </c>
      <c r="X47" s="4">
        <f>IFERROR(((0+O11+O12+O13+O14+O15+O16+O17+O19+O20+O21+O22+O23+O24+O25+O27+O28+O29+O30+O31+O32+O33+O35+O36+O37+O38+O39+O40+O41+O43+O44+O45+O46+O47)/T2),0)</f>
        <v/>
      </c>
      <c r="Y47" s="5">
        <f>IFERROR(ROUND(O47/Q47,2),0)</f>
        <v/>
      </c>
      <c r="Z47" s="5">
        <f>IFERROR(ROUND(O47/R47,2),0)</f>
        <v/>
      </c>
      <c r="AA47" s="2" t="inlineStr">
        <is>
          <t>2023-10-22</t>
        </is>
      </c>
      <c r="AB47" s="5">
        <f>ROUND(35.12,2)</f>
        <v/>
      </c>
      <c r="AC47" s="3">
        <f>ROUND(78708.0,2)</f>
        <v/>
      </c>
      <c r="AD47" s="3">
        <f>ROUND(1020.0,2)</f>
        <v/>
      </c>
      <c r="AE47" s="3">
        <f>ROUND(14041.0,2)</f>
        <v/>
      </c>
      <c r="AF47" s="3">
        <f>ROUND(7573.0,2)</f>
        <v/>
      </c>
      <c r="AG47" s="3">
        <f>ROUND(5279.0,2)</f>
        <v/>
      </c>
      <c r="AH47" s="3">
        <f>ROUND(4663.0,2)</f>
        <v/>
      </c>
      <c r="AI47" s="3">
        <f>ROUND(3949.0,2)</f>
        <v/>
      </c>
      <c r="AJ47" s="4">
        <f>IFERROR((AD47/AC47),0)</f>
        <v/>
      </c>
      <c r="AK47" s="4">
        <f>IFERROR(((0+AB11+AB12+AB13+AB14+AB15+AB16+AB17+AB19+AB20+AB21+AB22+AB23+AB24+AB25+AB27+AB28+AB29+AB30+AB31+AB32+AB33+AB35+AB36+AB37+AB38+AB39+AB40+AB41+AB43+AB44+AB45+AB46+AB47)/T2),0)</f>
        <v/>
      </c>
      <c r="AL47" s="5">
        <f>IFERROR(ROUND(AB47/AD47,2),0)</f>
        <v/>
      </c>
      <c r="AM47" s="5">
        <f>IFERROR(ROUND(AB47/AE47,2),0)</f>
        <v/>
      </c>
      <c r="AN47" s="2" t="inlineStr">
        <is>
          <t>2023-10-22</t>
        </is>
      </c>
      <c r="AO47" s="5">
        <f>ROUND(12.540000000000001,2)</f>
        <v/>
      </c>
      <c r="AP47" s="3">
        <f>ROUND(28650.0,2)</f>
        <v/>
      </c>
      <c r="AQ47" s="3">
        <f>ROUND(286.0,2)</f>
        <v/>
      </c>
      <c r="AR47" s="3">
        <f>ROUND(4108.0,2)</f>
        <v/>
      </c>
      <c r="AS47" s="3">
        <f>ROUND(2332.0,2)</f>
        <v/>
      </c>
      <c r="AT47" s="3">
        <f>ROUND(1845.0,2)</f>
        <v/>
      </c>
      <c r="AU47" s="3">
        <f>ROUND(1636.0,2)</f>
        <v/>
      </c>
      <c r="AV47" s="3">
        <f>ROUND(1484.0,2)</f>
        <v/>
      </c>
      <c r="AW47" s="4">
        <f>IFERROR((AQ47/AP47),0)</f>
        <v/>
      </c>
      <c r="AX47" s="4">
        <f>IFERROR(((0+AO11+AO12+AO13+AO14+AO15+AO16+AO17+AO19+AO20+AO21+AO22+AO23+AO24+AO25+AO27+AO28+AO29+AO30+AO31+AO32+AO33+AO35+AO36+AO37+AO38+AO39+AO40+AO41+AO43+AO44+AO45+AO46+AO47)/T2),0)</f>
        <v/>
      </c>
      <c r="AY47" s="5">
        <f>IFERROR(ROUND(AO47/AQ47,2),0)</f>
        <v/>
      </c>
      <c r="AZ47" s="5">
        <f>IFERROR(ROUND(AO47/AR47,2),0)</f>
        <v/>
      </c>
      <c r="BA47" s="2" t="inlineStr">
        <is>
          <t>2023-10-22</t>
        </is>
      </c>
      <c r="BB47" s="5">
        <f>ROUND(42.83,2)</f>
        <v/>
      </c>
      <c r="BC47" s="3">
        <f>ROUND(95903.0,2)</f>
        <v/>
      </c>
      <c r="BD47" s="3">
        <f>ROUND(974.0,2)</f>
        <v/>
      </c>
      <c r="BE47" s="3">
        <f>ROUND(13720.0,2)</f>
        <v/>
      </c>
      <c r="BF47" s="3">
        <f>ROUND(6802.0,2)</f>
        <v/>
      </c>
      <c r="BG47" s="3">
        <f>ROUND(4988.0,2)</f>
        <v/>
      </c>
      <c r="BH47" s="3">
        <f>ROUND(4418.0,2)</f>
        <v/>
      </c>
      <c r="BI47" s="3">
        <f>ROUND(3592.0,2)</f>
        <v/>
      </c>
      <c r="BJ47" s="4">
        <f>IFERROR((BD47/BC47),0)</f>
        <v/>
      </c>
      <c r="BK47" s="4">
        <f>IFERROR(((0+BB11+BB12+BB13+BB14+BB15+BB16+BB17+BB19+BB20+BB21+BB22+BB23+BB24+BB25+BB27+BB28+BB29+BB30+BB31+BB32+BB33+BB35+BB36+BB37+BB38+BB39+BB40+BB41+BB43+BB44+BB45+BB46+BB47)/T2),0)</f>
        <v/>
      </c>
      <c r="BL47" s="5">
        <f>IFERROR(ROUND(BB47/BD47,2),0)</f>
        <v/>
      </c>
      <c r="BM47" s="5">
        <f>IFERROR(ROUND(BB47/BE47,2),0)</f>
        <v/>
      </c>
    </row>
    <row r="48">
      <c r="A48" s="2" t="inlineStr">
        <is>
          <t>2023-10-23</t>
        </is>
      </c>
      <c r="B48" s="5">
        <f>ROUND(94.64,2)</f>
        <v/>
      </c>
      <c r="C48" s="3">
        <f>ROUND(201343.0,2)</f>
        <v/>
      </c>
      <c r="D48" s="3">
        <f>ROUND(2310.0,2)</f>
        <v/>
      </c>
      <c r="E48" s="3">
        <f>ROUND(31774.0,2)</f>
        <v/>
      </c>
      <c r="F48" s="3">
        <f>ROUND(17356.0,2)</f>
        <v/>
      </c>
      <c r="G48" s="3">
        <f>ROUND(12683.0,2)</f>
        <v/>
      </c>
      <c r="H48" s="3">
        <f>ROUND(11239.0,2)</f>
        <v/>
      </c>
      <c r="I48" s="3">
        <f>ROUND(9517.0,2)</f>
        <v/>
      </c>
      <c r="J48" s="4">
        <f>IFERROR((D48/C48),0)</f>
        <v/>
      </c>
      <c r="K48" s="4">
        <f>IFERROR(((0+B11+B12+B13+B14+B15+B16+B17+B19+B20+B21+B22+B23+B24+B25+B27+B28+B29+B30+B31+B32+B33+B35+B36+B37+B38+B39+B40+B41+B43+B44+B45+B46+B47+B48)/T2),0)</f>
        <v/>
      </c>
      <c r="L48" s="5">
        <f>IFERROR(ROUND(B48/D48,2),0)</f>
        <v/>
      </c>
      <c r="M48" s="5">
        <f>IFERROR(ROUND(B48/E48,2),0)</f>
        <v/>
      </c>
      <c r="N48" s="2" t="inlineStr">
        <is>
          <t>2023-10-23</t>
        </is>
      </c>
      <c r="O48" s="5">
        <f>ROUND(11.36,2)</f>
        <v/>
      </c>
      <c r="P48" s="3">
        <f>ROUND(21975.0,2)</f>
        <v/>
      </c>
      <c r="Q48" s="3">
        <f>ROUND(231.0,2)</f>
        <v/>
      </c>
      <c r="R48" s="3">
        <f>ROUND(3408.0,2)</f>
        <v/>
      </c>
      <c r="S48" s="3">
        <f>ROUND(2124.0,2)</f>
        <v/>
      </c>
      <c r="T48" s="3">
        <f>ROUND(1601.0,2)</f>
        <v/>
      </c>
      <c r="U48" s="3">
        <f>ROUND(1432.0,2)</f>
        <v/>
      </c>
      <c r="V48" s="3">
        <f>ROUND(1289.0,2)</f>
        <v/>
      </c>
      <c r="W48" s="4">
        <f>IFERROR((Q48/P48),0)</f>
        <v/>
      </c>
      <c r="X48" s="4">
        <f>IFERROR(((0+O11+O12+O13+O14+O15+O16+O17+O19+O20+O21+O22+O23+O24+O25+O27+O28+O29+O30+O31+O32+O33+O35+O36+O37+O38+O39+O40+O41+O43+O44+O45+O46+O47+O48)/T2),0)</f>
        <v/>
      </c>
      <c r="Y48" s="5">
        <f>IFERROR(ROUND(O48/Q48,2),0)</f>
        <v/>
      </c>
      <c r="Z48" s="5">
        <f>IFERROR(ROUND(O48/R48,2),0)</f>
        <v/>
      </c>
      <c r="AA48" s="2" t="inlineStr">
        <is>
          <t>2023-10-23</t>
        </is>
      </c>
      <c r="AB48" s="5">
        <f>ROUND(33.26,2)</f>
        <v/>
      </c>
      <c r="AC48" s="3">
        <f>ROUND(70100.0,2)</f>
        <v/>
      </c>
      <c r="AD48" s="3">
        <f>ROUND(979.0,2)</f>
        <v/>
      </c>
      <c r="AE48" s="3">
        <f>ROUND(13073.0,2)</f>
        <v/>
      </c>
      <c r="AF48" s="3">
        <f>ROUND(7170.0,2)</f>
        <v/>
      </c>
      <c r="AG48" s="3">
        <f>ROUND(5017.0,2)</f>
        <v/>
      </c>
      <c r="AH48" s="3">
        <f>ROUND(4427.0,2)</f>
        <v/>
      </c>
      <c r="AI48" s="3">
        <f>ROUND(3723.0,2)</f>
        <v/>
      </c>
      <c r="AJ48" s="4">
        <f>IFERROR((AD48/AC48),0)</f>
        <v/>
      </c>
      <c r="AK48" s="4">
        <f>IFERROR(((0+AB11+AB12+AB13+AB14+AB15+AB16+AB17+AB19+AB20+AB21+AB22+AB23+AB24+AB25+AB27+AB28+AB29+AB30+AB31+AB32+AB33+AB35+AB36+AB37+AB38+AB39+AB40+AB41+AB43+AB44+AB45+AB46+AB47+AB48)/T2),0)</f>
        <v/>
      </c>
      <c r="AL48" s="5">
        <f>IFERROR(ROUND(AB48/AD48,2),0)</f>
        <v/>
      </c>
      <c r="AM48" s="5">
        <f>IFERROR(ROUND(AB48/AE48,2),0)</f>
        <v/>
      </c>
      <c r="AN48" s="2" t="inlineStr">
        <is>
          <t>2023-10-23</t>
        </is>
      </c>
      <c r="AO48" s="5">
        <f>ROUND(14.04,2)</f>
        <v/>
      </c>
      <c r="AP48" s="3">
        <f>ROUND(30537.0,2)</f>
        <v/>
      </c>
      <c r="AQ48" s="3">
        <f>ROUND(331.0,2)</f>
        <v/>
      </c>
      <c r="AR48" s="3">
        <f>ROUND(4146.0,2)</f>
        <v/>
      </c>
      <c r="AS48" s="3">
        <f>ROUND(2469.0,2)</f>
        <v/>
      </c>
      <c r="AT48" s="3">
        <f>ROUND(1934.0,2)</f>
        <v/>
      </c>
      <c r="AU48" s="3">
        <f>ROUND(1688.0,2)</f>
        <v/>
      </c>
      <c r="AV48" s="3">
        <f>ROUND(1499.0,2)</f>
        <v/>
      </c>
      <c r="AW48" s="4">
        <f>IFERROR((AQ48/AP48),0)</f>
        <v/>
      </c>
      <c r="AX48" s="4">
        <f>IFERROR(((0+AO11+AO12+AO13+AO14+AO15+AO16+AO17+AO19+AO20+AO21+AO22+AO23+AO24+AO25+AO27+AO28+AO29+AO30+AO31+AO32+AO33+AO35+AO36+AO37+AO38+AO39+AO40+AO41+AO43+AO44+AO45+AO46+AO47+AO48)/T2),0)</f>
        <v/>
      </c>
      <c r="AY48" s="5">
        <f>IFERROR(ROUND(AO48/AQ48,2),0)</f>
        <v/>
      </c>
      <c r="AZ48" s="5">
        <f>IFERROR(ROUND(AO48/AR48,2),0)</f>
        <v/>
      </c>
      <c r="BA48" s="2" t="inlineStr">
        <is>
          <t>2023-10-23</t>
        </is>
      </c>
      <c r="BB48" s="5">
        <f>ROUND(35.98,2)</f>
        <v/>
      </c>
      <c r="BC48" s="3">
        <f>ROUND(78731.0,2)</f>
        <v/>
      </c>
      <c r="BD48" s="3">
        <f>ROUND(769.0,2)</f>
        <v/>
      </c>
      <c r="BE48" s="3">
        <f>ROUND(11147.0,2)</f>
        <v/>
      </c>
      <c r="BF48" s="3">
        <f>ROUND(5593.0,2)</f>
        <v/>
      </c>
      <c r="BG48" s="3">
        <f>ROUND(4131.0,2)</f>
        <v/>
      </c>
      <c r="BH48" s="3">
        <f>ROUND(3692.0,2)</f>
        <v/>
      </c>
      <c r="BI48" s="3">
        <f>ROUND(3006.0,2)</f>
        <v/>
      </c>
      <c r="BJ48" s="4">
        <f>IFERROR((BD48/BC48),0)</f>
        <v/>
      </c>
      <c r="BK48" s="4">
        <f>IFERROR(((0+BB11+BB12+BB13+BB14+BB15+BB16+BB17+BB19+BB20+BB21+BB22+BB23+BB24+BB25+BB27+BB28+BB29+BB30+BB31+BB32+BB33+BB35+BB36+BB37+BB38+BB39+BB40+BB41+BB43+BB44+BB45+BB46+BB47+BB48)/T2),0)</f>
        <v/>
      </c>
      <c r="BL48" s="5">
        <f>IFERROR(ROUND(BB48/BD48,2),0)</f>
        <v/>
      </c>
      <c r="BM48" s="5">
        <f>IFERROR(ROUND(BB48/BE48,2),0)</f>
        <v/>
      </c>
    </row>
    <row r="49">
      <c r="A49" s="2" t="inlineStr">
        <is>
          <t>2023-10-24</t>
        </is>
      </c>
      <c r="B49" s="5">
        <f>ROUND(95.37,2)</f>
        <v/>
      </c>
      <c r="C49" s="3">
        <f>ROUND(167187.0,2)</f>
        <v/>
      </c>
      <c r="D49" s="3">
        <f>ROUND(2019.0,2)</f>
        <v/>
      </c>
      <c r="E49" s="3">
        <f>ROUND(28934.0,2)</f>
        <v/>
      </c>
      <c r="F49" s="3">
        <f>ROUND(16033.0,2)</f>
        <v/>
      </c>
      <c r="G49" s="3">
        <f>ROUND(11788.0,2)</f>
        <v/>
      </c>
      <c r="H49" s="3">
        <f>ROUND(10539.0,2)</f>
        <v/>
      </c>
      <c r="I49" s="3">
        <f>ROUND(8989.0,2)</f>
        <v/>
      </c>
      <c r="J49" s="4">
        <f>IFERROR((D49/C49),0)</f>
        <v/>
      </c>
      <c r="K49" s="4">
        <f>IFERROR(((0+B11+B12+B13+B14+B15+B16+B17+B19+B20+B21+B22+B23+B24+B25+B27+B28+B29+B30+B31+B32+B33+B35+B36+B37+B38+B39+B40+B41+B43+B44+B45+B46+B47+B48+B49)/T2),0)</f>
        <v/>
      </c>
      <c r="L49" s="5">
        <f>IFERROR(ROUND(B49/D49,2),0)</f>
        <v/>
      </c>
      <c r="M49" s="5">
        <f>IFERROR(ROUND(B49/E49,2),0)</f>
        <v/>
      </c>
      <c r="N49" s="2" t="inlineStr">
        <is>
          <t>2023-10-24</t>
        </is>
      </c>
      <c r="O49" s="5">
        <f>ROUND(12.08,2)</f>
        <v/>
      </c>
      <c r="P49" s="3">
        <f>ROUND(20891.0,2)</f>
        <v/>
      </c>
      <c r="Q49" s="3">
        <f>ROUND(216.0,2)</f>
        <v/>
      </c>
      <c r="R49" s="3">
        <f>ROUND(3508.0,2)</f>
        <v/>
      </c>
      <c r="S49" s="3">
        <f>ROUND(2219.0,2)</f>
        <v/>
      </c>
      <c r="T49" s="3">
        <f>ROUND(1689.0,2)</f>
        <v/>
      </c>
      <c r="U49" s="3">
        <f>ROUND(1533.0,2)</f>
        <v/>
      </c>
      <c r="V49" s="3">
        <f>ROUND(1392.0,2)</f>
        <v/>
      </c>
      <c r="W49" s="4">
        <f>IFERROR((Q49/P49),0)</f>
        <v/>
      </c>
      <c r="X49" s="4">
        <f>IFERROR(((0+O11+O12+O13+O14+O15+O16+O17+O19+O20+O21+O22+O23+O24+O25+O27+O28+O29+O30+O31+O32+O33+O35+O36+O37+O38+O39+O40+O41+O43+O44+O45+O46+O47+O48+O49)/T2),0)</f>
        <v/>
      </c>
      <c r="Y49" s="5">
        <f>IFERROR(ROUND(O49/Q49,2),0)</f>
        <v/>
      </c>
      <c r="Z49" s="5">
        <f>IFERROR(ROUND(O49/R49,2),0)</f>
        <v/>
      </c>
      <c r="AA49" s="2" t="inlineStr">
        <is>
          <t>2023-10-24</t>
        </is>
      </c>
      <c r="AB49" s="5">
        <f>ROUND(39.76,2)</f>
        <v/>
      </c>
      <c r="AC49" s="3">
        <f>ROUND(66713.0,2)</f>
        <v/>
      </c>
      <c r="AD49" s="3">
        <f>ROUND(991.0,2)</f>
        <v/>
      </c>
      <c r="AE49" s="3">
        <f>ROUND(13322.0,2)</f>
        <v/>
      </c>
      <c r="AF49" s="3">
        <f>ROUND(7453.0,2)</f>
        <v/>
      </c>
      <c r="AG49" s="3">
        <f>ROUND(5203.0,2)</f>
        <v/>
      </c>
      <c r="AH49" s="3">
        <f>ROUND(4606.0,2)</f>
        <v/>
      </c>
      <c r="AI49" s="3">
        <f>ROUND(3930.0,2)</f>
        <v/>
      </c>
      <c r="AJ49" s="4">
        <f>IFERROR((AD49/AC49),0)</f>
        <v/>
      </c>
      <c r="AK49" s="4">
        <f>IFERROR(((0+AB11+AB12+AB13+AB14+AB15+AB16+AB17+AB19+AB20+AB21+AB22+AB23+AB24+AB25+AB27+AB28+AB29+AB30+AB31+AB32+AB33+AB35+AB36+AB37+AB38+AB39+AB40+AB41+AB43+AB44+AB45+AB46+AB47+AB48+AB49)/T2),0)</f>
        <v/>
      </c>
      <c r="AL49" s="5">
        <f>IFERROR(ROUND(AB49/AD49,2),0)</f>
        <v/>
      </c>
      <c r="AM49" s="5">
        <f>IFERROR(ROUND(AB49/AE49,2),0)</f>
        <v/>
      </c>
      <c r="AN49" s="2" t="inlineStr">
        <is>
          <t>2023-10-24</t>
        </is>
      </c>
      <c r="AO49" s="5">
        <f>ROUND(9.770000000000001,2)</f>
        <v/>
      </c>
      <c r="AP49" s="3">
        <f>ROUND(17510.0,2)</f>
        <v/>
      </c>
      <c r="AQ49" s="3">
        <f>ROUND(189.0,2)</f>
        <v/>
      </c>
      <c r="AR49" s="3">
        <f>ROUND(2750.0,2)</f>
        <v/>
      </c>
      <c r="AS49" s="3">
        <f>ROUND(1647.0,2)</f>
        <v/>
      </c>
      <c r="AT49" s="3">
        <f>ROUND(1323.0,2)</f>
        <v/>
      </c>
      <c r="AU49" s="3">
        <f>ROUND(1185.0,2)</f>
        <v/>
      </c>
      <c r="AV49" s="3">
        <f>ROUND(1076.0,2)</f>
        <v/>
      </c>
      <c r="AW49" s="4">
        <f>IFERROR((AQ49/AP49),0)</f>
        <v/>
      </c>
      <c r="AX49" s="4">
        <f>IFERROR(((0+AO11+AO12+AO13+AO14+AO15+AO16+AO17+AO19+AO20+AO21+AO22+AO23+AO24+AO25+AO27+AO28+AO29+AO30+AO31+AO32+AO33+AO35+AO36+AO37+AO38+AO39+AO40+AO41+AO43+AO44+AO45+AO46+AO47+AO48+AO49)/T2),0)</f>
        <v/>
      </c>
      <c r="AY49" s="5">
        <f>IFERROR(ROUND(AO49/AQ49,2),0)</f>
        <v/>
      </c>
      <c r="AZ49" s="5">
        <f>IFERROR(ROUND(AO49/AR49,2),0)</f>
        <v/>
      </c>
      <c r="BA49" s="2" t="inlineStr">
        <is>
          <t>2023-10-24</t>
        </is>
      </c>
      <c r="BB49" s="5">
        <f>ROUND(33.76,2)</f>
        <v/>
      </c>
      <c r="BC49" s="3">
        <f>ROUND(62073.0,2)</f>
        <v/>
      </c>
      <c r="BD49" s="3">
        <f>ROUND(623.0,2)</f>
        <v/>
      </c>
      <c r="BE49" s="3">
        <f>ROUND(9354.0,2)</f>
        <v/>
      </c>
      <c r="BF49" s="3">
        <f>ROUND(4714.0,2)</f>
        <v/>
      </c>
      <c r="BG49" s="3">
        <f>ROUND(3573.0,2)</f>
        <v/>
      </c>
      <c r="BH49" s="3">
        <f>ROUND(3215.0,2)</f>
        <v/>
      </c>
      <c r="BI49" s="3">
        <f>ROUND(2591.0,2)</f>
        <v/>
      </c>
      <c r="BJ49" s="4">
        <f>IFERROR((BD49/BC49),0)</f>
        <v/>
      </c>
      <c r="BK49" s="4">
        <f>IFERROR(((0+BB11+BB12+BB13+BB14+BB15+BB16+BB17+BB19+BB20+BB21+BB22+BB23+BB24+BB25+BB27+BB28+BB29+BB30+BB31+BB32+BB33+BB35+BB36+BB37+BB38+BB39+BB40+BB41+BB43+BB44+BB45+BB46+BB47+BB48+BB49)/T2),0)</f>
        <v/>
      </c>
      <c r="BL49" s="5">
        <f>IFERROR(ROUND(BB49/BD49,2),0)</f>
        <v/>
      </c>
      <c r="BM49" s="5">
        <f>IFERROR(ROUND(BB49/BE49,2),0)</f>
        <v/>
      </c>
    </row>
    <row r="50">
      <c r="A50" s="2" t="inlineStr">
        <is>
          <t>5 Weekly Total</t>
        </is>
      </c>
      <c r="B50" s="5">
        <f>ROUND(369.21,2)</f>
        <v/>
      </c>
      <c r="C50" s="3">
        <f>ROUND(738013.0,2)</f>
        <v/>
      </c>
      <c r="D50" s="3">
        <f>ROUND(8449.0,2)</f>
        <v/>
      </c>
      <c r="E50" s="3">
        <f>ROUND(121706.0,2)</f>
        <v/>
      </c>
      <c r="F50" s="3">
        <f>ROUND(66693.0,2)</f>
        <v/>
      </c>
      <c r="G50" s="3">
        <f>ROUND(49039.0,2)</f>
        <v/>
      </c>
      <c r="H50" s="3">
        <f>ROUND(43747.0,2)</f>
        <v/>
      </c>
      <c r="I50" s="3">
        <f>ROUND(37249.0,2)</f>
        <v/>
      </c>
      <c r="J50" s="4">
        <f>IFERROR((D50/C50),0)</f>
        <v/>
      </c>
      <c r="K50" s="4">
        <f>IFERROR(((0+B11+B12+B13+B14+B15+B16+B17+B19+B20+B21+B22+B23+B24+B25+B27+B28+B29+B30+B31+B32+B33+B35+B36+B37+B38+B39+B40+B41+B43+B44+B45+B46+B47+B48+B49)/T2),0)</f>
        <v/>
      </c>
      <c r="L50" s="5">
        <f>IFERROR(ROUND(B50/D50,2),0)</f>
        <v/>
      </c>
      <c r="M50" s="5">
        <f>IFERROR(ROUND(B50/E50,2),0)</f>
        <v/>
      </c>
      <c r="N50" s="2" t="inlineStr">
        <is>
          <t>5 Weekly Total</t>
        </is>
      </c>
      <c r="O50" s="5">
        <f>ROUND(41.16,2)</f>
        <v/>
      </c>
      <c r="P50" s="3">
        <f>ROUND(77375.0,2)</f>
        <v/>
      </c>
      <c r="Q50" s="3">
        <f>ROUND(785.0,2)</f>
        <v/>
      </c>
      <c r="R50" s="3">
        <f>ROUND(13099.0,2)</f>
        <v/>
      </c>
      <c r="S50" s="3">
        <f>ROUND(8208.0,2)</f>
        <v/>
      </c>
      <c r="T50" s="3">
        <f>ROUND(6288.0,2)</f>
        <v/>
      </c>
      <c r="U50" s="3">
        <f>ROUND(5696.0,2)</f>
        <v/>
      </c>
      <c r="V50" s="3">
        <f>ROUND(5176.0,2)</f>
        <v/>
      </c>
      <c r="W50" s="4">
        <f>IFERROR((Q50/P50),0)</f>
        <v/>
      </c>
      <c r="X50" s="4">
        <f>IFERROR(((0+O11+O12+O13+O14+O15+O16+O17+O19+O20+O21+O22+O23+O24+O25+O27+O28+O29+O30+O31+O32+O33+O35+O36+O37+O38+O39+O40+O41+O43+O44+O45+O46+O47+O48+O49)/T2),0)</f>
        <v/>
      </c>
      <c r="Y50" s="5">
        <f>IFERROR(ROUND(O50/Q50,2),0)</f>
        <v/>
      </c>
      <c r="Z50" s="5">
        <f>IFERROR(ROUND(O50/R50,2),0)</f>
        <v/>
      </c>
      <c r="AA50" s="2" t="inlineStr">
        <is>
          <t>5 Weekly Total</t>
        </is>
      </c>
      <c r="AB50" s="5">
        <f>ROUND(147.3,2)</f>
        <v/>
      </c>
      <c r="AC50" s="3">
        <f>ROUND(287198.0,2)</f>
        <v/>
      </c>
      <c r="AD50" s="3">
        <f>ROUND(3924.0,2)</f>
        <v/>
      </c>
      <c r="AE50" s="3">
        <f>ROUND(53957.0,2)</f>
        <v/>
      </c>
      <c r="AF50" s="3">
        <f>ROUND(29820.0,2)</f>
        <v/>
      </c>
      <c r="AG50" s="3">
        <f>ROUND(20960.0,2)</f>
        <v/>
      </c>
      <c r="AH50" s="3">
        <f>ROUND(18587.0,2)</f>
        <v/>
      </c>
      <c r="AI50" s="3">
        <f>ROUND(15793.0,2)</f>
        <v/>
      </c>
      <c r="AJ50" s="4">
        <f>IFERROR((AD50/AC50),0)</f>
        <v/>
      </c>
      <c r="AK50" s="4">
        <f>IFERROR(((0+AB11+AB12+AB13+AB14+AB15+AB16+AB17+AB19+AB20+AB21+AB22+AB23+AB24+AB25+AB27+AB28+AB29+AB30+AB31+AB32+AB33+AB35+AB36+AB37+AB38+AB39+AB40+AB41+AB43+AB44+AB45+AB46+AB47+AB48+AB49)/T2),0)</f>
        <v/>
      </c>
      <c r="AL50" s="5">
        <f>IFERROR(ROUND(AB50/AD50,2),0)</f>
        <v/>
      </c>
      <c r="AM50" s="5">
        <f>IFERROR(ROUND(AB50/AE50,2),0)</f>
        <v/>
      </c>
      <c r="AN50" s="2" t="inlineStr">
        <is>
          <t>5 Weekly Total</t>
        </is>
      </c>
      <c r="AO50" s="5">
        <f>ROUND(44.39,2)</f>
        <v/>
      </c>
      <c r="AP50" s="3">
        <f>ROUND(92399.0,2)</f>
        <v/>
      </c>
      <c r="AQ50" s="3">
        <f>ROUND(965.0,2)</f>
        <v/>
      </c>
      <c r="AR50" s="3">
        <f>ROUND(13578.0,2)</f>
        <v/>
      </c>
      <c r="AS50" s="3">
        <f>ROUND(8016.0,2)</f>
        <v/>
      </c>
      <c r="AT50" s="3">
        <f>ROUND(6411.0,2)</f>
        <v/>
      </c>
      <c r="AU50" s="3">
        <f>ROUND(5718.0,2)</f>
        <v/>
      </c>
      <c r="AV50" s="3">
        <f>ROUND(5168.0,2)</f>
        <v/>
      </c>
      <c r="AW50" s="4">
        <f>IFERROR((AQ50/AP50),0)</f>
        <v/>
      </c>
      <c r="AX50" s="4">
        <f>IFERROR(((0+AO11+AO12+AO13+AO14+AO15+AO16+AO17+AO19+AO20+AO21+AO22+AO23+AO24+AO25+AO27+AO28+AO29+AO30+AO31+AO32+AO33+AO35+AO36+AO37+AO38+AO39+AO40+AO41+AO43+AO44+AO45+AO46+AO47+AO48+AO49)/T2),0)</f>
        <v/>
      </c>
      <c r="AY50" s="5">
        <f>IFERROR(ROUND(AO50/AQ50,2),0)</f>
        <v/>
      </c>
      <c r="AZ50" s="5">
        <f>IFERROR(ROUND(AO50/AR50,2),0)</f>
        <v/>
      </c>
      <c r="BA50" s="2" t="inlineStr">
        <is>
          <t>5 Weekly Total</t>
        </is>
      </c>
      <c r="BB50" s="5">
        <f>ROUND(136.36,2)</f>
        <v/>
      </c>
      <c r="BC50" s="3">
        <f>ROUND(281041.0,2)</f>
        <v/>
      </c>
      <c r="BD50" s="3">
        <f>ROUND(2775.0,2)</f>
        <v/>
      </c>
      <c r="BE50" s="3">
        <f>ROUND(41072.0,2)</f>
        <v/>
      </c>
      <c r="BF50" s="3">
        <f>ROUND(20649.0,2)</f>
        <v/>
      </c>
      <c r="BG50" s="3">
        <f>ROUND(15380.0,2)</f>
        <v/>
      </c>
      <c r="BH50" s="3">
        <f>ROUND(13746.0,2)</f>
        <v/>
      </c>
      <c r="BI50" s="3">
        <f>ROUND(11112.0,2)</f>
        <v/>
      </c>
      <c r="BJ50" s="4">
        <f>IFERROR((BD50/BC50),0)</f>
        <v/>
      </c>
      <c r="BK50" s="4">
        <f>IFERROR(((0+BB11+BB12+BB13+BB14+BB15+BB16+BB17+BB19+BB20+BB21+BB22+BB23+BB24+BB25+BB27+BB28+BB29+BB30+BB31+BB32+BB33+BB35+BB36+BB37+BB38+BB39+BB40+BB41+BB43+BB44+BB45+BB46+BB47+BB48+BB49)/T2),0)</f>
        <v/>
      </c>
      <c r="BL50" s="5">
        <f>IFERROR(ROUND(BB50/BD50,2),0)</f>
        <v/>
      </c>
      <c r="BM50" s="5">
        <f>IFERROR(ROUND(BB50/BE50,2),0)</f>
        <v/>
      </c>
    </row>
    <row r="51">
      <c r="A51" s="2" t="inlineStr">
        <is>
          <t>2023-10-25</t>
        </is>
      </c>
      <c r="B51" s="5">
        <f>ROUND(96.65,2)</f>
        <v/>
      </c>
      <c r="C51" s="3">
        <f>ROUND(161195.0,2)</f>
        <v/>
      </c>
      <c r="D51" s="3">
        <f>ROUND(1700.0,2)</f>
        <v/>
      </c>
      <c r="E51" s="3">
        <f>ROUND(24113.0,2)</f>
        <v/>
      </c>
      <c r="F51" s="3">
        <f>ROUND(13192.0,2)</f>
        <v/>
      </c>
      <c r="G51" s="3">
        <f>ROUND(9692.0,2)</f>
        <v/>
      </c>
      <c r="H51" s="3">
        <f>ROUND(8637.0,2)</f>
        <v/>
      </c>
      <c r="I51" s="3">
        <f>ROUND(7418.0,2)</f>
        <v/>
      </c>
      <c r="J51" s="4">
        <f>IFERROR((D51/C51),0)</f>
        <v/>
      </c>
      <c r="K51" s="4">
        <f>IFERROR(((0+B11+B12+B13+B14+B15+B16+B17+B19+B20+B21+B22+B23+B24+B25+B27+B28+B29+B30+B31+B32+B33+B35+B36+B37+B38+B39+B40+B41+B43+B44+B45+B46+B47+B48+B49+B51)/T2),0)</f>
        <v/>
      </c>
      <c r="L51" s="5">
        <f>IFERROR(ROUND(B51/D51,2),0)</f>
        <v/>
      </c>
      <c r="M51" s="5">
        <f>IFERROR(ROUND(B51/E51,2),0)</f>
        <v/>
      </c>
      <c r="N51" s="2" t="inlineStr">
        <is>
          <t>2023-10-25</t>
        </is>
      </c>
      <c r="O51" s="5">
        <f>ROUND(10.780000000000001,2)</f>
        <v/>
      </c>
      <c r="P51" s="3">
        <f>ROUND(18310.0,2)</f>
        <v/>
      </c>
      <c r="Q51" s="3">
        <f>ROUND(150.0,2)</f>
        <v/>
      </c>
      <c r="R51" s="3">
        <f>ROUND(2587.0,2)</f>
        <v/>
      </c>
      <c r="S51" s="3">
        <f>ROUND(1613.0,2)</f>
        <v/>
      </c>
      <c r="T51" s="3">
        <f>ROUND(1223.0,2)</f>
        <v/>
      </c>
      <c r="U51" s="3">
        <f>ROUND(1100.0,2)</f>
        <v/>
      </c>
      <c r="V51" s="3">
        <f>ROUND(999.0,2)</f>
        <v/>
      </c>
      <c r="W51" s="4">
        <f>IFERROR((Q51/P51),0)</f>
        <v/>
      </c>
      <c r="X51" s="4">
        <f>IFERROR(((0+O11+O12+O13+O14+O15+O16+O17+O19+O20+O21+O22+O23+O24+O25+O27+O28+O29+O30+O31+O32+O33+O35+O36+O37+O38+O39+O40+O41+O43+O44+O45+O46+O47+O48+O49+O51)/T2),0)</f>
        <v/>
      </c>
      <c r="Y51" s="5">
        <f>IFERROR(ROUND(O51/Q51,2),0)</f>
        <v/>
      </c>
      <c r="Z51" s="5">
        <f>IFERROR(ROUND(O51/R51,2),0)</f>
        <v/>
      </c>
      <c r="AA51" s="2" t="inlineStr">
        <is>
          <t>2023-10-25</t>
        </is>
      </c>
      <c r="AB51" s="5">
        <f>ROUND(44.04,2)</f>
        <v/>
      </c>
      <c r="AC51" s="3">
        <f>ROUND(68039.0,2)</f>
        <v/>
      </c>
      <c r="AD51" s="3">
        <f>ROUND(933.0,2)</f>
        <v/>
      </c>
      <c r="AE51" s="3">
        <f>ROUND(11996.0,2)</f>
        <v/>
      </c>
      <c r="AF51" s="3">
        <f>ROUND(6511.0,2)</f>
        <v/>
      </c>
      <c r="AG51" s="3">
        <f>ROUND(4583.0,2)</f>
        <v/>
      </c>
      <c r="AH51" s="3">
        <f>ROUND(4045.0,2)</f>
        <v/>
      </c>
      <c r="AI51" s="3">
        <f>ROUND(3470.0,2)</f>
        <v/>
      </c>
      <c r="AJ51" s="4">
        <f>IFERROR((AD51/AC51),0)</f>
        <v/>
      </c>
      <c r="AK51" s="4">
        <f>IFERROR(((0+AB11+AB12+AB13+AB14+AB15+AB16+AB17+AB19+AB20+AB21+AB22+AB23+AB24+AB25+AB27+AB28+AB29+AB30+AB31+AB32+AB33+AB35+AB36+AB37+AB38+AB39+AB40+AB41+AB43+AB44+AB45+AB46+AB47+AB48+AB49+AB51)/T2),0)</f>
        <v/>
      </c>
      <c r="AL51" s="5">
        <f>IFERROR(ROUND(AB51/AD51,2),0)</f>
        <v/>
      </c>
      <c r="AM51" s="5">
        <f>IFERROR(ROUND(AB51/AE51,2),0)</f>
        <v/>
      </c>
      <c r="AN51" s="2" t="inlineStr">
        <is>
          <t>2023-10-25</t>
        </is>
      </c>
      <c r="AO51" s="5">
        <f>ROUND(9.94,2)</f>
        <v/>
      </c>
      <c r="AP51" s="3">
        <f>ROUND(16738.0,2)</f>
        <v/>
      </c>
      <c r="AQ51" s="3">
        <f>ROUND(131.0,2)</f>
        <v/>
      </c>
      <c r="AR51" s="3">
        <f>ROUND(2268.0,2)</f>
        <v/>
      </c>
      <c r="AS51" s="3">
        <f>ROUND(1394.0,2)</f>
        <v/>
      </c>
      <c r="AT51" s="3">
        <f>ROUND(1172.0,2)</f>
        <v/>
      </c>
      <c r="AU51" s="3">
        <f>ROUND(1070.0,2)</f>
        <v/>
      </c>
      <c r="AV51" s="3">
        <f>ROUND(983.0,2)</f>
        <v/>
      </c>
      <c r="AW51" s="4">
        <f>IFERROR((AQ51/AP51),0)</f>
        <v/>
      </c>
      <c r="AX51" s="4">
        <f>IFERROR(((0+AO11+AO12+AO13+AO14+AO15+AO16+AO17+AO19+AO20+AO21+AO22+AO23+AO24+AO25+AO27+AO28+AO29+AO30+AO31+AO32+AO33+AO35+AO36+AO37+AO38+AO39+AO40+AO41+AO43+AO44+AO45+AO46+AO47+AO48+AO49+AO51)/T2),0)</f>
        <v/>
      </c>
      <c r="AY51" s="5">
        <f>IFERROR(ROUND(AO51/AQ51,2),0)</f>
        <v/>
      </c>
      <c r="AZ51" s="5">
        <f>IFERROR(ROUND(AO51/AR51,2),0)</f>
        <v/>
      </c>
      <c r="BA51" s="2" t="inlineStr">
        <is>
          <t>2023-10-25</t>
        </is>
      </c>
      <c r="BB51" s="5">
        <f>ROUND(31.89,2)</f>
        <v/>
      </c>
      <c r="BC51" s="3">
        <f>ROUND(58108.0,2)</f>
        <v/>
      </c>
      <c r="BD51" s="3">
        <f>ROUND(486.0,2)</f>
        <v/>
      </c>
      <c r="BE51" s="3">
        <f>ROUND(7262.0,2)</f>
        <v/>
      </c>
      <c r="BF51" s="3">
        <f>ROUND(3674.0,2)</f>
        <v/>
      </c>
      <c r="BG51" s="3">
        <f>ROUND(2714.0,2)</f>
        <v/>
      </c>
      <c r="BH51" s="3">
        <f>ROUND(2422.0,2)</f>
        <v/>
      </c>
      <c r="BI51" s="3">
        <f>ROUND(1966.0,2)</f>
        <v/>
      </c>
      <c r="BJ51" s="4">
        <f>IFERROR((BD51/BC51),0)</f>
        <v/>
      </c>
      <c r="BK51" s="4">
        <f>IFERROR(((0+BB11+BB12+BB13+BB14+BB15+BB16+BB17+BB19+BB20+BB21+BB22+BB23+BB24+BB25+BB27+BB28+BB29+BB30+BB31+BB32+BB33+BB35+BB36+BB37+BB38+BB39+BB40+BB41+BB43+BB44+BB45+BB46+BB47+BB48+BB49+BB51)/T2),0)</f>
        <v/>
      </c>
      <c r="BL51" s="5">
        <f>IFERROR(ROUND(BB51/BD51,2),0)</f>
        <v/>
      </c>
      <c r="BM51" s="5">
        <f>IFERROR(ROUND(BB51/BE51,2),0)</f>
        <v/>
      </c>
    </row>
    <row r="52">
      <c r="A52" s="2" t="inlineStr">
        <is>
          <t>2023-10-26</t>
        </is>
      </c>
      <c r="B52" s="5">
        <f>ROUND(95.01,2)</f>
        <v/>
      </c>
      <c r="C52" s="3">
        <f>ROUND(164675.0,2)</f>
        <v/>
      </c>
      <c r="D52" s="3">
        <f>ROUND(1592.0,2)</f>
        <v/>
      </c>
      <c r="E52" s="3">
        <f>ROUND(21684.0,2)</f>
        <v/>
      </c>
      <c r="F52" s="3">
        <f>ROUND(11642.0,2)</f>
        <v/>
      </c>
      <c r="G52" s="3">
        <f>ROUND(8436.0,2)</f>
        <v/>
      </c>
      <c r="H52" s="3">
        <f>ROUND(7432.0,2)</f>
        <v/>
      </c>
      <c r="I52" s="3">
        <f>ROUND(6342.0,2)</f>
        <v/>
      </c>
      <c r="J52" s="4">
        <f>IFERROR((D52/C52),0)</f>
        <v/>
      </c>
      <c r="K52" s="4">
        <f>IFERROR(((0+B11+B12+B13+B14+B15+B16+B17+B19+B20+B21+B22+B23+B24+B25+B27+B28+B29+B30+B31+B32+B33+B35+B36+B37+B38+B39+B40+B41+B43+B44+B45+B46+B47+B48+B49+B51+B52)/T2),0)</f>
        <v/>
      </c>
      <c r="L52" s="5">
        <f>IFERROR(ROUND(B52/D52,2),0)</f>
        <v/>
      </c>
      <c r="M52" s="5">
        <f>IFERROR(ROUND(B52/E52,2),0)</f>
        <v/>
      </c>
      <c r="N52" s="2" t="inlineStr">
        <is>
          <t>2023-10-26</t>
        </is>
      </c>
      <c r="O52" s="5">
        <f>ROUND(11.25,2)</f>
        <v/>
      </c>
      <c r="P52" s="3">
        <f>ROUND(19844.0,2)</f>
        <v/>
      </c>
      <c r="Q52" s="3">
        <f>ROUND(180.0,2)</f>
        <v/>
      </c>
      <c r="R52" s="3">
        <f>ROUND(2495.0,2)</f>
        <v/>
      </c>
      <c r="S52" s="3">
        <f>ROUND(1494.0,2)</f>
        <v/>
      </c>
      <c r="T52" s="3">
        <f>ROUND(1119.0,2)</f>
        <v/>
      </c>
      <c r="U52" s="3">
        <f>ROUND(1019.0,2)</f>
        <v/>
      </c>
      <c r="V52" s="3">
        <f>ROUND(918.0,2)</f>
        <v/>
      </c>
      <c r="W52" s="4">
        <f>IFERROR((Q52/P52),0)</f>
        <v/>
      </c>
      <c r="X52" s="4">
        <f>IFERROR(((0+O11+O12+O13+O14+O15+O16+O17+O19+O20+O21+O22+O23+O24+O25+O27+O28+O29+O30+O31+O32+O33+O35+O36+O37+O38+O39+O40+O41+O43+O44+O45+O46+O47+O48+O49+O51+O52)/T2),0)</f>
        <v/>
      </c>
      <c r="Y52" s="5">
        <f>IFERROR(ROUND(O52/Q52,2),0)</f>
        <v/>
      </c>
      <c r="Z52" s="5">
        <f>IFERROR(ROUND(O52/R52,2),0)</f>
        <v/>
      </c>
      <c r="AA52" s="2" t="inlineStr">
        <is>
          <t>2023-10-26</t>
        </is>
      </c>
      <c r="AB52" s="5">
        <f>ROUND(30.08,2)</f>
        <v/>
      </c>
      <c r="AC52" s="3">
        <f>ROUND(46161.0,2)</f>
        <v/>
      </c>
      <c r="AD52" s="3">
        <f>ROUND(580.0,2)</f>
        <v/>
      </c>
      <c r="AE52" s="3">
        <f>ROUND(8039.0,2)</f>
        <v/>
      </c>
      <c r="AF52" s="3">
        <f>ROUND(4416.0,2)</f>
        <v/>
      </c>
      <c r="AG52" s="3">
        <f>ROUND(3052.0,2)</f>
        <v/>
      </c>
      <c r="AH52" s="3">
        <f>ROUND(2661.0,2)</f>
        <v/>
      </c>
      <c r="AI52" s="3">
        <f>ROUND(2252.0,2)</f>
        <v/>
      </c>
      <c r="AJ52" s="4">
        <f>IFERROR((AD52/AC52),0)</f>
        <v/>
      </c>
      <c r="AK52" s="4">
        <f>IFERROR(((0+AB11+AB12+AB13+AB14+AB15+AB16+AB17+AB19+AB20+AB21+AB22+AB23+AB24+AB25+AB27+AB28+AB29+AB30+AB31+AB32+AB33+AB35+AB36+AB37+AB38+AB39+AB40+AB41+AB43+AB44+AB45+AB46+AB47+AB48+AB49+AB51+AB52)/T2),0)</f>
        <v/>
      </c>
      <c r="AL52" s="5">
        <f>IFERROR(ROUND(AB52/AD52,2),0)</f>
        <v/>
      </c>
      <c r="AM52" s="5">
        <f>IFERROR(ROUND(AB52/AE52,2),0)</f>
        <v/>
      </c>
      <c r="AN52" s="2" t="inlineStr">
        <is>
          <t>2023-10-26</t>
        </is>
      </c>
      <c r="AO52" s="5">
        <f>ROUND(11.79,2)</f>
        <v/>
      </c>
      <c r="AP52" s="3">
        <f>ROUND(20614.0,2)</f>
        <v/>
      </c>
      <c r="AQ52" s="3">
        <f>ROUND(198.0,2)</f>
        <v/>
      </c>
      <c r="AR52" s="3">
        <f>ROUND(2590.0,2)</f>
        <v/>
      </c>
      <c r="AS52" s="3">
        <f>ROUND(1581.0,2)</f>
        <v/>
      </c>
      <c r="AT52" s="3">
        <f>ROUND(1277.0,2)</f>
        <v/>
      </c>
      <c r="AU52" s="3">
        <f>ROUND(1140.0,2)</f>
        <v/>
      </c>
      <c r="AV52" s="3">
        <f>ROUND(1044.0,2)</f>
        <v/>
      </c>
      <c r="AW52" s="4">
        <f>IFERROR((AQ52/AP52),0)</f>
        <v/>
      </c>
      <c r="AX52" s="4">
        <f>IFERROR(((0+AO11+AO12+AO13+AO14+AO15+AO16+AO17+AO19+AO20+AO21+AO22+AO23+AO24+AO25+AO27+AO28+AO29+AO30+AO31+AO32+AO33+AO35+AO36+AO37+AO38+AO39+AO40+AO41+AO43+AO44+AO45+AO46+AO47+AO48+AO49+AO51+AO52)/T2),0)</f>
        <v/>
      </c>
      <c r="AY52" s="5">
        <f>IFERROR(ROUND(AO52/AQ52,2),0)</f>
        <v/>
      </c>
      <c r="AZ52" s="5">
        <f>IFERROR(ROUND(AO52/AR52,2),0)</f>
        <v/>
      </c>
      <c r="BA52" s="2" t="inlineStr">
        <is>
          <t>2023-10-26</t>
        </is>
      </c>
      <c r="BB52" s="5">
        <f>ROUND(41.89,2)</f>
        <v/>
      </c>
      <c r="BC52" s="3">
        <f>ROUND(78056.0,2)</f>
        <v/>
      </c>
      <c r="BD52" s="3">
        <f>ROUND(634.0,2)</f>
        <v/>
      </c>
      <c r="BE52" s="3">
        <f>ROUND(8560.0,2)</f>
        <v/>
      </c>
      <c r="BF52" s="3">
        <f>ROUND(4151.0,2)</f>
        <v/>
      </c>
      <c r="BG52" s="3">
        <f>ROUND(2988.0,2)</f>
        <v/>
      </c>
      <c r="BH52" s="3">
        <f>ROUND(2612.0,2)</f>
        <v/>
      </c>
      <c r="BI52" s="3">
        <f>ROUND(2128.0,2)</f>
        <v/>
      </c>
      <c r="BJ52" s="4">
        <f>IFERROR((BD52/BC52),0)</f>
        <v/>
      </c>
      <c r="BK52" s="4">
        <f>IFERROR(((0+BB11+BB12+BB13+BB14+BB15+BB16+BB17+BB19+BB20+BB21+BB22+BB23+BB24+BB25+BB27+BB28+BB29+BB30+BB31+BB32+BB33+BB35+BB36+BB37+BB38+BB39+BB40+BB41+BB43+BB44+BB45+BB46+BB47+BB48+BB49+BB51+BB52)/T2),0)</f>
        <v/>
      </c>
      <c r="BL52" s="5">
        <f>IFERROR(ROUND(BB52/BD52,2),0)</f>
        <v/>
      </c>
      <c r="BM52" s="5">
        <f>IFERROR(ROUND(BB52/BE52,2),0)</f>
        <v/>
      </c>
    </row>
    <row r="53">
      <c r="A53" s="2" t="inlineStr">
        <is>
          <t>2023-10-27</t>
        </is>
      </c>
      <c r="B53" s="5">
        <f>ROUND(95.55000000000001,2)</f>
        <v/>
      </c>
      <c r="C53" s="3">
        <f>ROUND(157834.0,2)</f>
        <v/>
      </c>
      <c r="D53" s="3">
        <f>ROUND(1660.0,2)</f>
        <v/>
      </c>
      <c r="E53" s="3">
        <f>ROUND(19436.0,2)</f>
        <v/>
      </c>
      <c r="F53" s="3">
        <f>ROUND(10141.0,2)</f>
        <v/>
      </c>
      <c r="G53" s="3">
        <f>ROUND(7257.0,2)</f>
        <v/>
      </c>
      <c r="H53" s="3">
        <f>ROUND(6320.0,2)</f>
        <v/>
      </c>
      <c r="I53" s="3">
        <f>ROUND(5301.0,2)</f>
        <v/>
      </c>
      <c r="J53" s="4">
        <f>IFERROR((D53/C53),0)</f>
        <v/>
      </c>
      <c r="K53" s="4">
        <f>IFERROR(((0+B11+B12+B13+B14+B15+B16+B17+B19+B20+B21+B22+B23+B24+B25+B27+B28+B29+B30+B31+B32+B33+B35+B36+B37+B38+B39+B40+B41+B43+B44+B45+B46+B47+B48+B49+B51+B52+B53)/T2),0)</f>
        <v/>
      </c>
      <c r="L53" s="5">
        <f>IFERROR(ROUND(B53/D53,2),0)</f>
        <v/>
      </c>
      <c r="M53" s="5">
        <f>IFERROR(ROUND(B53/E53,2),0)</f>
        <v/>
      </c>
      <c r="N53" s="2" t="inlineStr">
        <is>
          <t>2023-10-27</t>
        </is>
      </c>
      <c r="O53" s="5">
        <f>ROUND(11.43,2)</f>
        <v/>
      </c>
      <c r="P53" s="3">
        <f>ROUND(18833.0,2)</f>
        <v/>
      </c>
      <c r="Q53" s="3">
        <f>ROUND(185.0,2)</f>
        <v/>
      </c>
      <c r="R53" s="3">
        <f>ROUND(2290.0,2)</f>
        <v/>
      </c>
      <c r="S53" s="3">
        <f>ROUND(1389.0,2)</f>
        <v/>
      </c>
      <c r="T53" s="3">
        <f>ROUND(1042.0,2)</f>
        <v/>
      </c>
      <c r="U53" s="3">
        <f>ROUND(919.0,2)</f>
        <v/>
      </c>
      <c r="V53" s="3">
        <f>ROUND(836.0,2)</f>
        <v/>
      </c>
      <c r="W53" s="4">
        <f>IFERROR((Q53/P53),0)</f>
        <v/>
      </c>
      <c r="X53" s="4">
        <f>IFERROR(((0+O11+O12+O13+O14+O15+O16+O17+O19+O20+O21+O22+O23+O24+O25+O27+O28+O29+O30+O31+O32+O33+O35+O36+O37+O38+O39+O40+O41+O43+O44+O45+O46+O47+O48+O49+O51+O52+O53)/T2),0)</f>
        <v/>
      </c>
      <c r="Y53" s="5">
        <f>IFERROR(ROUND(O53/Q53,2),0)</f>
        <v/>
      </c>
      <c r="Z53" s="5">
        <f>IFERROR(ROUND(O53/R53,2),0)</f>
        <v/>
      </c>
      <c r="AA53" s="2" t="inlineStr">
        <is>
          <t>2023-10-27</t>
        </is>
      </c>
      <c r="AB53" s="5">
        <f>ROUND(23.0,2)</f>
        <v/>
      </c>
      <c r="AC53" s="3">
        <f>ROUND(32292.0,2)</f>
        <v/>
      </c>
      <c r="AD53" s="3">
        <f>ROUND(482.0,2)</f>
        <v/>
      </c>
      <c r="AE53" s="3">
        <f>ROUND(5395.0,2)</f>
        <v/>
      </c>
      <c r="AF53" s="3">
        <f>ROUND(2987.0,2)</f>
        <v/>
      </c>
      <c r="AG53" s="3">
        <f>ROUND(2045.0,2)</f>
        <v/>
      </c>
      <c r="AH53" s="3">
        <f>ROUND(1760.0,2)</f>
        <v/>
      </c>
      <c r="AI53" s="3">
        <f>ROUND(1466.0,2)</f>
        <v/>
      </c>
      <c r="AJ53" s="4">
        <f>IFERROR((AD53/AC53),0)</f>
        <v/>
      </c>
      <c r="AK53" s="4">
        <f>IFERROR(((0+AB11+AB12+AB13+AB14+AB15+AB16+AB17+AB19+AB20+AB21+AB22+AB23+AB24+AB25+AB27+AB28+AB29+AB30+AB31+AB32+AB33+AB35+AB36+AB37+AB38+AB39+AB40+AB41+AB43+AB44+AB45+AB46+AB47+AB48+AB49+AB51+AB52+AB53)/T2),0)</f>
        <v/>
      </c>
      <c r="AL53" s="5">
        <f>IFERROR(ROUND(AB53/AD53,2),0)</f>
        <v/>
      </c>
      <c r="AM53" s="5">
        <f>IFERROR(ROUND(AB53/AE53,2),0)</f>
        <v/>
      </c>
      <c r="AN53" s="2" t="inlineStr">
        <is>
          <t>2023-10-27</t>
        </is>
      </c>
      <c r="AO53" s="5">
        <f>ROUND(11.4,2)</f>
        <v/>
      </c>
      <c r="AP53" s="3">
        <f>ROUND(19149.0,2)</f>
        <v/>
      </c>
      <c r="AQ53" s="3">
        <f>ROUND(176.0,2)</f>
        <v/>
      </c>
      <c r="AR53" s="3">
        <f>ROUND(2068.0,2)</f>
        <v/>
      </c>
      <c r="AS53" s="3">
        <f>ROUND(1167.0,2)</f>
        <v/>
      </c>
      <c r="AT53" s="3">
        <f>ROUND(914.0,2)</f>
        <v/>
      </c>
      <c r="AU53" s="3">
        <f>ROUND(786.0,2)</f>
        <v/>
      </c>
      <c r="AV53" s="3">
        <f>ROUND(695.0,2)</f>
        <v/>
      </c>
      <c r="AW53" s="4">
        <f>IFERROR((AQ53/AP53),0)</f>
        <v/>
      </c>
      <c r="AX53" s="4">
        <f>IFERROR(((0+AO11+AO12+AO13+AO14+AO15+AO16+AO17+AO19+AO20+AO21+AO22+AO23+AO24+AO25+AO27+AO28+AO29+AO30+AO31+AO32+AO33+AO35+AO36+AO37+AO38+AO39+AO40+AO41+AO43+AO44+AO45+AO46+AO47+AO48+AO49+AO51+AO52+AO53)/T2),0)</f>
        <v/>
      </c>
      <c r="AY53" s="5">
        <f>IFERROR(ROUND(AO53/AQ53,2),0)</f>
        <v/>
      </c>
      <c r="AZ53" s="5">
        <f>IFERROR(ROUND(AO53/AR53,2),0)</f>
        <v/>
      </c>
      <c r="BA53" s="2" t="inlineStr">
        <is>
          <t>2023-10-27</t>
        </is>
      </c>
      <c r="BB53" s="5">
        <f>ROUND(49.72,2)</f>
        <v/>
      </c>
      <c r="BC53" s="3">
        <f>ROUND(87560.0,2)</f>
        <v/>
      </c>
      <c r="BD53" s="3">
        <f>ROUND(817.0,2)</f>
        <v/>
      </c>
      <c r="BE53" s="3">
        <f>ROUND(9683.0,2)</f>
        <v/>
      </c>
      <c r="BF53" s="3">
        <f>ROUND(4598.0,2)</f>
        <v/>
      </c>
      <c r="BG53" s="3">
        <f>ROUND(3256.0,2)</f>
        <v/>
      </c>
      <c r="BH53" s="3">
        <f>ROUND(2855.0,2)</f>
        <v/>
      </c>
      <c r="BI53" s="3">
        <f>ROUND(2304.0,2)</f>
        <v/>
      </c>
      <c r="BJ53" s="4">
        <f>IFERROR((BD53/BC53),0)</f>
        <v/>
      </c>
      <c r="BK53" s="4">
        <f>IFERROR(((0+BB11+BB12+BB13+BB14+BB15+BB16+BB17+BB19+BB20+BB21+BB22+BB23+BB24+BB25+BB27+BB28+BB29+BB30+BB31+BB32+BB33+BB35+BB36+BB37+BB38+BB39+BB40+BB41+BB43+BB44+BB45+BB46+BB47+BB48+BB49+BB51+BB52+BB53)/T2),0)</f>
        <v/>
      </c>
      <c r="BL53" s="5">
        <f>IFERROR(ROUND(BB53/BD53,2),0)</f>
        <v/>
      </c>
      <c r="BM53" s="5">
        <f>IFERROR(ROUND(BB53/BE53,2),0)</f>
        <v/>
      </c>
    </row>
    <row r="54">
      <c r="A54" s="2" t="inlineStr">
        <is>
          <t>2023-10-28</t>
        </is>
      </c>
      <c r="B54" s="5">
        <f>ROUND(98.29,2)</f>
        <v/>
      </c>
      <c r="C54" s="3">
        <f>ROUND(146295.0,2)</f>
        <v/>
      </c>
      <c r="D54" s="3">
        <f>ROUND(1591.0,2)</f>
        <v/>
      </c>
      <c r="E54" s="3">
        <f>ROUND(19406.0,2)</f>
        <v/>
      </c>
      <c r="F54" s="3">
        <f>ROUND(10008.0,2)</f>
        <v/>
      </c>
      <c r="G54" s="3">
        <f>ROUND(7117.0,2)</f>
        <v/>
      </c>
      <c r="H54" s="3">
        <f>ROUND(6295.0,2)</f>
        <v/>
      </c>
      <c r="I54" s="3">
        <f>ROUND(5334.0,2)</f>
        <v/>
      </c>
      <c r="J54" s="4">
        <f>IFERROR((D54/C54),0)</f>
        <v/>
      </c>
      <c r="K54" s="4">
        <f>IFERROR(((0+B11+B12+B13+B14+B15+B16+B17+B19+B20+B21+B22+B23+B24+B25+B27+B28+B29+B30+B31+B32+B33+B35+B36+B37+B38+B39+B40+B41+B43+B44+B45+B46+B47+B48+B49+B51+B52+B53+B54)/T2),0)</f>
        <v/>
      </c>
      <c r="L54" s="5">
        <f>IFERROR(ROUND(B54/D54,2),0)</f>
        <v/>
      </c>
      <c r="M54" s="5">
        <f>IFERROR(ROUND(B54/E54,2),0)</f>
        <v/>
      </c>
      <c r="N54" s="2" t="inlineStr">
        <is>
          <t>2023-10-28</t>
        </is>
      </c>
      <c r="O54" s="5">
        <f>ROUND(10.63,2)</f>
        <v/>
      </c>
      <c r="P54" s="3">
        <f>ROUND(16759.0,2)</f>
        <v/>
      </c>
      <c r="Q54" s="3">
        <f>ROUND(158.0,2)</f>
        <v/>
      </c>
      <c r="R54" s="3">
        <f>ROUND(2258.0,2)</f>
        <v/>
      </c>
      <c r="S54" s="3">
        <f>ROUND(1367.0,2)</f>
        <v/>
      </c>
      <c r="T54" s="3">
        <f>ROUND(1011.0,2)</f>
        <v/>
      </c>
      <c r="U54" s="3">
        <f>ROUND(910.0,2)</f>
        <v/>
      </c>
      <c r="V54" s="3">
        <f>ROUND(831.0,2)</f>
        <v/>
      </c>
      <c r="W54" s="4">
        <f>IFERROR((Q54/P54),0)</f>
        <v/>
      </c>
      <c r="X54" s="4">
        <f>IFERROR(((0+O11+O12+O13+O14+O15+O16+O17+O19+O20+O21+O22+O23+O24+O25+O27+O28+O29+O30+O31+O32+O33+O35+O36+O37+O38+O39+O40+O41+O43+O44+O45+O46+O47+O48+O49+O51+O52+O53+O54)/T2),0)</f>
        <v/>
      </c>
      <c r="Y54" s="5">
        <f>IFERROR(ROUND(O54/Q54,2),0)</f>
        <v/>
      </c>
      <c r="Z54" s="5">
        <f>IFERROR(ROUND(O54/R54,2),0)</f>
        <v/>
      </c>
      <c r="AA54" s="2" t="inlineStr">
        <is>
          <t>2023-10-28</t>
        </is>
      </c>
      <c r="AB54" s="5">
        <f>ROUND(19.270000000000003,2)</f>
        <v/>
      </c>
      <c r="AC54" s="3">
        <f>ROUND(25438.0,2)</f>
        <v/>
      </c>
      <c r="AD54" s="3">
        <f>ROUND(391.0,2)</f>
        <v/>
      </c>
      <c r="AE54" s="3">
        <f>ROUND(4527.0,2)</f>
        <v/>
      </c>
      <c r="AF54" s="3">
        <f>ROUND(2513.0,2)</f>
        <v/>
      </c>
      <c r="AG54" s="3">
        <f>ROUND(1739.0,2)</f>
        <v/>
      </c>
      <c r="AH54" s="3">
        <f>ROUND(1535.0,2)</f>
        <v/>
      </c>
      <c r="AI54" s="3">
        <f>ROUND(1300.0,2)</f>
        <v/>
      </c>
      <c r="AJ54" s="4">
        <f>IFERROR((AD54/AC54),0)</f>
        <v/>
      </c>
      <c r="AK54" s="4">
        <f>IFERROR(((0+AB11+AB12+AB13+AB14+AB15+AB16+AB17+AB19+AB20+AB21+AB22+AB23+AB24+AB25+AB27+AB28+AB29+AB30+AB31+AB32+AB33+AB35+AB36+AB37+AB38+AB39+AB40+AB41+AB43+AB44+AB45+AB46+AB47+AB48+AB49+AB51+AB52+AB53+AB54)/T2),0)</f>
        <v/>
      </c>
      <c r="AL54" s="5">
        <f>IFERROR(ROUND(AB54/AD54,2),0)</f>
        <v/>
      </c>
      <c r="AM54" s="5">
        <f>IFERROR(ROUND(AB54/AE54,2),0)</f>
        <v/>
      </c>
      <c r="AN54" s="2" t="inlineStr">
        <is>
          <t>2023-10-28</t>
        </is>
      </c>
      <c r="AO54" s="5">
        <f>ROUND(9.36,2)</f>
        <v/>
      </c>
      <c r="AP54" s="3">
        <f>ROUND(13791.0,2)</f>
        <v/>
      </c>
      <c r="AQ54" s="3">
        <f>ROUND(157.0,2)</f>
        <v/>
      </c>
      <c r="AR54" s="3">
        <f>ROUND(1810.0,2)</f>
        <v/>
      </c>
      <c r="AS54" s="3">
        <f>ROUND(1074.0,2)</f>
        <v/>
      </c>
      <c r="AT54" s="3">
        <f>ROUND(824.0,2)</f>
        <v/>
      </c>
      <c r="AU54" s="3">
        <f>ROUND(724.0,2)</f>
        <v/>
      </c>
      <c r="AV54" s="3">
        <f>ROUND(660.0,2)</f>
        <v/>
      </c>
      <c r="AW54" s="4">
        <f>IFERROR((AQ54/AP54),0)</f>
        <v/>
      </c>
      <c r="AX54" s="4">
        <f>IFERROR(((0+AO11+AO12+AO13+AO14+AO15+AO16+AO17+AO19+AO20+AO21+AO22+AO23+AO24+AO25+AO27+AO28+AO29+AO30+AO31+AO32+AO33+AO35+AO36+AO37+AO38+AO39+AO40+AO41+AO43+AO44+AO45+AO46+AO47+AO48+AO49+AO51+AO52+AO53+AO54)/T2),0)</f>
        <v/>
      </c>
      <c r="AY54" s="5">
        <f>IFERROR(ROUND(AO54/AQ54,2),0)</f>
        <v/>
      </c>
      <c r="AZ54" s="5">
        <f>IFERROR(ROUND(AO54/AR54,2),0)</f>
        <v/>
      </c>
      <c r="BA54" s="2" t="inlineStr">
        <is>
          <t>2023-10-28</t>
        </is>
      </c>
      <c r="BB54" s="5">
        <f>ROUND(59.03,2)</f>
        <v/>
      </c>
      <c r="BC54" s="3">
        <f>ROUND(90307.0,2)</f>
        <v/>
      </c>
      <c r="BD54" s="3">
        <f>ROUND(885.0,2)</f>
        <v/>
      </c>
      <c r="BE54" s="3">
        <f>ROUND(10811.0,2)</f>
        <v/>
      </c>
      <c r="BF54" s="3">
        <f>ROUND(5054.0,2)</f>
        <v/>
      </c>
      <c r="BG54" s="3">
        <f>ROUND(3543.0,2)</f>
        <v/>
      </c>
      <c r="BH54" s="3">
        <f>ROUND(3126.0,2)</f>
        <v/>
      </c>
      <c r="BI54" s="3">
        <f>ROUND(2543.0,2)</f>
        <v/>
      </c>
      <c r="BJ54" s="4">
        <f>IFERROR((BD54/BC54),0)</f>
        <v/>
      </c>
      <c r="BK54" s="4">
        <f>IFERROR(((0+BB11+BB12+BB13+BB14+BB15+BB16+BB17+BB19+BB20+BB21+BB22+BB23+BB24+BB25+BB27+BB28+BB29+BB30+BB31+BB32+BB33+BB35+BB36+BB37+BB38+BB39+BB40+BB41+BB43+BB44+BB45+BB46+BB47+BB48+BB49+BB51+BB52+BB53+BB54)/T2),0)</f>
        <v/>
      </c>
      <c r="BL54" s="5">
        <f>IFERROR(ROUND(BB54/BD54,2),0)</f>
        <v/>
      </c>
      <c r="BM54" s="5">
        <f>IFERROR(ROUND(BB54/BE54,2),0)</f>
        <v/>
      </c>
    </row>
    <row r="55">
      <c r="A55" s="2" t="inlineStr">
        <is>
          <t>2023-10-29</t>
        </is>
      </c>
      <c r="B55" s="5">
        <f>ROUND(102.22,2)</f>
        <v/>
      </c>
      <c r="C55" s="3">
        <f>ROUND(161813.0,2)</f>
        <v/>
      </c>
      <c r="D55" s="3">
        <f>ROUND(1944.0,2)</f>
        <v/>
      </c>
      <c r="E55" s="3">
        <f>ROUND(21214.0,2)</f>
        <v/>
      </c>
      <c r="F55" s="3">
        <f>ROUND(11041.0,2)</f>
        <v/>
      </c>
      <c r="G55" s="3">
        <f>ROUND(7814.0,2)</f>
        <v/>
      </c>
      <c r="H55" s="3">
        <f>ROUND(6835.0,2)</f>
        <v/>
      </c>
      <c r="I55" s="3">
        <f>ROUND(5785.0,2)</f>
        <v/>
      </c>
      <c r="J55" s="4">
        <f>IFERROR((D55/C55),0)</f>
        <v/>
      </c>
      <c r="K55" s="4">
        <f>IFERROR(((0+B11+B12+B13+B14+B15+B16+B17+B19+B20+B21+B22+B23+B24+B25+B27+B28+B29+B30+B31+B32+B33+B35+B36+B37+B38+B39+B40+B41+B43+B44+B45+B46+B47+B48+B49+B51+B52+B53+B54+B55)/T2),0)</f>
        <v/>
      </c>
      <c r="L55" s="5">
        <f>IFERROR(ROUND(B55/D55,2),0)</f>
        <v/>
      </c>
      <c r="M55" s="5">
        <f>IFERROR(ROUND(B55/E55,2),0)</f>
        <v/>
      </c>
      <c r="N55" s="2" t="inlineStr">
        <is>
          <t>2023-10-29</t>
        </is>
      </c>
      <c r="O55" s="5">
        <f>ROUND(13.870000000000001,2)</f>
        <v/>
      </c>
      <c r="P55" s="3">
        <f>ROUND(23067.0,2)</f>
        <v/>
      </c>
      <c r="Q55" s="3">
        <f>ROUND(252.0,2)</f>
        <v/>
      </c>
      <c r="R55" s="3">
        <f>ROUND(2890.0,2)</f>
        <v/>
      </c>
      <c r="S55" s="3">
        <f>ROUND(1658.0,2)</f>
        <v/>
      </c>
      <c r="T55" s="3">
        <f>ROUND(1194.0,2)</f>
        <v/>
      </c>
      <c r="U55" s="3">
        <f>ROUND(1082.0,2)</f>
        <v/>
      </c>
      <c r="V55" s="3">
        <f>ROUND(969.0,2)</f>
        <v/>
      </c>
      <c r="W55" s="4">
        <f>IFERROR((Q55/P55),0)</f>
        <v/>
      </c>
      <c r="X55" s="4">
        <f>IFERROR(((0+O11+O12+O13+O14+O15+O16+O17+O19+O20+O21+O22+O23+O24+O25+O27+O28+O29+O30+O31+O32+O33+O35+O36+O37+O38+O39+O40+O41+O43+O44+O45+O46+O47+O48+O49+O51+O52+O53+O54+O55)/T2),0)</f>
        <v/>
      </c>
      <c r="Y55" s="5">
        <f>IFERROR(ROUND(O55/Q55,2),0)</f>
        <v/>
      </c>
      <c r="Z55" s="5">
        <f>IFERROR(ROUND(O55/R55,2),0)</f>
        <v/>
      </c>
      <c r="AA55" s="2" t="inlineStr">
        <is>
          <t>2023-10-29</t>
        </is>
      </c>
      <c r="AB55" s="5">
        <f>ROUND(35.62,2)</f>
        <v/>
      </c>
      <c r="AC55" s="3">
        <f>ROUND(55234.0,2)</f>
        <v/>
      </c>
      <c r="AD55" s="3">
        <f>ROUND(802.0,2)</f>
        <v/>
      </c>
      <c r="AE55" s="3">
        <f>ROUND(8240.0,2)</f>
        <v/>
      </c>
      <c r="AF55" s="3">
        <f>ROUND(4435.0,2)</f>
        <v/>
      </c>
      <c r="AG55" s="3">
        <f>ROUND(3011.0,2)</f>
        <v/>
      </c>
      <c r="AH55" s="3">
        <f>ROUND(2599.0,2)</f>
        <v/>
      </c>
      <c r="AI55" s="3">
        <f>ROUND(2185.0,2)</f>
        <v/>
      </c>
      <c r="AJ55" s="4">
        <f>IFERROR((AD55/AC55),0)</f>
        <v/>
      </c>
      <c r="AK55" s="4">
        <f>IFERROR(((0+AB11+AB12+AB13+AB14+AB15+AB16+AB17+AB19+AB20+AB21+AB22+AB23+AB24+AB25+AB27+AB28+AB29+AB30+AB31+AB32+AB33+AB35+AB36+AB37+AB38+AB39+AB40+AB41+AB43+AB44+AB45+AB46+AB47+AB48+AB49+AB51+AB52+AB53+AB54+AB55)/T2),0)</f>
        <v/>
      </c>
      <c r="AL55" s="5">
        <f>IFERROR(ROUND(AB55/AD55,2),0)</f>
        <v/>
      </c>
      <c r="AM55" s="5">
        <f>IFERROR(ROUND(AB55/AE55,2),0)</f>
        <v/>
      </c>
      <c r="AN55" s="2" t="inlineStr">
        <is>
          <t>2023-10-29</t>
        </is>
      </c>
      <c r="AO55" s="5">
        <f>ROUND(9.530000000000001,2)</f>
        <v/>
      </c>
      <c r="AP55" s="3">
        <f>ROUND(16372.0,2)</f>
        <v/>
      </c>
      <c r="AQ55" s="3">
        <f>ROUND(177.0,2)</f>
        <v/>
      </c>
      <c r="AR55" s="3">
        <f>ROUND(1785.0,2)</f>
        <v/>
      </c>
      <c r="AS55" s="3">
        <f>ROUND(1028.0,2)</f>
        <v/>
      </c>
      <c r="AT55" s="3">
        <f>ROUND(780.0,2)</f>
        <v/>
      </c>
      <c r="AU55" s="3">
        <f>ROUND(671.0,2)</f>
        <v/>
      </c>
      <c r="AV55" s="3">
        <f>ROUND(607.0,2)</f>
        <v/>
      </c>
      <c r="AW55" s="4">
        <f>IFERROR((AQ55/AP55),0)</f>
        <v/>
      </c>
      <c r="AX55" s="4">
        <f>IFERROR(((0+AO11+AO12+AO13+AO14+AO15+AO16+AO17+AO19+AO20+AO21+AO22+AO23+AO24+AO25+AO27+AO28+AO29+AO30+AO31+AO32+AO33+AO35+AO36+AO37+AO38+AO39+AO40+AO41+AO43+AO44+AO45+AO46+AO47+AO48+AO49+AO51+AO52+AO53+AO54+AO55)/T2),0)</f>
        <v/>
      </c>
      <c r="AY55" s="5">
        <f>IFERROR(ROUND(AO55/AQ55,2),0)</f>
        <v/>
      </c>
      <c r="AZ55" s="5">
        <f>IFERROR(ROUND(AO55/AR55,2),0)</f>
        <v/>
      </c>
      <c r="BA55" s="2" t="inlineStr">
        <is>
          <t>2023-10-29</t>
        </is>
      </c>
      <c r="BB55" s="5">
        <f>ROUND(43.199999999999996,2)</f>
        <v/>
      </c>
      <c r="BC55" s="3">
        <f>ROUND(67140.0,2)</f>
        <v/>
      </c>
      <c r="BD55" s="3">
        <f>ROUND(713.0,2)</f>
        <v/>
      </c>
      <c r="BE55" s="3">
        <f>ROUND(8299.0,2)</f>
        <v/>
      </c>
      <c r="BF55" s="3">
        <f>ROUND(3920.0,2)</f>
        <v/>
      </c>
      <c r="BG55" s="3">
        <f>ROUND(2829.0,2)</f>
        <v/>
      </c>
      <c r="BH55" s="3">
        <f>ROUND(2483.0,2)</f>
        <v/>
      </c>
      <c r="BI55" s="3">
        <f>ROUND(2024.0,2)</f>
        <v/>
      </c>
      <c r="BJ55" s="4">
        <f>IFERROR((BD55/BC55),0)</f>
        <v/>
      </c>
      <c r="BK55" s="4">
        <f>IFERROR(((0+BB11+BB12+BB13+BB14+BB15+BB16+BB17+BB19+BB20+BB21+BB22+BB23+BB24+BB25+BB27+BB28+BB29+BB30+BB31+BB32+BB33+BB35+BB36+BB37+BB38+BB39+BB40+BB41+BB43+BB44+BB45+BB46+BB47+BB48+BB49+BB51+BB52+BB53+BB54+BB55)/T2),0)</f>
        <v/>
      </c>
      <c r="BL55" s="5">
        <f>IFERROR(ROUND(BB55/BD55,2),0)</f>
        <v/>
      </c>
      <c r="BM55" s="5">
        <f>IFERROR(ROUND(BB55/BE55,2),0)</f>
        <v/>
      </c>
    </row>
    <row r="56">
      <c r="A56" s="6" t="inlineStr">
        <is>
          <t>Total</t>
        </is>
      </c>
      <c r="B56" s="7">
        <f>ROUND(856.9300000000001,2)</f>
        <v/>
      </c>
      <c r="C56" s="8">
        <f>ROUND(1529825.0,2)</f>
        <v/>
      </c>
      <c r="D56" s="8">
        <f>ROUND(16936.0,2)</f>
        <v/>
      </c>
      <c r="E56" s="8">
        <f>ROUND(227559.0,2)</f>
        <v/>
      </c>
      <c r="F56" s="8">
        <f>ROUND(122717.0,2)</f>
        <v/>
      </c>
      <c r="G56" s="8">
        <f>ROUND(89355.0,2)</f>
        <v/>
      </c>
      <c r="H56" s="8">
        <f>ROUND(79266.0,2)</f>
        <v/>
      </c>
      <c r="I56" s="8">
        <f>ROUND(67429.0,2)</f>
        <v/>
      </c>
      <c r="J56" s="9">
        <f>IFERROR((D56/C56),0)</f>
        <v/>
      </c>
      <c r="K56" s="9">
        <f>IFERROR(((0+B56)/T2),0)</f>
        <v/>
      </c>
      <c r="L56" s="7">
        <f>IFERROR(B56/D56,0)</f>
        <v/>
      </c>
      <c r="M56" s="7">
        <f>IFERROR(ROUND(B56/E56,2),0)</f>
        <v/>
      </c>
      <c r="N56" s="6" t="inlineStr">
        <is>
          <t>Total</t>
        </is>
      </c>
      <c r="O56" s="7">
        <f>ROUND(99.12,2)</f>
        <v/>
      </c>
      <c r="P56" s="8">
        <f>ROUND(174188.0,2)</f>
        <v/>
      </c>
      <c r="Q56" s="8">
        <f>ROUND(1710.0,2)</f>
        <v/>
      </c>
      <c r="R56" s="8">
        <f>ROUND(25619.0,2)</f>
        <v/>
      </c>
      <c r="S56" s="8">
        <f>ROUND(15729.0,2)</f>
        <v/>
      </c>
      <c r="T56" s="8">
        <f>ROUND(11877.0,2)</f>
        <v/>
      </c>
      <c r="U56" s="8">
        <f>ROUND(10726.0,2)</f>
        <v/>
      </c>
      <c r="V56" s="8">
        <f>ROUND(9729.0,2)</f>
        <v/>
      </c>
      <c r="W56" s="9">
        <f>IFERROR((Q56/P56),0)</f>
        <v/>
      </c>
      <c r="X56" s="9">
        <f>IFERROR(((0+O56)/T2),0)</f>
        <v/>
      </c>
      <c r="Y56" s="7">
        <f>IFERROR(O56/Q56,0)</f>
        <v/>
      </c>
      <c r="Z56" s="7">
        <f>IFERROR(ROUND(O56/R56,2),0)</f>
        <v/>
      </c>
      <c r="AA56" s="6" t="inlineStr">
        <is>
          <t>Total</t>
        </is>
      </c>
      <c r="AB56" s="7">
        <f>ROUND(299.31,2)</f>
        <v/>
      </c>
      <c r="AC56" s="8">
        <f>ROUND(514362.0,2)</f>
        <v/>
      </c>
      <c r="AD56" s="8">
        <f>ROUND(7112.0,2)</f>
        <v/>
      </c>
      <c r="AE56" s="8">
        <f>ROUND(92154.0,2)</f>
        <v/>
      </c>
      <c r="AF56" s="8">
        <f>ROUND(50682.0,2)</f>
        <v/>
      </c>
      <c r="AG56" s="8">
        <f>ROUND(35390.0,2)</f>
        <v/>
      </c>
      <c r="AH56" s="8">
        <f>ROUND(31187.0,2)</f>
        <v/>
      </c>
      <c r="AI56" s="8">
        <f>ROUND(26466.0,2)</f>
        <v/>
      </c>
      <c r="AJ56" s="9">
        <f>IFERROR((AD56/AC56),0)</f>
        <v/>
      </c>
      <c r="AK56" s="9">
        <f>IFERROR(((0+AB56)/T2),0)</f>
        <v/>
      </c>
      <c r="AL56" s="7">
        <f>IFERROR(AB56/AD56,0)</f>
        <v/>
      </c>
      <c r="AM56" s="7">
        <f>IFERROR(ROUND(AB56/AE56,2),0)</f>
        <v/>
      </c>
      <c r="AN56" s="6" t="inlineStr">
        <is>
          <t>Total</t>
        </is>
      </c>
      <c r="AO56" s="7">
        <f>ROUND(96.41,2)</f>
        <v/>
      </c>
      <c r="AP56" s="8">
        <f>ROUND(179063.0,2)</f>
        <v/>
      </c>
      <c r="AQ56" s="8">
        <f>ROUND(1804.0,2)</f>
        <v/>
      </c>
      <c r="AR56" s="8">
        <f>ROUND(24099.0,2)</f>
        <v/>
      </c>
      <c r="AS56" s="8">
        <f>ROUND(14260.0,2)</f>
        <v/>
      </c>
      <c r="AT56" s="8">
        <f>ROUND(11378.0,2)</f>
        <v/>
      </c>
      <c r="AU56" s="8">
        <f>ROUND(10109.0,2)</f>
        <v/>
      </c>
      <c r="AV56" s="8">
        <f>ROUND(9157.0,2)</f>
        <v/>
      </c>
      <c r="AW56" s="9">
        <f>IFERROR((AQ56/AP56),0)</f>
        <v/>
      </c>
      <c r="AX56" s="9">
        <f>IFERROR(((0+AO56)/T2),0)</f>
        <v/>
      </c>
      <c r="AY56" s="7">
        <f>IFERROR(AO56/AQ56,0)</f>
        <v/>
      </c>
      <c r="AZ56" s="7">
        <f>IFERROR(ROUND(AO56/AR56,2),0)</f>
        <v/>
      </c>
      <c r="BA56" s="6" t="inlineStr">
        <is>
          <t>Total</t>
        </is>
      </c>
      <c r="BB56" s="7">
        <f>ROUND(362.09000000000003,2)</f>
        <v/>
      </c>
      <c r="BC56" s="8">
        <f>ROUND(662212.0,2)</f>
        <v/>
      </c>
      <c r="BD56" s="8">
        <f>ROUND(6310.0,2)</f>
        <v/>
      </c>
      <c r="BE56" s="8">
        <f>ROUND(85687.0,2)</f>
        <v/>
      </c>
      <c r="BF56" s="8">
        <f>ROUND(42046.0,2)</f>
        <v/>
      </c>
      <c r="BG56" s="8">
        <f>ROUND(30710.0,2)</f>
        <v/>
      </c>
      <c r="BH56" s="8">
        <f>ROUND(27244.0,2)</f>
        <v/>
      </c>
      <c r="BI56" s="8">
        <f>ROUND(22077.0,2)</f>
        <v/>
      </c>
      <c r="BJ56" s="9">
        <f>IFERROR((BD56/BC56),0)</f>
        <v/>
      </c>
      <c r="BK56" s="9">
        <f>IFERROR(((0+BB56)/T2),0)</f>
        <v/>
      </c>
      <c r="BL56" s="7">
        <f>IFERROR(BB56/BD56,0)</f>
        <v/>
      </c>
      <c r="BM56" s="7">
        <f>IFERROR(ROUND(BB56/BE56,2),0)</f>
        <v/>
      </c>
    </row>
  </sheetData>
  <mergeCells count="4">
    <mergeCell ref="AN9:AZ9"/>
    <mergeCell ref="N9:Z9"/>
    <mergeCell ref="BA9:BM9"/>
    <mergeCell ref="AA9:AM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M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ROUND(0.0,2)</f>
        <v/>
      </c>
      <c r="C2" s="3">
        <f>ROUND(0.0,2)</f>
        <v/>
      </c>
      <c r="D2" s="3">
        <f>ROUND(0.0,2)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ROUND(0.0,2)</f>
        <v/>
      </c>
      <c r="C3" s="3">
        <f>ROUND(0.0,2)</f>
        <v/>
      </c>
      <c r="D3" s="3">
        <f>ROUND(0.0,2)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ROUND(0.0,2)</f>
        <v/>
      </c>
      <c r="C4" s="3">
        <f>ROUND(0.0,2)</f>
        <v/>
      </c>
      <c r="D4" s="3">
        <f>ROUND(0.0,2)</f>
        <v/>
      </c>
      <c r="E4" s="3">
        <f>ROUND(0.0,2)</f>
        <v/>
      </c>
      <c r="F4" s="3">
        <f>ROUND(0.0,2)</f>
        <v/>
      </c>
      <c r="G4" s="3">
        <f>ROUND(0.0,2)</f>
        <v/>
      </c>
      <c r="H4" s="3">
        <f>ROUND(0.0,2)</f>
        <v/>
      </c>
      <c r="I4" s="3">
        <f>ROUND(0.0,2)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ROUND(0.0,2)</f>
        <v/>
      </c>
      <c r="C5" s="3">
        <f>ROUND(0.0,2)</f>
        <v/>
      </c>
      <c r="D5" s="3">
        <f>ROUND(0.0,2)</f>
        <v/>
      </c>
      <c r="E5" s="3">
        <f>ROUND(0.0,2)</f>
        <v/>
      </c>
      <c r="F5" s="3">
        <f>ROUND(0.0,2)</f>
        <v/>
      </c>
      <c r="G5" s="3">
        <f>ROUND(0.0,2)</f>
        <v/>
      </c>
      <c r="H5" s="3">
        <f>ROUND(0.0,2)</f>
        <v/>
      </c>
      <c r="I5" s="3">
        <f>ROUND(0.0,2)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ROUND(56.51,2)</f>
        <v/>
      </c>
      <c r="C6" s="3">
        <f>ROUND(103324.0,2)</f>
        <v/>
      </c>
      <c r="D6" s="3">
        <f>ROUND(5582.0,2)</f>
        <v/>
      </c>
      <c r="E6" s="3">
        <f>ROUND(0.0,2)</f>
        <v/>
      </c>
      <c r="F6" s="3">
        <f>ROUND(0.0,2)</f>
        <v/>
      </c>
      <c r="G6" s="3">
        <f>ROUND(0.0,2)</f>
        <v/>
      </c>
      <c r="H6" s="3">
        <f>ROUND(0.0,2)</f>
        <v/>
      </c>
      <c r="I6" s="3">
        <f>ROUND(0.0,2)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2" t="inlineStr">
        <is>
          <t>6</t>
        </is>
      </c>
      <c r="B7" s="3">
        <f>ROUND(232.53,2)</f>
        <v/>
      </c>
      <c r="C7" s="3">
        <f>ROUND(488519.0,2)</f>
        <v/>
      </c>
      <c r="D7" s="3">
        <f>ROUND(23196.0,2)</f>
        <v/>
      </c>
      <c r="E7" s="3">
        <f>ROUND(0.0,2)</f>
        <v/>
      </c>
      <c r="F7" s="3">
        <f>ROUND(0.0,2)</f>
        <v/>
      </c>
      <c r="G7" s="3">
        <f>ROUND(0.0,2)</f>
        <v/>
      </c>
      <c r="H7" s="3">
        <f>ROUND(0.0,2)</f>
        <v/>
      </c>
      <c r="I7" s="3">
        <f>ROUND(0.0,2)</f>
        <v/>
      </c>
      <c r="J7" s="4">
        <f>IFERROR((D7/C7),0)</f>
        <v/>
      </c>
      <c r="K7" s="4">
        <f>IFERROR(((0+B2+B3+B4+B5+B6+B7)/T2),0)</f>
        <v/>
      </c>
      <c r="L7" s="5">
        <f>IFERROR(ROUND(B7/D7,2),0)</f>
        <v/>
      </c>
      <c r="M7" s="5">
        <f>IFERROR(ROUND(B7/E7,2),0)</f>
        <v/>
      </c>
    </row>
    <row r="8">
      <c r="A8" s="6" t="inlineStr">
        <is>
          <t>Total</t>
        </is>
      </c>
      <c r="B8" s="7">
        <f>ROUND(289.04,2)</f>
        <v/>
      </c>
      <c r="C8" s="8">
        <f>ROUND(591843.0,2)</f>
        <v/>
      </c>
      <c r="D8" s="8">
        <f>ROUND(28778.0,2)</f>
        <v/>
      </c>
      <c r="E8" s="8">
        <f>ROUND(0.0,2)</f>
        <v/>
      </c>
      <c r="F8" s="8">
        <f>ROUND(0.0,2)</f>
        <v/>
      </c>
      <c r="G8" s="8">
        <f>ROUND(0.0,2)</f>
        <v/>
      </c>
      <c r="H8" s="8">
        <f>ROUND(0.0,2)</f>
        <v/>
      </c>
      <c r="I8" s="8">
        <f>ROUND(0.0,2)</f>
        <v/>
      </c>
      <c r="J8" s="9">
        <f>IFERROR((D8/C8),0)</f>
        <v/>
      </c>
      <c r="K8" s="9">
        <f>IFERROR(((0+B8)/T2),0)</f>
        <v/>
      </c>
      <c r="L8" s="7">
        <f>IFERROR(B8/D8,0)</f>
        <v/>
      </c>
      <c r="M8" s="7">
        <f>IFERROR(ROUND(B8/E8,2),0)</f>
        <v/>
      </c>
      <c r="N8" s="1" t="inlineStr">
        <is>
          <t>Static</t>
        </is>
      </c>
      <c r="AA8" s="1" t="inlineStr">
        <is>
          <t>Static</t>
        </is>
      </c>
      <c r="AN8" s="1" t="inlineStr">
        <is>
          <t>Static</t>
        </is>
      </c>
      <c r="BA8" s="1" t="inlineStr">
        <is>
          <t>Static</t>
        </is>
      </c>
      <c r="BN8" s="1" t="inlineStr">
        <is>
          <t>Static</t>
        </is>
      </c>
      <c r="CA8" s="1" t="inlineStr">
        <is>
          <t>Static</t>
        </is>
      </c>
      <c r="CN8" s="1" t="inlineStr">
        <is>
          <t>Static</t>
        </is>
      </c>
      <c r="DA8" s="1" t="inlineStr">
        <is>
          <t>Static</t>
        </is>
      </c>
      <c r="DN8" s="1" t="inlineStr">
        <is>
          <t>Static</t>
        </is>
      </c>
      <c r="EA8" s="1" t="inlineStr">
        <is>
          <t>Static</t>
        </is>
      </c>
      <c r="EN8" s="1" t="inlineStr">
        <is>
          <t>Static</t>
        </is>
      </c>
      <c r="FA8" s="1" t="inlineStr">
        <is>
          <t>Static</t>
        </is>
      </c>
      <c r="FN8" s="1" t="inlineStr">
        <is>
          <t>Static</t>
        </is>
      </c>
      <c r="GA8" s="1" t="inlineStr">
        <is>
          <t>Static</t>
        </is>
      </c>
    </row>
    <row r="9">
      <c r="N9" s="1" t="inlineStr">
        <is>
          <t xml:space="preserve">DW_OP02 (EN) </t>
        </is>
      </c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1" t="n"/>
      <c r="AA9" s="1" t="inlineStr">
        <is>
          <t xml:space="preserve">RAC_ThinQ_OP02 (EN) </t>
        </is>
      </c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1" t="n"/>
      <c r="AN9" s="1" t="inlineStr">
        <is>
          <t xml:space="preserve">Oled_VO_OP02 (EN) </t>
        </is>
      </c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1" t="n"/>
      <c r="BA9" s="1" t="inlineStr">
        <is>
          <t xml:space="preserve">Knock_OP02 (EN) </t>
        </is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 t="n"/>
      <c r="BK9" s="10" t="n"/>
      <c r="BL9" s="10" t="n"/>
      <c r="BM9" s="11" t="n"/>
      <c r="BN9" s="1" t="inlineStr">
        <is>
          <t xml:space="preserve">WM_OP2 (EN) </t>
        </is>
      </c>
      <c r="BO9" s="10" t="n"/>
      <c r="BP9" s="10" t="n"/>
      <c r="BQ9" s="10" t="n"/>
      <c r="BR9" s="10" t="n"/>
      <c r="BS9" s="10" t="n"/>
      <c r="BT9" s="10" t="n"/>
      <c r="BU9" s="10" t="n"/>
      <c r="BV9" s="10" t="n"/>
      <c r="BW9" s="10" t="n"/>
      <c r="BX9" s="10" t="n"/>
      <c r="BY9" s="10" t="n"/>
      <c r="BZ9" s="11" t="n"/>
      <c r="CA9" s="1" t="inlineStr">
        <is>
          <t xml:space="preserve">Ref_ThinQ_OP02 (EN) </t>
        </is>
      </c>
      <c r="CB9" s="10" t="n"/>
      <c r="CC9" s="10" t="n"/>
      <c r="CD9" s="10" t="n"/>
      <c r="CE9" s="10" t="n"/>
      <c r="CF9" s="10" t="n"/>
      <c r="CG9" s="10" t="n"/>
      <c r="CH9" s="10" t="n"/>
      <c r="CI9" s="10" t="n"/>
      <c r="CJ9" s="10" t="n"/>
      <c r="CK9" s="10" t="n"/>
      <c r="CL9" s="10" t="n"/>
      <c r="CM9" s="11" t="n"/>
      <c r="CN9" s="1" t="inlineStr">
        <is>
          <t xml:space="preserve">Ref_ThinQ_OP2 (EN) </t>
        </is>
      </c>
      <c r="CO9" s="10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 t="n"/>
      <c r="CY9" s="10" t="n"/>
      <c r="CZ9" s="11" t="n"/>
      <c r="DA9" s="1" t="inlineStr">
        <is>
          <t xml:space="preserve">DW_OP01 (EN) </t>
        </is>
      </c>
      <c r="DB9" s="10" t="n"/>
      <c r="DC9" s="10" t="n"/>
      <c r="DD9" s="10" t="n"/>
      <c r="DE9" s="10" t="n"/>
      <c r="DF9" s="10" t="n"/>
      <c r="DG9" s="10" t="n"/>
      <c r="DH9" s="10" t="n"/>
      <c r="DI9" s="10" t="n"/>
      <c r="DJ9" s="10" t="n"/>
      <c r="DK9" s="10" t="n"/>
      <c r="DL9" s="10" t="n"/>
      <c r="DM9" s="11" t="n"/>
      <c r="DN9" s="1" t="inlineStr">
        <is>
          <t xml:space="preserve">WM_OP01 (EN) </t>
        </is>
      </c>
      <c r="DO9" s="10" t="n"/>
      <c r="DP9" s="10" t="n"/>
      <c r="DQ9" s="10" t="n"/>
      <c r="DR9" s="10" t="n"/>
      <c r="DS9" s="10" t="n"/>
      <c r="DT9" s="10" t="n"/>
      <c r="DU9" s="10" t="n"/>
      <c r="DV9" s="10" t="n"/>
      <c r="DW9" s="10" t="n"/>
      <c r="DX9" s="10" t="n"/>
      <c r="DY9" s="10" t="n"/>
      <c r="DZ9" s="11" t="n"/>
      <c r="EA9" s="1" t="inlineStr">
        <is>
          <t xml:space="preserve">Oled_VO_OP01 (EN) </t>
        </is>
      </c>
      <c r="EB9" s="10" t="n"/>
      <c r="EC9" s="10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 t="n"/>
      <c r="EM9" s="11" t="n"/>
      <c r="EN9" s="1" t="inlineStr">
        <is>
          <t xml:space="preserve">RAC_ThinQ_OP01 (EN) </t>
        </is>
      </c>
      <c r="EO9" s="10" t="n"/>
      <c r="EP9" s="10" t="n"/>
      <c r="EQ9" s="10" t="n"/>
      <c r="ER9" s="10" t="n"/>
      <c r="ES9" s="10" t="n"/>
      <c r="ET9" s="10" t="n"/>
      <c r="EU9" s="10" t="n"/>
      <c r="EV9" s="10" t="n"/>
      <c r="EW9" s="10" t="n"/>
      <c r="EX9" s="10" t="n"/>
      <c r="EY9" s="10" t="n"/>
      <c r="EZ9" s="11" t="n"/>
      <c r="FA9" s="1" t="inlineStr">
        <is>
          <t xml:space="preserve">Knock_OP01 (EN) </t>
        </is>
      </c>
      <c r="FB9" s="10" t="n"/>
      <c r="FC9" s="10" t="n"/>
      <c r="FD9" s="10" t="n"/>
      <c r="FE9" s="10" t="n"/>
      <c r="FF9" s="10" t="n"/>
      <c r="FG9" s="10" t="n"/>
      <c r="FH9" s="10" t="n"/>
      <c r="FI9" s="10" t="n"/>
      <c r="FJ9" s="10" t="n"/>
      <c r="FK9" s="10" t="n"/>
      <c r="FL9" s="10" t="n"/>
      <c r="FM9" s="11" t="n"/>
      <c r="FN9" s="1" t="inlineStr">
        <is>
          <t xml:space="preserve">Ref_ThinQ_OP01 (EN) </t>
        </is>
      </c>
      <c r="FO9" s="10" t="n"/>
      <c r="FP9" s="10" t="n"/>
      <c r="FQ9" s="10" t="n"/>
      <c r="FR9" s="10" t="n"/>
      <c r="FS9" s="10" t="n"/>
      <c r="FT9" s="10" t="n"/>
      <c r="FU9" s="10" t="n"/>
      <c r="FV9" s="10" t="n"/>
      <c r="FW9" s="10" t="n"/>
      <c r="FX9" s="10" t="n"/>
      <c r="FY9" s="10" t="n"/>
      <c r="FZ9" s="11" t="n"/>
      <c r="GA9" s="1" t="inlineStr">
        <is>
          <t xml:space="preserve">empty (EN) </t>
        </is>
      </c>
      <c r="GB9" s="10" t="n"/>
      <c r="GC9" s="10" t="n"/>
      <c r="GD9" s="10" t="n"/>
      <c r="GE9" s="10" t="n"/>
      <c r="GF9" s="10" t="n"/>
      <c r="GG9" s="10" t="n"/>
      <c r="GH9" s="10" t="n"/>
      <c r="GI9" s="10" t="n"/>
      <c r="GJ9" s="10" t="n"/>
      <c r="GK9" s="10" t="n"/>
      <c r="GL9" s="10" t="n"/>
      <c r="GM9" s="11" t="n"/>
    </row>
    <row r="10">
      <c r="A10" s="1" t="inlineStr">
        <is>
          <t>date</t>
        </is>
      </c>
      <c r="B10" s="1" t="inlineStr">
        <is>
          <t>budget</t>
        </is>
      </c>
      <c r="C10" s="1" t="inlineStr">
        <is>
          <t>impressions</t>
        </is>
      </c>
      <c r="D10" s="1" t="inlineStr">
        <is>
          <t>clicks</t>
        </is>
      </c>
      <c r="E10" s="1" t="inlineStr">
        <is>
          <t>view</t>
        </is>
      </c>
      <c r="F10" s="1" t="inlineStr">
        <is>
          <t>percent_25</t>
        </is>
      </c>
      <c r="G10" s="1" t="inlineStr">
        <is>
          <t>percent_50</t>
        </is>
      </c>
      <c r="H10" s="1" t="inlineStr">
        <is>
          <t>percent_75</t>
        </is>
      </c>
      <c r="I10" s="1" t="inlineStr">
        <is>
          <t>percent_100</t>
        </is>
      </c>
      <c r="J10" s="1" t="inlineStr">
        <is>
          <t>CTR</t>
        </is>
      </c>
      <c r="K10" s="1" t="inlineStr">
        <is>
          <t>Spent Budget %</t>
        </is>
      </c>
      <c r="L10" s="1" t="inlineStr">
        <is>
          <t>CPC</t>
        </is>
      </c>
      <c r="M10" s="1" t="inlineStr">
        <is>
          <t>CPV</t>
        </is>
      </c>
      <c r="N10" s="1" t="inlineStr">
        <is>
          <t>date</t>
        </is>
      </c>
      <c r="O10" s="1" t="inlineStr">
        <is>
          <t>budget</t>
        </is>
      </c>
      <c r="P10" s="1" t="inlineStr">
        <is>
          <t>impressions</t>
        </is>
      </c>
      <c r="Q10" s="1" t="inlineStr">
        <is>
          <t>clicks</t>
        </is>
      </c>
      <c r="R10" s="1" t="inlineStr">
        <is>
          <t>view</t>
        </is>
      </c>
      <c r="S10" s="1" t="inlineStr">
        <is>
          <t>percent_25</t>
        </is>
      </c>
      <c r="T10" s="1" t="inlineStr">
        <is>
          <t>percent_50</t>
        </is>
      </c>
      <c r="U10" s="1" t="inlineStr">
        <is>
          <t>percent_75</t>
        </is>
      </c>
      <c r="V10" s="1" t="inlineStr">
        <is>
          <t>percent_100</t>
        </is>
      </c>
      <c r="W10" s="1" t="inlineStr">
        <is>
          <t>CTR</t>
        </is>
      </c>
      <c r="X10" s="1" t="inlineStr">
        <is>
          <t>Spent Budget %</t>
        </is>
      </c>
      <c r="Y10" s="1" t="inlineStr">
        <is>
          <t>CPC</t>
        </is>
      </c>
      <c r="Z10" s="1" t="inlineStr">
        <is>
          <t>CPV</t>
        </is>
      </c>
      <c r="AA10" s="1" t="inlineStr">
        <is>
          <t>date</t>
        </is>
      </c>
      <c r="AB10" s="1" t="inlineStr">
        <is>
          <t>budget</t>
        </is>
      </c>
      <c r="AC10" s="1" t="inlineStr">
        <is>
          <t>impressions</t>
        </is>
      </c>
      <c r="AD10" s="1" t="inlineStr">
        <is>
          <t>clicks</t>
        </is>
      </c>
      <c r="AE10" s="1" t="inlineStr">
        <is>
          <t>view</t>
        </is>
      </c>
      <c r="AF10" s="1" t="inlineStr">
        <is>
          <t>percent_25</t>
        </is>
      </c>
      <c r="AG10" s="1" t="inlineStr">
        <is>
          <t>percent_50</t>
        </is>
      </c>
      <c r="AH10" s="1" t="inlineStr">
        <is>
          <t>percent_75</t>
        </is>
      </c>
      <c r="AI10" s="1" t="inlineStr">
        <is>
          <t>percent_100</t>
        </is>
      </c>
      <c r="AJ10" s="1" t="inlineStr">
        <is>
          <t>CTR</t>
        </is>
      </c>
      <c r="AK10" s="1" t="inlineStr">
        <is>
          <t>Spent Budget %</t>
        </is>
      </c>
      <c r="AL10" s="1" t="inlineStr">
        <is>
          <t>CPC</t>
        </is>
      </c>
      <c r="AM10" s="1" t="inlineStr">
        <is>
          <t>CPV</t>
        </is>
      </c>
      <c r="AN10" s="1" t="inlineStr">
        <is>
          <t>date</t>
        </is>
      </c>
      <c r="AO10" s="1" t="inlineStr">
        <is>
          <t>budget</t>
        </is>
      </c>
      <c r="AP10" s="1" t="inlineStr">
        <is>
          <t>impressions</t>
        </is>
      </c>
      <c r="AQ10" s="1" t="inlineStr">
        <is>
          <t>clicks</t>
        </is>
      </c>
      <c r="AR10" s="1" t="inlineStr">
        <is>
          <t>view</t>
        </is>
      </c>
      <c r="AS10" s="1" t="inlineStr">
        <is>
          <t>percent_25</t>
        </is>
      </c>
      <c r="AT10" s="1" t="inlineStr">
        <is>
          <t>percent_50</t>
        </is>
      </c>
      <c r="AU10" s="1" t="inlineStr">
        <is>
          <t>percent_75</t>
        </is>
      </c>
      <c r="AV10" s="1" t="inlineStr">
        <is>
          <t>percent_100</t>
        </is>
      </c>
      <c r="AW10" s="1" t="inlineStr">
        <is>
          <t>CTR</t>
        </is>
      </c>
      <c r="AX10" s="1" t="inlineStr">
        <is>
          <t>Spent Budget %</t>
        </is>
      </c>
      <c r="AY10" s="1" t="inlineStr">
        <is>
          <t>CPC</t>
        </is>
      </c>
      <c r="AZ10" s="1" t="inlineStr">
        <is>
          <t>CPV</t>
        </is>
      </c>
      <c r="BA10" s="1" t="inlineStr">
        <is>
          <t>date</t>
        </is>
      </c>
      <c r="BB10" s="1" t="inlineStr">
        <is>
          <t>budget</t>
        </is>
      </c>
      <c r="BC10" s="1" t="inlineStr">
        <is>
          <t>impressions</t>
        </is>
      </c>
      <c r="BD10" s="1" t="inlineStr">
        <is>
          <t>clicks</t>
        </is>
      </c>
      <c r="BE10" s="1" t="inlineStr">
        <is>
          <t>view</t>
        </is>
      </c>
      <c r="BF10" s="1" t="inlineStr">
        <is>
          <t>percent_25</t>
        </is>
      </c>
      <c r="BG10" s="1" t="inlineStr">
        <is>
          <t>percent_50</t>
        </is>
      </c>
      <c r="BH10" s="1" t="inlineStr">
        <is>
          <t>percent_75</t>
        </is>
      </c>
      <c r="BI10" s="1" t="inlineStr">
        <is>
          <t>percent_100</t>
        </is>
      </c>
      <c r="BJ10" s="1" t="inlineStr">
        <is>
          <t>CTR</t>
        </is>
      </c>
      <c r="BK10" s="1" t="inlineStr">
        <is>
          <t>Spent Budget %</t>
        </is>
      </c>
      <c r="BL10" s="1" t="inlineStr">
        <is>
          <t>CPC</t>
        </is>
      </c>
      <c r="BM10" s="1" t="inlineStr">
        <is>
          <t>CPV</t>
        </is>
      </c>
      <c r="BN10" s="1" t="inlineStr">
        <is>
          <t>date</t>
        </is>
      </c>
      <c r="BO10" s="1" t="inlineStr">
        <is>
          <t>budget</t>
        </is>
      </c>
      <c r="BP10" s="1" t="inlineStr">
        <is>
          <t>impressions</t>
        </is>
      </c>
      <c r="BQ10" s="1" t="inlineStr">
        <is>
          <t>clicks</t>
        </is>
      </c>
      <c r="BR10" s="1" t="inlineStr">
        <is>
          <t>view</t>
        </is>
      </c>
      <c r="BS10" s="1" t="inlineStr">
        <is>
          <t>percent_25</t>
        </is>
      </c>
      <c r="BT10" s="1" t="inlineStr">
        <is>
          <t>percent_50</t>
        </is>
      </c>
      <c r="BU10" s="1" t="inlineStr">
        <is>
          <t>percent_75</t>
        </is>
      </c>
      <c r="BV10" s="1" t="inlineStr">
        <is>
          <t>percent_100</t>
        </is>
      </c>
      <c r="BW10" s="1" t="inlineStr">
        <is>
          <t>CTR</t>
        </is>
      </c>
      <c r="BX10" s="1" t="inlineStr">
        <is>
          <t>Spent Budget %</t>
        </is>
      </c>
      <c r="BY10" s="1" t="inlineStr">
        <is>
          <t>CPC</t>
        </is>
      </c>
      <c r="BZ10" s="1" t="inlineStr">
        <is>
          <t>CPV</t>
        </is>
      </c>
      <c r="CA10" s="1" t="inlineStr">
        <is>
          <t>date</t>
        </is>
      </c>
      <c r="CB10" s="1" t="inlineStr">
        <is>
          <t>budget</t>
        </is>
      </c>
      <c r="CC10" s="1" t="inlineStr">
        <is>
          <t>impressions</t>
        </is>
      </c>
      <c r="CD10" s="1" t="inlineStr">
        <is>
          <t>clicks</t>
        </is>
      </c>
      <c r="CE10" s="1" t="inlineStr">
        <is>
          <t>view</t>
        </is>
      </c>
      <c r="CF10" s="1" t="inlineStr">
        <is>
          <t>percent_25</t>
        </is>
      </c>
      <c r="CG10" s="1" t="inlineStr">
        <is>
          <t>percent_50</t>
        </is>
      </c>
      <c r="CH10" s="1" t="inlineStr">
        <is>
          <t>percent_75</t>
        </is>
      </c>
      <c r="CI10" s="1" t="inlineStr">
        <is>
          <t>percent_100</t>
        </is>
      </c>
      <c r="CJ10" s="1" t="inlineStr">
        <is>
          <t>CTR</t>
        </is>
      </c>
      <c r="CK10" s="1" t="inlineStr">
        <is>
          <t>Spent Budget %</t>
        </is>
      </c>
      <c r="CL10" s="1" t="inlineStr">
        <is>
          <t>CPC</t>
        </is>
      </c>
      <c r="CM10" s="1" t="inlineStr">
        <is>
          <t>CPV</t>
        </is>
      </c>
      <c r="CN10" s="1" t="inlineStr">
        <is>
          <t>date</t>
        </is>
      </c>
      <c r="CO10" s="1" t="inlineStr">
        <is>
          <t>budget</t>
        </is>
      </c>
      <c r="CP10" s="1" t="inlineStr">
        <is>
          <t>impressions</t>
        </is>
      </c>
      <c r="CQ10" s="1" t="inlineStr">
        <is>
          <t>clicks</t>
        </is>
      </c>
      <c r="CR10" s="1" t="inlineStr">
        <is>
          <t>view</t>
        </is>
      </c>
      <c r="CS10" s="1" t="inlineStr">
        <is>
          <t>percent_25</t>
        </is>
      </c>
      <c r="CT10" s="1" t="inlineStr">
        <is>
          <t>percent_50</t>
        </is>
      </c>
      <c r="CU10" s="1" t="inlineStr">
        <is>
          <t>percent_75</t>
        </is>
      </c>
      <c r="CV10" s="1" t="inlineStr">
        <is>
          <t>percent_100</t>
        </is>
      </c>
      <c r="CW10" s="1" t="inlineStr">
        <is>
          <t>CTR</t>
        </is>
      </c>
      <c r="CX10" s="1" t="inlineStr">
        <is>
          <t>Spent Budget %</t>
        </is>
      </c>
      <c r="CY10" s="1" t="inlineStr">
        <is>
          <t>CPC</t>
        </is>
      </c>
      <c r="CZ10" s="1" t="inlineStr">
        <is>
          <t>CPV</t>
        </is>
      </c>
      <c r="DA10" s="1" t="inlineStr">
        <is>
          <t>date</t>
        </is>
      </c>
      <c r="DB10" s="1" t="inlineStr">
        <is>
          <t>budget</t>
        </is>
      </c>
      <c r="DC10" s="1" t="inlineStr">
        <is>
          <t>impressions</t>
        </is>
      </c>
      <c r="DD10" s="1" t="inlineStr">
        <is>
          <t>clicks</t>
        </is>
      </c>
      <c r="DE10" s="1" t="inlineStr">
        <is>
          <t>view</t>
        </is>
      </c>
      <c r="DF10" s="1" t="inlineStr">
        <is>
          <t>percent_25</t>
        </is>
      </c>
      <c r="DG10" s="1" t="inlineStr">
        <is>
          <t>percent_50</t>
        </is>
      </c>
      <c r="DH10" s="1" t="inlineStr">
        <is>
          <t>percent_75</t>
        </is>
      </c>
      <c r="DI10" s="1" t="inlineStr">
        <is>
          <t>percent_100</t>
        </is>
      </c>
      <c r="DJ10" s="1" t="inlineStr">
        <is>
          <t>CTR</t>
        </is>
      </c>
      <c r="DK10" s="1" t="inlineStr">
        <is>
          <t>Spent Budget %</t>
        </is>
      </c>
      <c r="DL10" s="1" t="inlineStr">
        <is>
          <t>CPC</t>
        </is>
      </c>
      <c r="DM10" s="1" t="inlineStr">
        <is>
          <t>CPV</t>
        </is>
      </c>
      <c r="DN10" s="1" t="inlineStr">
        <is>
          <t>date</t>
        </is>
      </c>
      <c r="DO10" s="1" t="inlineStr">
        <is>
          <t>budget</t>
        </is>
      </c>
      <c r="DP10" s="1" t="inlineStr">
        <is>
          <t>impressions</t>
        </is>
      </c>
      <c r="DQ10" s="1" t="inlineStr">
        <is>
          <t>clicks</t>
        </is>
      </c>
      <c r="DR10" s="1" t="inlineStr">
        <is>
          <t>view</t>
        </is>
      </c>
      <c r="DS10" s="1" t="inlineStr">
        <is>
          <t>percent_25</t>
        </is>
      </c>
      <c r="DT10" s="1" t="inlineStr">
        <is>
          <t>percent_50</t>
        </is>
      </c>
      <c r="DU10" s="1" t="inlineStr">
        <is>
          <t>percent_75</t>
        </is>
      </c>
      <c r="DV10" s="1" t="inlineStr">
        <is>
          <t>percent_100</t>
        </is>
      </c>
      <c r="DW10" s="1" t="inlineStr">
        <is>
          <t>CTR</t>
        </is>
      </c>
      <c r="DX10" s="1" t="inlineStr">
        <is>
          <t>Spent Budget %</t>
        </is>
      </c>
      <c r="DY10" s="1" t="inlineStr">
        <is>
          <t>CPC</t>
        </is>
      </c>
      <c r="DZ10" s="1" t="inlineStr">
        <is>
          <t>CPV</t>
        </is>
      </c>
      <c r="EA10" s="1" t="inlineStr">
        <is>
          <t>date</t>
        </is>
      </c>
      <c r="EB10" s="1" t="inlineStr">
        <is>
          <t>budget</t>
        </is>
      </c>
      <c r="EC10" s="1" t="inlineStr">
        <is>
          <t>impressions</t>
        </is>
      </c>
      <c r="ED10" s="1" t="inlineStr">
        <is>
          <t>clicks</t>
        </is>
      </c>
      <c r="EE10" s="1" t="inlineStr">
        <is>
          <t>view</t>
        </is>
      </c>
      <c r="EF10" s="1" t="inlineStr">
        <is>
          <t>percent_25</t>
        </is>
      </c>
      <c r="EG10" s="1" t="inlineStr">
        <is>
          <t>percent_50</t>
        </is>
      </c>
      <c r="EH10" s="1" t="inlineStr">
        <is>
          <t>percent_75</t>
        </is>
      </c>
      <c r="EI10" s="1" t="inlineStr">
        <is>
          <t>percent_100</t>
        </is>
      </c>
      <c r="EJ10" s="1" t="inlineStr">
        <is>
          <t>CTR</t>
        </is>
      </c>
      <c r="EK10" s="1" t="inlineStr">
        <is>
          <t>Spent Budget %</t>
        </is>
      </c>
      <c r="EL10" s="1" t="inlineStr">
        <is>
          <t>CPC</t>
        </is>
      </c>
      <c r="EM10" s="1" t="inlineStr">
        <is>
          <t>CPV</t>
        </is>
      </c>
      <c r="EN10" s="1" t="inlineStr">
        <is>
          <t>date</t>
        </is>
      </c>
      <c r="EO10" s="1" t="inlineStr">
        <is>
          <t>budget</t>
        </is>
      </c>
      <c r="EP10" s="1" t="inlineStr">
        <is>
          <t>impressions</t>
        </is>
      </c>
      <c r="EQ10" s="1" t="inlineStr">
        <is>
          <t>clicks</t>
        </is>
      </c>
      <c r="ER10" s="1" t="inlineStr">
        <is>
          <t>view</t>
        </is>
      </c>
      <c r="ES10" s="1" t="inlineStr">
        <is>
          <t>percent_25</t>
        </is>
      </c>
      <c r="ET10" s="1" t="inlineStr">
        <is>
          <t>percent_50</t>
        </is>
      </c>
      <c r="EU10" s="1" t="inlineStr">
        <is>
          <t>percent_75</t>
        </is>
      </c>
      <c r="EV10" s="1" t="inlineStr">
        <is>
          <t>percent_100</t>
        </is>
      </c>
      <c r="EW10" s="1" t="inlineStr">
        <is>
          <t>CTR</t>
        </is>
      </c>
      <c r="EX10" s="1" t="inlineStr">
        <is>
          <t>Spent Budget %</t>
        </is>
      </c>
      <c r="EY10" s="1" t="inlineStr">
        <is>
          <t>CPC</t>
        </is>
      </c>
      <c r="EZ10" s="1" t="inlineStr">
        <is>
          <t>CPV</t>
        </is>
      </c>
      <c r="FA10" s="1" t="inlineStr">
        <is>
          <t>date</t>
        </is>
      </c>
      <c r="FB10" s="1" t="inlineStr">
        <is>
          <t>budget</t>
        </is>
      </c>
      <c r="FC10" s="1" t="inlineStr">
        <is>
          <t>impressions</t>
        </is>
      </c>
      <c r="FD10" s="1" t="inlineStr">
        <is>
          <t>clicks</t>
        </is>
      </c>
      <c r="FE10" s="1" t="inlineStr">
        <is>
          <t>view</t>
        </is>
      </c>
      <c r="FF10" s="1" t="inlineStr">
        <is>
          <t>percent_25</t>
        </is>
      </c>
      <c r="FG10" s="1" t="inlineStr">
        <is>
          <t>percent_50</t>
        </is>
      </c>
      <c r="FH10" s="1" t="inlineStr">
        <is>
          <t>percent_75</t>
        </is>
      </c>
      <c r="FI10" s="1" t="inlineStr">
        <is>
          <t>percent_100</t>
        </is>
      </c>
      <c r="FJ10" s="1" t="inlineStr">
        <is>
          <t>CTR</t>
        </is>
      </c>
      <c r="FK10" s="1" t="inlineStr">
        <is>
          <t>Spent Budget %</t>
        </is>
      </c>
      <c r="FL10" s="1" t="inlineStr">
        <is>
          <t>CPC</t>
        </is>
      </c>
      <c r="FM10" s="1" t="inlineStr">
        <is>
          <t>CPV</t>
        </is>
      </c>
      <c r="FN10" s="1" t="inlineStr">
        <is>
          <t>date</t>
        </is>
      </c>
      <c r="FO10" s="1" t="inlineStr">
        <is>
          <t>budget</t>
        </is>
      </c>
      <c r="FP10" s="1" t="inlineStr">
        <is>
          <t>impressions</t>
        </is>
      </c>
      <c r="FQ10" s="1" t="inlineStr">
        <is>
          <t>clicks</t>
        </is>
      </c>
      <c r="FR10" s="1" t="inlineStr">
        <is>
          <t>view</t>
        </is>
      </c>
      <c r="FS10" s="1" t="inlineStr">
        <is>
          <t>percent_25</t>
        </is>
      </c>
      <c r="FT10" s="1" t="inlineStr">
        <is>
          <t>percent_50</t>
        </is>
      </c>
      <c r="FU10" s="1" t="inlineStr">
        <is>
          <t>percent_75</t>
        </is>
      </c>
      <c r="FV10" s="1" t="inlineStr">
        <is>
          <t>percent_100</t>
        </is>
      </c>
      <c r="FW10" s="1" t="inlineStr">
        <is>
          <t>CTR</t>
        </is>
      </c>
      <c r="FX10" s="1" t="inlineStr">
        <is>
          <t>Spent Budget %</t>
        </is>
      </c>
      <c r="FY10" s="1" t="inlineStr">
        <is>
          <t>CPC</t>
        </is>
      </c>
      <c r="FZ10" s="1" t="inlineStr">
        <is>
          <t>CPV</t>
        </is>
      </c>
      <c r="GA10" s="1" t="inlineStr">
        <is>
          <t>date</t>
        </is>
      </c>
      <c r="GB10" s="1" t="inlineStr">
        <is>
          <t>budget</t>
        </is>
      </c>
      <c r="GC10" s="1" t="inlineStr">
        <is>
          <t>impressions</t>
        </is>
      </c>
      <c r="GD10" s="1" t="inlineStr">
        <is>
          <t>clicks</t>
        </is>
      </c>
      <c r="GE10" s="1" t="inlineStr">
        <is>
          <t>view</t>
        </is>
      </c>
      <c r="GF10" s="1" t="inlineStr">
        <is>
          <t>percent_25</t>
        </is>
      </c>
      <c r="GG10" s="1" t="inlineStr">
        <is>
          <t>percent_50</t>
        </is>
      </c>
      <c r="GH10" s="1" t="inlineStr">
        <is>
          <t>percent_75</t>
        </is>
      </c>
      <c r="GI10" s="1" t="inlineStr">
        <is>
          <t>percent_100</t>
        </is>
      </c>
      <c r="GJ10" s="1" t="inlineStr">
        <is>
          <t>CTR</t>
        </is>
      </c>
      <c r="GK10" s="1" t="inlineStr">
        <is>
          <t>Spent Budget %</t>
        </is>
      </c>
      <c r="GL10" s="1" t="inlineStr">
        <is>
          <t>CPC</t>
        </is>
      </c>
      <c r="GM10" s="1" t="inlineStr">
        <is>
          <t>CPV</t>
        </is>
      </c>
    </row>
    <row r="11">
      <c r="A11" s="2" t="inlineStr">
        <is>
          <t>2023-09-20</t>
        </is>
      </c>
      <c r="B11" s="5">
        <f>ROUND(0.0,2)</f>
        <v/>
      </c>
      <c r="C11" s="3">
        <f>ROUND(0.0,2)</f>
        <v/>
      </c>
      <c r="D11" s="3">
        <f>ROUND(0.0,2)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2023-09-20</t>
        </is>
      </c>
      <c r="O11" s="5">
        <f>ROUND(0.0,2)</f>
        <v/>
      </c>
      <c r="P11" s="3">
        <f>ROUND(0.0,2)</f>
        <v/>
      </c>
      <c r="Q11" s="3">
        <f>ROUND(0.0,2)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2023-09-20</t>
        </is>
      </c>
      <c r="AB11" s="5">
        <f>ROUND(0.0,2)</f>
        <v/>
      </c>
      <c r="AC11" s="3">
        <f>ROUND(0.0,2)</f>
        <v/>
      </c>
      <c r="AD11" s="3">
        <f>ROUND(0.0,2)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2023-09-20</t>
        </is>
      </c>
      <c r="AO11" s="5">
        <f>ROUND(0.0,2)</f>
        <v/>
      </c>
      <c r="AP11" s="3">
        <f>ROUND(0.0,2)</f>
        <v/>
      </c>
      <c r="AQ11" s="3">
        <f>ROUND(0.0,2)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2023-09-20</t>
        </is>
      </c>
      <c r="BB11" s="5">
        <f>ROUND(0.0,2)</f>
        <v/>
      </c>
      <c r="BC11" s="3">
        <f>ROUND(0.0,2)</f>
        <v/>
      </c>
      <c r="BD11" s="3">
        <f>ROUND(0.0,2)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IFERROR(((0+BB11)/T2),0)</f>
        <v/>
      </c>
      <c r="BL11" s="5">
        <f>IFERROR(ROUND(BB11/BD11,2),0)</f>
        <v/>
      </c>
      <c r="BM11" s="5">
        <f>IFERROR(ROUND(BB11/BE11,2),0)</f>
        <v/>
      </c>
      <c r="BN11" s="2" t="inlineStr">
        <is>
          <t>2023-09-20</t>
        </is>
      </c>
      <c r="BO11" s="5">
        <f>ROUND(0.0,2)</f>
        <v/>
      </c>
      <c r="BP11" s="3">
        <f>ROUND(0.0,2)</f>
        <v/>
      </c>
      <c r="BQ11" s="3">
        <f>ROUND(0.0,2)</f>
        <v/>
      </c>
      <c r="BR11" s="3">
        <f>ROUND(0.0,2)</f>
        <v/>
      </c>
      <c r="BS11" s="3">
        <f>ROUND(0.0,2)</f>
        <v/>
      </c>
      <c r="BT11" s="3">
        <f>ROUND(0.0,2)</f>
        <v/>
      </c>
      <c r="BU11" s="3">
        <f>ROUND(0.0,2)</f>
        <v/>
      </c>
      <c r="BV11" s="3">
        <f>ROUND(0.0,2)</f>
        <v/>
      </c>
      <c r="BW11" s="4">
        <f>IFERROR((BQ11/BP11),0)</f>
        <v/>
      </c>
      <c r="BX11" s="4">
        <f>IFERROR(((0+BO11)/T2),0)</f>
        <v/>
      </c>
      <c r="BY11" s="5">
        <f>IFERROR(ROUND(BO11/BQ11,2),0)</f>
        <v/>
      </c>
      <c r="BZ11" s="5">
        <f>IFERROR(ROUND(BO11/BR11,2),0)</f>
        <v/>
      </c>
      <c r="CA11" s="2" t="inlineStr">
        <is>
          <t>2023-09-20</t>
        </is>
      </c>
      <c r="CB11" s="5">
        <f>ROUND(0.0,2)</f>
        <v/>
      </c>
      <c r="CC11" s="3">
        <f>ROUND(0.0,2)</f>
        <v/>
      </c>
      <c r="CD11" s="3">
        <f>ROUND(0.0,2)</f>
        <v/>
      </c>
      <c r="CE11" s="3">
        <f>ROUND(0.0,2)</f>
        <v/>
      </c>
      <c r="CF11" s="3">
        <f>ROUND(0.0,2)</f>
        <v/>
      </c>
      <c r="CG11" s="3">
        <f>ROUND(0.0,2)</f>
        <v/>
      </c>
      <c r="CH11" s="3">
        <f>ROUND(0.0,2)</f>
        <v/>
      </c>
      <c r="CI11" s="3">
        <f>ROUND(0.0,2)</f>
        <v/>
      </c>
      <c r="CJ11" s="4">
        <f>IFERROR((CD11/CC11),0)</f>
        <v/>
      </c>
      <c r="CK11" s="4">
        <f>IFERROR(((0+CB11)/T2),0)</f>
        <v/>
      </c>
      <c r="CL11" s="5">
        <f>IFERROR(ROUND(CB11/CD11,2),0)</f>
        <v/>
      </c>
      <c r="CM11" s="5">
        <f>IFERROR(ROUND(CB11/CE11,2),0)</f>
        <v/>
      </c>
      <c r="CN11" s="2" t="inlineStr">
        <is>
          <t>2023-09-20</t>
        </is>
      </c>
      <c r="CO11" s="5">
        <f>ROUND(0.0,2)</f>
        <v/>
      </c>
      <c r="CP11" s="3">
        <f>ROUND(0.0,2)</f>
        <v/>
      </c>
      <c r="CQ11" s="3">
        <f>ROUND(0.0,2)</f>
        <v/>
      </c>
      <c r="CR11" s="3">
        <f>ROUND(0.0,2)</f>
        <v/>
      </c>
      <c r="CS11" s="3">
        <f>ROUND(0.0,2)</f>
        <v/>
      </c>
      <c r="CT11" s="3">
        <f>ROUND(0.0,2)</f>
        <v/>
      </c>
      <c r="CU11" s="3">
        <f>ROUND(0.0,2)</f>
        <v/>
      </c>
      <c r="CV11" s="3">
        <f>ROUND(0.0,2)</f>
        <v/>
      </c>
      <c r="CW11" s="4">
        <f>IFERROR((CQ11/CP11),0)</f>
        <v/>
      </c>
      <c r="CX11" s="4">
        <f>IFERROR(((0+CO11)/T2),0)</f>
        <v/>
      </c>
      <c r="CY11" s="5">
        <f>IFERROR(ROUND(CO11/CQ11,2),0)</f>
        <v/>
      </c>
      <c r="CZ11" s="5">
        <f>IFERROR(ROUND(CO11/CR11,2),0)</f>
        <v/>
      </c>
      <c r="DA11" s="2" t="inlineStr">
        <is>
          <t>2023-09-20</t>
        </is>
      </c>
      <c r="DB11" s="5">
        <f>ROUND(0.0,2)</f>
        <v/>
      </c>
      <c r="DC11" s="3">
        <f>ROUND(0.0,2)</f>
        <v/>
      </c>
      <c r="DD11" s="3">
        <f>ROUND(0.0,2)</f>
        <v/>
      </c>
      <c r="DE11" s="3">
        <f>ROUND(0.0,2)</f>
        <v/>
      </c>
      <c r="DF11" s="3">
        <f>ROUND(0.0,2)</f>
        <v/>
      </c>
      <c r="DG11" s="3">
        <f>ROUND(0.0,2)</f>
        <v/>
      </c>
      <c r="DH11" s="3">
        <f>ROUND(0.0,2)</f>
        <v/>
      </c>
      <c r="DI11" s="3">
        <f>ROUND(0.0,2)</f>
        <v/>
      </c>
      <c r="DJ11" s="4">
        <f>IFERROR((DD11/DC11),0)</f>
        <v/>
      </c>
      <c r="DK11" s="4">
        <f>IFERROR(((0+DB11)/T2),0)</f>
        <v/>
      </c>
      <c r="DL11" s="5">
        <f>IFERROR(ROUND(DB11/DD11,2),0)</f>
        <v/>
      </c>
      <c r="DM11" s="5">
        <f>IFERROR(ROUND(DB11/DE11,2),0)</f>
        <v/>
      </c>
      <c r="DN11" s="2" t="inlineStr">
        <is>
          <t>2023-09-20</t>
        </is>
      </c>
      <c r="DO11" s="5">
        <f>ROUND(0.0,2)</f>
        <v/>
      </c>
      <c r="DP11" s="3">
        <f>ROUND(0.0,2)</f>
        <v/>
      </c>
      <c r="DQ11" s="3">
        <f>ROUND(0.0,2)</f>
        <v/>
      </c>
      <c r="DR11" s="3">
        <f>ROUND(0.0,2)</f>
        <v/>
      </c>
      <c r="DS11" s="3">
        <f>ROUND(0.0,2)</f>
        <v/>
      </c>
      <c r="DT11" s="3">
        <f>ROUND(0.0,2)</f>
        <v/>
      </c>
      <c r="DU11" s="3">
        <f>ROUND(0.0,2)</f>
        <v/>
      </c>
      <c r="DV11" s="3">
        <f>ROUND(0.0,2)</f>
        <v/>
      </c>
      <c r="DW11" s="4">
        <f>IFERROR((DQ11/DP11),0)</f>
        <v/>
      </c>
      <c r="DX11" s="4">
        <f>IFERROR(((0+DO11)/T2),0)</f>
        <v/>
      </c>
      <c r="DY11" s="5">
        <f>IFERROR(ROUND(DO11/DQ11,2),0)</f>
        <v/>
      </c>
      <c r="DZ11" s="5">
        <f>IFERROR(ROUND(DO11/DR11,2),0)</f>
        <v/>
      </c>
      <c r="EA11" s="2" t="inlineStr">
        <is>
          <t>2023-09-20</t>
        </is>
      </c>
      <c r="EB11" s="5">
        <f>ROUND(0.0,2)</f>
        <v/>
      </c>
      <c r="EC11" s="3">
        <f>ROUND(0.0,2)</f>
        <v/>
      </c>
      <c r="ED11" s="3">
        <f>ROUND(0.0,2)</f>
        <v/>
      </c>
      <c r="EE11" s="3">
        <f>ROUND(0.0,2)</f>
        <v/>
      </c>
      <c r="EF11" s="3">
        <f>ROUND(0.0,2)</f>
        <v/>
      </c>
      <c r="EG11" s="3">
        <f>ROUND(0.0,2)</f>
        <v/>
      </c>
      <c r="EH11" s="3">
        <f>ROUND(0.0,2)</f>
        <v/>
      </c>
      <c r="EI11" s="3">
        <f>ROUND(0.0,2)</f>
        <v/>
      </c>
      <c r="EJ11" s="4">
        <f>IFERROR((ED11/EC11),0)</f>
        <v/>
      </c>
      <c r="EK11" s="4">
        <f>IFERROR(((0+EB11)/T2),0)</f>
        <v/>
      </c>
      <c r="EL11" s="5">
        <f>IFERROR(ROUND(EB11/ED11,2),0)</f>
        <v/>
      </c>
      <c r="EM11" s="5">
        <f>IFERROR(ROUND(EB11/EE11,2),0)</f>
        <v/>
      </c>
      <c r="EN11" s="2" t="inlineStr">
        <is>
          <t>2023-09-20</t>
        </is>
      </c>
      <c r="EO11" s="5">
        <f>ROUND(0.0,2)</f>
        <v/>
      </c>
      <c r="EP11" s="3">
        <f>ROUND(0.0,2)</f>
        <v/>
      </c>
      <c r="EQ11" s="3">
        <f>ROUND(0.0,2)</f>
        <v/>
      </c>
      <c r="ER11" s="3">
        <f>ROUND(0.0,2)</f>
        <v/>
      </c>
      <c r="ES11" s="3">
        <f>ROUND(0.0,2)</f>
        <v/>
      </c>
      <c r="ET11" s="3">
        <f>ROUND(0.0,2)</f>
        <v/>
      </c>
      <c r="EU11" s="3">
        <f>ROUND(0.0,2)</f>
        <v/>
      </c>
      <c r="EV11" s="3">
        <f>ROUND(0.0,2)</f>
        <v/>
      </c>
      <c r="EW11" s="4">
        <f>IFERROR((EQ11/EP11),0)</f>
        <v/>
      </c>
      <c r="EX11" s="4">
        <f>IFERROR(((0+EO11)/T2),0)</f>
        <v/>
      </c>
      <c r="EY11" s="5">
        <f>IFERROR(ROUND(EO11/EQ11,2),0)</f>
        <v/>
      </c>
      <c r="EZ11" s="5">
        <f>IFERROR(ROUND(EO11/ER11,2),0)</f>
        <v/>
      </c>
      <c r="FA11" s="2" t="inlineStr">
        <is>
          <t>2023-09-20</t>
        </is>
      </c>
      <c r="FB11" s="5">
        <f>ROUND(0.0,2)</f>
        <v/>
      </c>
      <c r="FC11" s="3">
        <f>ROUND(0.0,2)</f>
        <v/>
      </c>
      <c r="FD11" s="3">
        <f>ROUND(0.0,2)</f>
        <v/>
      </c>
      <c r="FE11" s="3">
        <f>ROUND(0.0,2)</f>
        <v/>
      </c>
      <c r="FF11" s="3">
        <f>ROUND(0.0,2)</f>
        <v/>
      </c>
      <c r="FG11" s="3">
        <f>ROUND(0.0,2)</f>
        <v/>
      </c>
      <c r="FH11" s="3">
        <f>ROUND(0.0,2)</f>
        <v/>
      </c>
      <c r="FI11" s="3">
        <f>ROUND(0.0,2)</f>
        <v/>
      </c>
      <c r="FJ11" s="4">
        <f>IFERROR((FD11/FC11),0)</f>
        <v/>
      </c>
      <c r="FK11" s="4">
        <f>IFERROR(((0+FB11)/T2),0)</f>
        <v/>
      </c>
      <c r="FL11" s="5">
        <f>IFERROR(ROUND(FB11/FD11,2),0)</f>
        <v/>
      </c>
      <c r="FM11" s="5">
        <f>IFERROR(ROUND(FB11/FE11,2),0)</f>
        <v/>
      </c>
      <c r="FN11" s="2" t="inlineStr">
        <is>
          <t>2023-09-20</t>
        </is>
      </c>
      <c r="FO11" s="5">
        <f>ROUND(0.0,2)</f>
        <v/>
      </c>
      <c r="FP11" s="3">
        <f>ROUND(0.0,2)</f>
        <v/>
      </c>
      <c r="FQ11" s="3">
        <f>ROUND(0.0,2)</f>
        <v/>
      </c>
      <c r="FR11" s="3">
        <f>ROUND(0.0,2)</f>
        <v/>
      </c>
      <c r="FS11" s="3">
        <f>ROUND(0.0,2)</f>
        <v/>
      </c>
      <c r="FT11" s="3">
        <f>ROUND(0.0,2)</f>
        <v/>
      </c>
      <c r="FU11" s="3">
        <f>ROUND(0.0,2)</f>
        <v/>
      </c>
      <c r="FV11" s="3">
        <f>ROUND(0.0,2)</f>
        <v/>
      </c>
      <c r="FW11" s="4">
        <f>IFERROR((FQ11/FP11),0)</f>
        <v/>
      </c>
      <c r="FX11" s="4">
        <f>IFERROR(((0+FO11)/T2),0)</f>
        <v/>
      </c>
      <c r="FY11" s="5">
        <f>IFERROR(ROUND(FO11/FQ11,2),0)</f>
        <v/>
      </c>
      <c r="FZ11" s="5">
        <f>IFERROR(ROUND(FO11/FR11,2),0)</f>
        <v/>
      </c>
      <c r="GA11" s="2" t="inlineStr">
        <is>
          <t>2023-09-20</t>
        </is>
      </c>
      <c r="GB11" s="5">
        <f>ROUND(0.0,2)</f>
        <v/>
      </c>
      <c r="GC11" s="3">
        <f>ROUND(0.0,2)</f>
        <v/>
      </c>
      <c r="GD11" s="3">
        <f>ROUND(0.0,2)</f>
        <v/>
      </c>
      <c r="GE11" s="3">
        <f>ROUND(0.0,2)</f>
        <v/>
      </c>
      <c r="GF11" s="3">
        <f>ROUND(0.0,2)</f>
        <v/>
      </c>
      <c r="GG11" s="3">
        <f>ROUND(0.0,2)</f>
        <v/>
      </c>
      <c r="GH11" s="3">
        <f>ROUND(0.0,2)</f>
        <v/>
      </c>
      <c r="GI11" s="3">
        <f>ROUND(0.0,2)</f>
        <v/>
      </c>
      <c r="GJ11" s="4">
        <f>IFERROR((GD11/GC11),0)</f>
        <v/>
      </c>
      <c r="GK11" s="4">
        <f>IFERROR(((0+GB11)/T2),0)</f>
        <v/>
      </c>
      <c r="GL11" s="5">
        <f>IFERROR(ROUND(GB11/GD11,2),0)</f>
        <v/>
      </c>
      <c r="GM11" s="5">
        <f>IFERROR(ROUND(GB11/GE11,2),0)</f>
        <v/>
      </c>
    </row>
    <row r="12">
      <c r="A12" s="2" t="inlineStr">
        <is>
          <t>2023-09-21</t>
        </is>
      </c>
      <c r="B12" s="5">
        <f>ROUND(0.0,2)</f>
        <v/>
      </c>
      <c r="C12" s="3">
        <f>ROUND(0.0,2)</f>
        <v/>
      </c>
      <c r="D12" s="3">
        <f>ROUND(0.0,2)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2023-09-21</t>
        </is>
      </c>
      <c r="O12" s="5">
        <f>ROUND(0.0,2)</f>
        <v/>
      </c>
      <c r="P12" s="3">
        <f>ROUND(0.0,2)</f>
        <v/>
      </c>
      <c r="Q12" s="3">
        <f>ROUND(0.0,2)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2023-09-21</t>
        </is>
      </c>
      <c r="AB12" s="5">
        <f>ROUND(0.0,2)</f>
        <v/>
      </c>
      <c r="AC12" s="3">
        <f>ROUND(0.0,2)</f>
        <v/>
      </c>
      <c r="AD12" s="3">
        <f>ROUND(0.0,2)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2023-09-21</t>
        </is>
      </c>
      <c r="AO12" s="5">
        <f>ROUND(0.0,2)</f>
        <v/>
      </c>
      <c r="AP12" s="3">
        <f>ROUND(0.0,2)</f>
        <v/>
      </c>
      <c r="AQ12" s="3">
        <f>ROUND(0.0,2)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2023-09-21</t>
        </is>
      </c>
      <c r="BB12" s="5">
        <f>ROUND(0.0,2)</f>
        <v/>
      </c>
      <c r="BC12" s="3">
        <f>ROUND(0.0,2)</f>
        <v/>
      </c>
      <c r="BD12" s="3">
        <f>ROUND(0.0,2)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IFERROR(((0+BB11+BB12)/T2),0)</f>
        <v/>
      </c>
      <c r="BL12" s="5">
        <f>IFERROR(ROUND(BB12/BD12,2),0)</f>
        <v/>
      </c>
      <c r="BM12" s="5">
        <f>IFERROR(ROUND(BB12/BE12,2),0)</f>
        <v/>
      </c>
      <c r="BN12" s="2" t="inlineStr">
        <is>
          <t>2023-09-21</t>
        </is>
      </c>
      <c r="BO12" s="5">
        <f>ROUND(0.0,2)</f>
        <v/>
      </c>
      <c r="BP12" s="3">
        <f>ROUND(0.0,2)</f>
        <v/>
      </c>
      <c r="BQ12" s="3">
        <f>ROUND(0.0,2)</f>
        <v/>
      </c>
      <c r="BR12" s="3">
        <f>ROUND(0.0,2)</f>
        <v/>
      </c>
      <c r="BS12" s="3">
        <f>ROUND(0.0,2)</f>
        <v/>
      </c>
      <c r="BT12" s="3">
        <f>ROUND(0.0,2)</f>
        <v/>
      </c>
      <c r="BU12" s="3">
        <f>ROUND(0.0,2)</f>
        <v/>
      </c>
      <c r="BV12" s="3">
        <f>ROUND(0.0,2)</f>
        <v/>
      </c>
      <c r="BW12" s="4">
        <f>IFERROR((BQ12/BP12),0)</f>
        <v/>
      </c>
      <c r="BX12" s="4">
        <f>IFERROR(((0+BO11+BO12)/T2),0)</f>
        <v/>
      </c>
      <c r="BY12" s="5">
        <f>IFERROR(ROUND(BO12/BQ12,2),0)</f>
        <v/>
      </c>
      <c r="BZ12" s="5">
        <f>IFERROR(ROUND(BO12/BR12,2),0)</f>
        <v/>
      </c>
      <c r="CA12" s="2" t="inlineStr">
        <is>
          <t>2023-09-21</t>
        </is>
      </c>
      <c r="CB12" s="5">
        <f>ROUND(0.0,2)</f>
        <v/>
      </c>
      <c r="CC12" s="3">
        <f>ROUND(0.0,2)</f>
        <v/>
      </c>
      <c r="CD12" s="3">
        <f>ROUND(0.0,2)</f>
        <v/>
      </c>
      <c r="CE12" s="3">
        <f>ROUND(0.0,2)</f>
        <v/>
      </c>
      <c r="CF12" s="3">
        <f>ROUND(0.0,2)</f>
        <v/>
      </c>
      <c r="CG12" s="3">
        <f>ROUND(0.0,2)</f>
        <v/>
      </c>
      <c r="CH12" s="3">
        <f>ROUND(0.0,2)</f>
        <v/>
      </c>
      <c r="CI12" s="3">
        <f>ROUND(0.0,2)</f>
        <v/>
      </c>
      <c r="CJ12" s="4">
        <f>IFERROR((CD12/CC12),0)</f>
        <v/>
      </c>
      <c r="CK12" s="4">
        <f>IFERROR(((0+CB11+CB12)/T2),0)</f>
        <v/>
      </c>
      <c r="CL12" s="5">
        <f>IFERROR(ROUND(CB12/CD12,2),0)</f>
        <v/>
      </c>
      <c r="CM12" s="5">
        <f>IFERROR(ROUND(CB12/CE12,2),0)</f>
        <v/>
      </c>
      <c r="CN12" s="2" t="inlineStr">
        <is>
          <t>2023-09-21</t>
        </is>
      </c>
      <c r="CO12" s="5">
        <f>ROUND(0.0,2)</f>
        <v/>
      </c>
      <c r="CP12" s="3">
        <f>ROUND(0.0,2)</f>
        <v/>
      </c>
      <c r="CQ12" s="3">
        <f>ROUND(0.0,2)</f>
        <v/>
      </c>
      <c r="CR12" s="3">
        <f>ROUND(0.0,2)</f>
        <v/>
      </c>
      <c r="CS12" s="3">
        <f>ROUND(0.0,2)</f>
        <v/>
      </c>
      <c r="CT12" s="3">
        <f>ROUND(0.0,2)</f>
        <v/>
      </c>
      <c r="CU12" s="3">
        <f>ROUND(0.0,2)</f>
        <v/>
      </c>
      <c r="CV12" s="3">
        <f>ROUND(0.0,2)</f>
        <v/>
      </c>
      <c r="CW12" s="4">
        <f>IFERROR((CQ12/CP12),0)</f>
        <v/>
      </c>
      <c r="CX12" s="4">
        <f>IFERROR(((0+CO11+CO12)/T2),0)</f>
        <v/>
      </c>
      <c r="CY12" s="5">
        <f>IFERROR(ROUND(CO12/CQ12,2),0)</f>
        <v/>
      </c>
      <c r="CZ12" s="5">
        <f>IFERROR(ROUND(CO12/CR12,2),0)</f>
        <v/>
      </c>
      <c r="DA12" s="2" t="inlineStr">
        <is>
          <t>2023-09-21</t>
        </is>
      </c>
      <c r="DB12" s="5">
        <f>ROUND(0.0,2)</f>
        <v/>
      </c>
      <c r="DC12" s="3">
        <f>ROUND(0.0,2)</f>
        <v/>
      </c>
      <c r="DD12" s="3">
        <f>ROUND(0.0,2)</f>
        <v/>
      </c>
      <c r="DE12" s="3">
        <f>ROUND(0.0,2)</f>
        <v/>
      </c>
      <c r="DF12" s="3">
        <f>ROUND(0.0,2)</f>
        <v/>
      </c>
      <c r="DG12" s="3">
        <f>ROUND(0.0,2)</f>
        <v/>
      </c>
      <c r="DH12" s="3">
        <f>ROUND(0.0,2)</f>
        <v/>
      </c>
      <c r="DI12" s="3">
        <f>ROUND(0.0,2)</f>
        <v/>
      </c>
      <c r="DJ12" s="4">
        <f>IFERROR((DD12/DC12),0)</f>
        <v/>
      </c>
      <c r="DK12" s="4">
        <f>IFERROR(((0+DB11+DB12)/T2),0)</f>
        <v/>
      </c>
      <c r="DL12" s="5">
        <f>IFERROR(ROUND(DB12/DD12,2),0)</f>
        <v/>
      </c>
      <c r="DM12" s="5">
        <f>IFERROR(ROUND(DB12/DE12,2),0)</f>
        <v/>
      </c>
      <c r="DN12" s="2" t="inlineStr">
        <is>
          <t>2023-09-21</t>
        </is>
      </c>
      <c r="DO12" s="5">
        <f>ROUND(0.0,2)</f>
        <v/>
      </c>
      <c r="DP12" s="3">
        <f>ROUND(0.0,2)</f>
        <v/>
      </c>
      <c r="DQ12" s="3">
        <f>ROUND(0.0,2)</f>
        <v/>
      </c>
      <c r="DR12" s="3">
        <f>ROUND(0.0,2)</f>
        <v/>
      </c>
      <c r="DS12" s="3">
        <f>ROUND(0.0,2)</f>
        <v/>
      </c>
      <c r="DT12" s="3">
        <f>ROUND(0.0,2)</f>
        <v/>
      </c>
      <c r="DU12" s="3">
        <f>ROUND(0.0,2)</f>
        <v/>
      </c>
      <c r="DV12" s="3">
        <f>ROUND(0.0,2)</f>
        <v/>
      </c>
      <c r="DW12" s="4">
        <f>IFERROR((DQ12/DP12),0)</f>
        <v/>
      </c>
      <c r="DX12" s="4">
        <f>IFERROR(((0+DO11+DO12)/T2),0)</f>
        <v/>
      </c>
      <c r="DY12" s="5">
        <f>IFERROR(ROUND(DO12/DQ12,2),0)</f>
        <v/>
      </c>
      <c r="DZ12" s="5">
        <f>IFERROR(ROUND(DO12/DR12,2),0)</f>
        <v/>
      </c>
      <c r="EA12" s="2" t="inlineStr">
        <is>
          <t>2023-09-21</t>
        </is>
      </c>
      <c r="EB12" s="5">
        <f>ROUND(0.0,2)</f>
        <v/>
      </c>
      <c r="EC12" s="3">
        <f>ROUND(0.0,2)</f>
        <v/>
      </c>
      <c r="ED12" s="3">
        <f>ROUND(0.0,2)</f>
        <v/>
      </c>
      <c r="EE12" s="3">
        <f>ROUND(0.0,2)</f>
        <v/>
      </c>
      <c r="EF12" s="3">
        <f>ROUND(0.0,2)</f>
        <v/>
      </c>
      <c r="EG12" s="3">
        <f>ROUND(0.0,2)</f>
        <v/>
      </c>
      <c r="EH12" s="3">
        <f>ROUND(0.0,2)</f>
        <v/>
      </c>
      <c r="EI12" s="3">
        <f>ROUND(0.0,2)</f>
        <v/>
      </c>
      <c r="EJ12" s="4">
        <f>IFERROR((ED12/EC12),0)</f>
        <v/>
      </c>
      <c r="EK12" s="4">
        <f>IFERROR(((0+EB11+EB12)/T2),0)</f>
        <v/>
      </c>
      <c r="EL12" s="5">
        <f>IFERROR(ROUND(EB12/ED12,2),0)</f>
        <v/>
      </c>
      <c r="EM12" s="5">
        <f>IFERROR(ROUND(EB12/EE12,2),0)</f>
        <v/>
      </c>
      <c r="EN12" s="2" t="inlineStr">
        <is>
          <t>2023-09-21</t>
        </is>
      </c>
      <c r="EO12" s="5">
        <f>ROUND(0.0,2)</f>
        <v/>
      </c>
      <c r="EP12" s="3">
        <f>ROUND(0.0,2)</f>
        <v/>
      </c>
      <c r="EQ12" s="3">
        <f>ROUND(0.0,2)</f>
        <v/>
      </c>
      <c r="ER12" s="3">
        <f>ROUND(0.0,2)</f>
        <v/>
      </c>
      <c r="ES12" s="3">
        <f>ROUND(0.0,2)</f>
        <v/>
      </c>
      <c r="ET12" s="3">
        <f>ROUND(0.0,2)</f>
        <v/>
      </c>
      <c r="EU12" s="3">
        <f>ROUND(0.0,2)</f>
        <v/>
      </c>
      <c r="EV12" s="3">
        <f>ROUND(0.0,2)</f>
        <v/>
      </c>
      <c r="EW12" s="4">
        <f>IFERROR((EQ12/EP12),0)</f>
        <v/>
      </c>
      <c r="EX12" s="4">
        <f>IFERROR(((0+EO11+EO12)/T2),0)</f>
        <v/>
      </c>
      <c r="EY12" s="5">
        <f>IFERROR(ROUND(EO12/EQ12,2),0)</f>
        <v/>
      </c>
      <c r="EZ12" s="5">
        <f>IFERROR(ROUND(EO12/ER12,2),0)</f>
        <v/>
      </c>
      <c r="FA12" s="2" t="inlineStr">
        <is>
          <t>2023-09-21</t>
        </is>
      </c>
      <c r="FB12" s="5">
        <f>ROUND(0.0,2)</f>
        <v/>
      </c>
      <c r="FC12" s="3">
        <f>ROUND(0.0,2)</f>
        <v/>
      </c>
      <c r="FD12" s="3">
        <f>ROUND(0.0,2)</f>
        <v/>
      </c>
      <c r="FE12" s="3">
        <f>ROUND(0.0,2)</f>
        <v/>
      </c>
      <c r="FF12" s="3">
        <f>ROUND(0.0,2)</f>
        <v/>
      </c>
      <c r="FG12" s="3">
        <f>ROUND(0.0,2)</f>
        <v/>
      </c>
      <c r="FH12" s="3">
        <f>ROUND(0.0,2)</f>
        <v/>
      </c>
      <c r="FI12" s="3">
        <f>ROUND(0.0,2)</f>
        <v/>
      </c>
      <c r="FJ12" s="4">
        <f>IFERROR((FD12/FC12),0)</f>
        <v/>
      </c>
      <c r="FK12" s="4">
        <f>IFERROR(((0+FB11+FB12)/T2),0)</f>
        <v/>
      </c>
      <c r="FL12" s="5">
        <f>IFERROR(ROUND(FB12/FD12,2),0)</f>
        <v/>
      </c>
      <c r="FM12" s="5">
        <f>IFERROR(ROUND(FB12/FE12,2),0)</f>
        <v/>
      </c>
      <c r="FN12" s="2" t="inlineStr">
        <is>
          <t>2023-09-21</t>
        </is>
      </c>
      <c r="FO12" s="5">
        <f>ROUND(0.0,2)</f>
        <v/>
      </c>
      <c r="FP12" s="3">
        <f>ROUND(0.0,2)</f>
        <v/>
      </c>
      <c r="FQ12" s="3">
        <f>ROUND(0.0,2)</f>
        <v/>
      </c>
      <c r="FR12" s="3">
        <f>ROUND(0.0,2)</f>
        <v/>
      </c>
      <c r="FS12" s="3">
        <f>ROUND(0.0,2)</f>
        <v/>
      </c>
      <c r="FT12" s="3">
        <f>ROUND(0.0,2)</f>
        <v/>
      </c>
      <c r="FU12" s="3">
        <f>ROUND(0.0,2)</f>
        <v/>
      </c>
      <c r="FV12" s="3">
        <f>ROUND(0.0,2)</f>
        <v/>
      </c>
      <c r="FW12" s="4">
        <f>IFERROR((FQ12/FP12),0)</f>
        <v/>
      </c>
      <c r="FX12" s="4">
        <f>IFERROR(((0+FO11+FO12)/T2),0)</f>
        <v/>
      </c>
      <c r="FY12" s="5">
        <f>IFERROR(ROUND(FO12/FQ12,2),0)</f>
        <v/>
      </c>
      <c r="FZ12" s="5">
        <f>IFERROR(ROUND(FO12/FR12,2),0)</f>
        <v/>
      </c>
      <c r="GA12" s="2" t="inlineStr">
        <is>
          <t>2023-09-21</t>
        </is>
      </c>
      <c r="GB12" s="5">
        <f>ROUND(0.0,2)</f>
        <v/>
      </c>
      <c r="GC12" s="3">
        <f>ROUND(0.0,2)</f>
        <v/>
      </c>
      <c r="GD12" s="3">
        <f>ROUND(0.0,2)</f>
        <v/>
      </c>
      <c r="GE12" s="3">
        <f>ROUND(0.0,2)</f>
        <v/>
      </c>
      <c r="GF12" s="3">
        <f>ROUND(0.0,2)</f>
        <v/>
      </c>
      <c r="GG12" s="3">
        <f>ROUND(0.0,2)</f>
        <v/>
      </c>
      <c r="GH12" s="3">
        <f>ROUND(0.0,2)</f>
        <v/>
      </c>
      <c r="GI12" s="3">
        <f>ROUND(0.0,2)</f>
        <v/>
      </c>
      <c r="GJ12" s="4">
        <f>IFERROR((GD12/GC12),0)</f>
        <v/>
      </c>
      <c r="GK12" s="4">
        <f>IFERROR(((0+GB11+GB12)/T2),0)</f>
        <v/>
      </c>
      <c r="GL12" s="5">
        <f>IFERROR(ROUND(GB12/GD12,2),0)</f>
        <v/>
      </c>
      <c r="GM12" s="5">
        <f>IFERROR(ROUND(GB12/GE12,2),0)</f>
        <v/>
      </c>
    </row>
    <row r="13">
      <c r="A13" s="2" t="inlineStr">
        <is>
          <t>2023-09-22</t>
        </is>
      </c>
      <c r="B13" s="5">
        <f>ROUND(0.0,2)</f>
        <v/>
      </c>
      <c r="C13" s="3">
        <f>ROUND(0.0,2)</f>
        <v/>
      </c>
      <c r="D13" s="3">
        <f>ROUND(0.0,2)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2023-09-22</t>
        </is>
      </c>
      <c r="O13" s="5">
        <f>ROUND(0.0,2)</f>
        <v/>
      </c>
      <c r="P13" s="3">
        <f>ROUND(0.0,2)</f>
        <v/>
      </c>
      <c r="Q13" s="3">
        <f>ROUND(0.0,2)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2023-09-22</t>
        </is>
      </c>
      <c r="AB13" s="5">
        <f>ROUND(0.0,2)</f>
        <v/>
      </c>
      <c r="AC13" s="3">
        <f>ROUND(0.0,2)</f>
        <v/>
      </c>
      <c r="AD13" s="3">
        <f>ROUND(0.0,2)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2023-09-22</t>
        </is>
      </c>
      <c r="AO13" s="5">
        <f>ROUND(0.0,2)</f>
        <v/>
      </c>
      <c r="AP13" s="3">
        <f>ROUND(0.0,2)</f>
        <v/>
      </c>
      <c r="AQ13" s="3">
        <f>ROUND(0.0,2)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2023-09-22</t>
        </is>
      </c>
      <c r="BB13" s="5">
        <f>ROUND(0.0,2)</f>
        <v/>
      </c>
      <c r="BC13" s="3">
        <f>ROUND(0.0,2)</f>
        <v/>
      </c>
      <c r="BD13" s="3">
        <f>ROUND(0.0,2)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IFERROR(((0+BB11+BB12+BB13)/T2),0)</f>
        <v/>
      </c>
      <c r="BL13" s="5">
        <f>IFERROR(ROUND(BB13/BD13,2),0)</f>
        <v/>
      </c>
      <c r="BM13" s="5">
        <f>IFERROR(ROUND(BB13/BE13,2),0)</f>
        <v/>
      </c>
      <c r="BN13" s="2" t="inlineStr">
        <is>
          <t>2023-09-22</t>
        </is>
      </c>
      <c r="BO13" s="5">
        <f>ROUND(0.0,2)</f>
        <v/>
      </c>
      <c r="BP13" s="3">
        <f>ROUND(0.0,2)</f>
        <v/>
      </c>
      <c r="BQ13" s="3">
        <f>ROUND(0.0,2)</f>
        <v/>
      </c>
      <c r="BR13" s="3">
        <f>ROUND(0.0,2)</f>
        <v/>
      </c>
      <c r="BS13" s="3">
        <f>ROUND(0.0,2)</f>
        <v/>
      </c>
      <c r="BT13" s="3">
        <f>ROUND(0.0,2)</f>
        <v/>
      </c>
      <c r="BU13" s="3">
        <f>ROUND(0.0,2)</f>
        <v/>
      </c>
      <c r="BV13" s="3">
        <f>ROUND(0.0,2)</f>
        <v/>
      </c>
      <c r="BW13" s="4">
        <f>IFERROR((BQ13/BP13),0)</f>
        <v/>
      </c>
      <c r="BX13" s="4">
        <f>IFERROR(((0+BO11+BO12+BO13)/T2),0)</f>
        <v/>
      </c>
      <c r="BY13" s="5">
        <f>IFERROR(ROUND(BO13/BQ13,2),0)</f>
        <v/>
      </c>
      <c r="BZ13" s="5">
        <f>IFERROR(ROUND(BO13/BR13,2),0)</f>
        <v/>
      </c>
      <c r="CA13" s="2" t="inlineStr">
        <is>
          <t>2023-09-22</t>
        </is>
      </c>
      <c r="CB13" s="5">
        <f>ROUND(0.0,2)</f>
        <v/>
      </c>
      <c r="CC13" s="3">
        <f>ROUND(0.0,2)</f>
        <v/>
      </c>
      <c r="CD13" s="3">
        <f>ROUND(0.0,2)</f>
        <v/>
      </c>
      <c r="CE13" s="3">
        <f>ROUND(0.0,2)</f>
        <v/>
      </c>
      <c r="CF13" s="3">
        <f>ROUND(0.0,2)</f>
        <v/>
      </c>
      <c r="CG13" s="3">
        <f>ROUND(0.0,2)</f>
        <v/>
      </c>
      <c r="CH13" s="3">
        <f>ROUND(0.0,2)</f>
        <v/>
      </c>
      <c r="CI13" s="3">
        <f>ROUND(0.0,2)</f>
        <v/>
      </c>
      <c r="CJ13" s="4">
        <f>IFERROR((CD13/CC13),0)</f>
        <v/>
      </c>
      <c r="CK13" s="4">
        <f>IFERROR(((0+CB11+CB12+CB13)/T2),0)</f>
        <v/>
      </c>
      <c r="CL13" s="5">
        <f>IFERROR(ROUND(CB13/CD13,2),0)</f>
        <v/>
      </c>
      <c r="CM13" s="5">
        <f>IFERROR(ROUND(CB13/CE13,2),0)</f>
        <v/>
      </c>
      <c r="CN13" s="2" t="inlineStr">
        <is>
          <t>2023-09-22</t>
        </is>
      </c>
      <c r="CO13" s="5">
        <f>ROUND(0.0,2)</f>
        <v/>
      </c>
      <c r="CP13" s="3">
        <f>ROUND(0.0,2)</f>
        <v/>
      </c>
      <c r="CQ13" s="3">
        <f>ROUND(0.0,2)</f>
        <v/>
      </c>
      <c r="CR13" s="3">
        <f>ROUND(0.0,2)</f>
        <v/>
      </c>
      <c r="CS13" s="3">
        <f>ROUND(0.0,2)</f>
        <v/>
      </c>
      <c r="CT13" s="3">
        <f>ROUND(0.0,2)</f>
        <v/>
      </c>
      <c r="CU13" s="3">
        <f>ROUND(0.0,2)</f>
        <v/>
      </c>
      <c r="CV13" s="3">
        <f>ROUND(0.0,2)</f>
        <v/>
      </c>
      <c r="CW13" s="4">
        <f>IFERROR((CQ13/CP13),0)</f>
        <v/>
      </c>
      <c r="CX13" s="4">
        <f>IFERROR(((0+CO11+CO12+CO13)/T2),0)</f>
        <v/>
      </c>
      <c r="CY13" s="5">
        <f>IFERROR(ROUND(CO13/CQ13,2),0)</f>
        <v/>
      </c>
      <c r="CZ13" s="5">
        <f>IFERROR(ROUND(CO13/CR13,2),0)</f>
        <v/>
      </c>
      <c r="DA13" s="2" t="inlineStr">
        <is>
          <t>2023-09-22</t>
        </is>
      </c>
      <c r="DB13" s="5">
        <f>ROUND(0.0,2)</f>
        <v/>
      </c>
      <c r="DC13" s="3">
        <f>ROUND(0.0,2)</f>
        <v/>
      </c>
      <c r="DD13" s="3">
        <f>ROUND(0.0,2)</f>
        <v/>
      </c>
      <c r="DE13" s="3">
        <f>ROUND(0.0,2)</f>
        <v/>
      </c>
      <c r="DF13" s="3">
        <f>ROUND(0.0,2)</f>
        <v/>
      </c>
      <c r="DG13" s="3">
        <f>ROUND(0.0,2)</f>
        <v/>
      </c>
      <c r="DH13" s="3">
        <f>ROUND(0.0,2)</f>
        <v/>
      </c>
      <c r="DI13" s="3">
        <f>ROUND(0.0,2)</f>
        <v/>
      </c>
      <c r="DJ13" s="4">
        <f>IFERROR((DD13/DC13),0)</f>
        <v/>
      </c>
      <c r="DK13" s="4">
        <f>IFERROR(((0+DB11+DB12+DB13)/T2),0)</f>
        <v/>
      </c>
      <c r="DL13" s="5">
        <f>IFERROR(ROUND(DB13/DD13,2),0)</f>
        <v/>
      </c>
      <c r="DM13" s="5">
        <f>IFERROR(ROUND(DB13/DE13,2),0)</f>
        <v/>
      </c>
      <c r="DN13" s="2" t="inlineStr">
        <is>
          <t>2023-09-22</t>
        </is>
      </c>
      <c r="DO13" s="5">
        <f>ROUND(0.0,2)</f>
        <v/>
      </c>
      <c r="DP13" s="3">
        <f>ROUND(0.0,2)</f>
        <v/>
      </c>
      <c r="DQ13" s="3">
        <f>ROUND(0.0,2)</f>
        <v/>
      </c>
      <c r="DR13" s="3">
        <f>ROUND(0.0,2)</f>
        <v/>
      </c>
      <c r="DS13" s="3">
        <f>ROUND(0.0,2)</f>
        <v/>
      </c>
      <c r="DT13" s="3">
        <f>ROUND(0.0,2)</f>
        <v/>
      </c>
      <c r="DU13" s="3">
        <f>ROUND(0.0,2)</f>
        <v/>
      </c>
      <c r="DV13" s="3">
        <f>ROUND(0.0,2)</f>
        <v/>
      </c>
      <c r="DW13" s="4">
        <f>IFERROR((DQ13/DP13),0)</f>
        <v/>
      </c>
      <c r="DX13" s="4">
        <f>IFERROR(((0+DO11+DO12+DO13)/T2),0)</f>
        <v/>
      </c>
      <c r="DY13" s="5">
        <f>IFERROR(ROUND(DO13/DQ13,2),0)</f>
        <v/>
      </c>
      <c r="DZ13" s="5">
        <f>IFERROR(ROUND(DO13/DR13,2),0)</f>
        <v/>
      </c>
      <c r="EA13" s="2" t="inlineStr">
        <is>
          <t>2023-09-22</t>
        </is>
      </c>
      <c r="EB13" s="5">
        <f>ROUND(0.0,2)</f>
        <v/>
      </c>
      <c r="EC13" s="3">
        <f>ROUND(0.0,2)</f>
        <v/>
      </c>
      <c r="ED13" s="3">
        <f>ROUND(0.0,2)</f>
        <v/>
      </c>
      <c r="EE13" s="3">
        <f>ROUND(0.0,2)</f>
        <v/>
      </c>
      <c r="EF13" s="3">
        <f>ROUND(0.0,2)</f>
        <v/>
      </c>
      <c r="EG13" s="3">
        <f>ROUND(0.0,2)</f>
        <v/>
      </c>
      <c r="EH13" s="3">
        <f>ROUND(0.0,2)</f>
        <v/>
      </c>
      <c r="EI13" s="3">
        <f>ROUND(0.0,2)</f>
        <v/>
      </c>
      <c r="EJ13" s="4">
        <f>IFERROR((ED13/EC13),0)</f>
        <v/>
      </c>
      <c r="EK13" s="4">
        <f>IFERROR(((0+EB11+EB12+EB13)/T2),0)</f>
        <v/>
      </c>
      <c r="EL13" s="5">
        <f>IFERROR(ROUND(EB13/ED13,2),0)</f>
        <v/>
      </c>
      <c r="EM13" s="5">
        <f>IFERROR(ROUND(EB13/EE13,2),0)</f>
        <v/>
      </c>
      <c r="EN13" s="2" t="inlineStr">
        <is>
          <t>2023-09-22</t>
        </is>
      </c>
      <c r="EO13" s="5">
        <f>ROUND(0.0,2)</f>
        <v/>
      </c>
      <c r="EP13" s="3">
        <f>ROUND(0.0,2)</f>
        <v/>
      </c>
      <c r="EQ13" s="3">
        <f>ROUND(0.0,2)</f>
        <v/>
      </c>
      <c r="ER13" s="3">
        <f>ROUND(0.0,2)</f>
        <v/>
      </c>
      <c r="ES13" s="3">
        <f>ROUND(0.0,2)</f>
        <v/>
      </c>
      <c r="ET13" s="3">
        <f>ROUND(0.0,2)</f>
        <v/>
      </c>
      <c r="EU13" s="3">
        <f>ROUND(0.0,2)</f>
        <v/>
      </c>
      <c r="EV13" s="3">
        <f>ROUND(0.0,2)</f>
        <v/>
      </c>
      <c r="EW13" s="4">
        <f>IFERROR((EQ13/EP13),0)</f>
        <v/>
      </c>
      <c r="EX13" s="4">
        <f>IFERROR(((0+EO11+EO12+EO13)/T2),0)</f>
        <v/>
      </c>
      <c r="EY13" s="5">
        <f>IFERROR(ROUND(EO13/EQ13,2),0)</f>
        <v/>
      </c>
      <c r="EZ13" s="5">
        <f>IFERROR(ROUND(EO13/ER13,2),0)</f>
        <v/>
      </c>
      <c r="FA13" s="2" t="inlineStr">
        <is>
          <t>2023-09-22</t>
        </is>
      </c>
      <c r="FB13" s="5">
        <f>ROUND(0.0,2)</f>
        <v/>
      </c>
      <c r="FC13" s="3">
        <f>ROUND(0.0,2)</f>
        <v/>
      </c>
      <c r="FD13" s="3">
        <f>ROUND(0.0,2)</f>
        <v/>
      </c>
      <c r="FE13" s="3">
        <f>ROUND(0.0,2)</f>
        <v/>
      </c>
      <c r="FF13" s="3">
        <f>ROUND(0.0,2)</f>
        <v/>
      </c>
      <c r="FG13" s="3">
        <f>ROUND(0.0,2)</f>
        <v/>
      </c>
      <c r="FH13" s="3">
        <f>ROUND(0.0,2)</f>
        <v/>
      </c>
      <c r="FI13" s="3">
        <f>ROUND(0.0,2)</f>
        <v/>
      </c>
      <c r="FJ13" s="4">
        <f>IFERROR((FD13/FC13),0)</f>
        <v/>
      </c>
      <c r="FK13" s="4">
        <f>IFERROR(((0+FB11+FB12+FB13)/T2),0)</f>
        <v/>
      </c>
      <c r="FL13" s="5">
        <f>IFERROR(ROUND(FB13/FD13,2),0)</f>
        <v/>
      </c>
      <c r="FM13" s="5">
        <f>IFERROR(ROUND(FB13/FE13,2),0)</f>
        <v/>
      </c>
      <c r="FN13" s="2" t="inlineStr">
        <is>
          <t>2023-09-22</t>
        </is>
      </c>
      <c r="FO13" s="5">
        <f>ROUND(0.0,2)</f>
        <v/>
      </c>
      <c r="FP13" s="3">
        <f>ROUND(0.0,2)</f>
        <v/>
      </c>
      <c r="FQ13" s="3">
        <f>ROUND(0.0,2)</f>
        <v/>
      </c>
      <c r="FR13" s="3">
        <f>ROUND(0.0,2)</f>
        <v/>
      </c>
      <c r="FS13" s="3">
        <f>ROUND(0.0,2)</f>
        <v/>
      </c>
      <c r="FT13" s="3">
        <f>ROUND(0.0,2)</f>
        <v/>
      </c>
      <c r="FU13" s="3">
        <f>ROUND(0.0,2)</f>
        <v/>
      </c>
      <c r="FV13" s="3">
        <f>ROUND(0.0,2)</f>
        <v/>
      </c>
      <c r="FW13" s="4">
        <f>IFERROR((FQ13/FP13),0)</f>
        <v/>
      </c>
      <c r="FX13" s="4">
        <f>IFERROR(((0+FO11+FO12+FO13)/T2),0)</f>
        <v/>
      </c>
      <c r="FY13" s="5">
        <f>IFERROR(ROUND(FO13/FQ13,2),0)</f>
        <v/>
      </c>
      <c r="FZ13" s="5">
        <f>IFERROR(ROUND(FO13/FR13,2),0)</f>
        <v/>
      </c>
      <c r="GA13" s="2" t="inlineStr">
        <is>
          <t>2023-09-22</t>
        </is>
      </c>
      <c r="GB13" s="5">
        <f>ROUND(0.0,2)</f>
        <v/>
      </c>
      <c r="GC13" s="3">
        <f>ROUND(0.0,2)</f>
        <v/>
      </c>
      <c r="GD13" s="3">
        <f>ROUND(0.0,2)</f>
        <v/>
      </c>
      <c r="GE13" s="3">
        <f>ROUND(0.0,2)</f>
        <v/>
      </c>
      <c r="GF13" s="3">
        <f>ROUND(0.0,2)</f>
        <v/>
      </c>
      <c r="GG13" s="3">
        <f>ROUND(0.0,2)</f>
        <v/>
      </c>
      <c r="GH13" s="3">
        <f>ROUND(0.0,2)</f>
        <v/>
      </c>
      <c r="GI13" s="3">
        <f>ROUND(0.0,2)</f>
        <v/>
      </c>
      <c r="GJ13" s="4">
        <f>IFERROR((GD13/GC13),0)</f>
        <v/>
      </c>
      <c r="GK13" s="4">
        <f>IFERROR(((0+GB11+GB12+GB13)/T2),0)</f>
        <v/>
      </c>
      <c r="GL13" s="5">
        <f>IFERROR(ROUND(GB13/GD13,2),0)</f>
        <v/>
      </c>
      <c r="GM13" s="5">
        <f>IFERROR(ROUND(GB13/GE13,2),0)</f>
        <v/>
      </c>
    </row>
    <row r="14">
      <c r="A14" s="2" t="inlineStr">
        <is>
          <t>2023-09-23</t>
        </is>
      </c>
      <c r="B14" s="5">
        <f>ROUND(0.0,2)</f>
        <v/>
      </c>
      <c r="C14" s="3">
        <f>ROUND(0.0,2)</f>
        <v/>
      </c>
      <c r="D14" s="3">
        <f>ROUND(0.0,2)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2023-09-23</t>
        </is>
      </c>
      <c r="O14" s="5">
        <f>ROUND(0.0,2)</f>
        <v/>
      </c>
      <c r="P14" s="3">
        <f>ROUND(0.0,2)</f>
        <v/>
      </c>
      <c r="Q14" s="3">
        <f>ROUND(0.0,2)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2023-09-23</t>
        </is>
      </c>
      <c r="AB14" s="5">
        <f>ROUND(0.0,2)</f>
        <v/>
      </c>
      <c r="AC14" s="3">
        <f>ROUND(0.0,2)</f>
        <v/>
      </c>
      <c r="AD14" s="3">
        <f>ROUND(0.0,2)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2023-09-23</t>
        </is>
      </c>
      <c r="AO14" s="5">
        <f>ROUND(0.0,2)</f>
        <v/>
      </c>
      <c r="AP14" s="3">
        <f>ROUND(0.0,2)</f>
        <v/>
      </c>
      <c r="AQ14" s="3">
        <f>ROUND(0.0,2)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2023-09-23</t>
        </is>
      </c>
      <c r="BB14" s="5">
        <f>ROUND(0.0,2)</f>
        <v/>
      </c>
      <c r="BC14" s="3">
        <f>ROUND(0.0,2)</f>
        <v/>
      </c>
      <c r="BD14" s="3">
        <f>ROUND(0.0,2)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IFERROR(((0+BB11+BB12+BB13+BB14)/T2),0)</f>
        <v/>
      </c>
      <c r="BL14" s="5">
        <f>IFERROR(ROUND(BB14/BD14,2),0)</f>
        <v/>
      </c>
      <c r="BM14" s="5">
        <f>IFERROR(ROUND(BB14/BE14,2),0)</f>
        <v/>
      </c>
      <c r="BN14" s="2" t="inlineStr">
        <is>
          <t>2023-09-23</t>
        </is>
      </c>
      <c r="BO14" s="5">
        <f>ROUND(0.0,2)</f>
        <v/>
      </c>
      <c r="BP14" s="3">
        <f>ROUND(0.0,2)</f>
        <v/>
      </c>
      <c r="BQ14" s="3">
        <f>ROUND(0.0,2)</f>
        <v/>
      </c>
      <c r="BR14" s="3">
        <f>ROUND(0.0,2)</f>
        <v/>
      </c>
      <c r="BS14" s="3">
        <f>ROUND(0.0,2)</f>
        <v/>
      </c>
      <c r="BT14" s="3">
        <f>ROUND(0.0,2)</f>
        <v/>
      </c>
      <c r="BU14" s="3">
        <f>ROUND(0.0,2)</f>
        <v/>
      </c>
      <c r="BV14" s="3">
        <f>ROUND(0.0,2)</f>
        <v/>
      </c>
      <c r="BW14" s="4">
        <f>IFERROR((BQ14/BP14),0)</f>
        <v/>
      </c>
      <c r="BX14" s="4">
        <f>IFERROR(((0+BO11+BO12+BO13+BO14)/T2),0)</f>
        <v/>
      </c>
      <c r="BY14" s="5">
        <f>IFERROR(ROUND(BO14/BQ14,2),0)</f>
        <v/>
      </c>
      <c r="BZ14" s="5">
        <f>IFERROR(ROUND(BO14/BR14,2),0)</f>
        <v/>
      </c>
      <c r="CA14" s="2" t="inlineStr">
        <is>
          <t>2023-09-23</t>
        </is>
      </c>
      <c r="CB14" s="5">
        <f>ROUND(0.0,2)</f>
        <v/>
      </c>
      <c r="CC14" s="3">
        <f>ROUND(0.0,2)</f>
        <v/>
      </c>
      <c r="CD14" s="3">
        <f>ROUND(0.0,2)</f>
        <v/>
      </c>
      <c r="CE14" s="3">
        <f>ROUND(0.0,2)</f>
        <v/>
      </c>
      <c r="CF14" s="3">
        <f>ROUND(0.0,2)</f>
        <v/>
      </c>
      <c r="CG14" s="3">
        <f>ROUND(0.0,2)</f>
        <v/>
      </c>
      <c r="CH14" s="3">
        <f>ROUND(0.0,2)</f>
        <v/>
      </c>
      <c r="CI14" s="3">
        <f>ROUND(0.0,2)</f>
        <v/>
      </c>
      <c r="CJ14" s="4">
        <f>IFERROR((CD14/CC14),0)</f>
        <v/>
      </c>
      <c r="CK14" s="4">
        <f>IFERROR(((0+CB11+CB12+CB13+CB14)/T2),0)</f>
        <v/>
      </c>
      <c r="CL14" s="5">
        <f>IFERROR(ROUND(CB14/CD14,2),0)</f>
        <v/>
      </c>
      <c r="CM14" s="5">
        <f>IFERROR(ROUND(CB14/CE14,2),0)</f>
        <v/>
      </c>
      <c r="CN14" s="2" t="inlineStr">
        <is>
          <t>2023-09-23</t>
        </is>
      </c>
      <c r="CO14" s="5">
        <f>ROUND(0.0,2)</f>
        <v/>
      </c>
      <c r="CP14" s="3">
        <f>ROUND(0.0,2)</f>
        <v/>
      </c>
      <c r="CQ14" s="3">
        <f>ROUND(0.0,2)</f>
        <v/>
      </c>
      <c r="CR14" s="3">
        <f>ROUND(0.0,2)</f>
        <v/>
      </c>
      <c r="CS14" s="3">
        <f>ROUND(0.0,2)</f>
        <v/>
      </c>
      <c r="CT14" s="3">
        <f>ROUND(0.0,2)</f>
        <v/>
      </c>
      <c r="CU14" s="3">
        <f>ROUND(0.0,2)</f>
        <v/>
      </c>
      <c r="CV14" s="3">
        <f>ROUND(0.0,2)</f>
        <v/>
      </c>
      <c r="CW14" s="4">
        <f>IFERROR((CQ14/CP14),0)</f>
        <v/>
      </c>
      <c r="CX14" s="4">
        <f>IFERROR(((0+CO11+CO12+CO13+CO14)/T2),0)</f>
        <v/>
      </c>
      <c r="CY14" s="5">
        <f>IFERROR(ROUND(CO14/CQ14,2),0)</f>
        <v/>
      </c>
      <c r="CZ14" s="5">
        <f>IFERROR(ROUND(CO14/CR14,2),0)</f>
        <v/>
      </c>
      <c r="DA14" s="2" t="inlineStr">
        <is>
          <t>2023-09-23</t>
        </is>
      </c>
      <c r="DB14" s="5">
        <f>ROUND(0.0,2)</f>
        <v/>
      </c>
      <c r="DC14" s="3">
        <f>ROUND(0.0,2)</f>
        <v/>
      </c>
      <c r="DD14" s="3">
        <f>ROUND(0.0,2)</f>
        <v/>
      </c>
      <c r="DE14" s="3">
        <f>ROUND(0.0,2)</f>
        <v/>
      </c>
      <c r="DF14" s="3">
        <f>ROUND(0.0,2)</f>
        <v/>
      </c>
      <c r="DG14" s="3">
        <f>ROUND(0.0,2)</f>
        <v/>
      </c>
      <c r="DH14" s="3">
        <f>ROUND(0.0,2)</f>
        <v/>
      </c>
      <c r="DI14" s="3">
        <f>ROUND(0.0,2)</f>
        <v/>
      </c>
      <c r="DJ14" s="4">
        <f>IFERROR((DD14/DC14),0)</f>
        <v/>
      </c>
      <c r="DK14" s="4">
        <f>IFERROR(((0+DB11+DB12+DB13+DB14)/T2),0)</f>
        <v/>
      </c>
      <c r="DL14" s="5">
        <f>IFERROR(ROUND(DB14/DD14,2),0)</f>
        <v/>
      </c>
      <c r="DM14" s="5">
        <f>IFERROR(ROUND(DB14/DE14,2),0)</f>
        <v/>
      </c>
      <c r="DN14" s="2" t="inlineStr">
        <is>
          <t>2023-09-23</t>
        </is>
      </c>
      <c r="DO14" s="5">
        <f>ROUND(0.0,2)</f>
        <v/>
      </c>
      <c r="DP14" s="3">
        <f>ROUND(0.0,2)</f>
        <v/>
      </c>
      <c r="DQ14" s="3">
        <f>ROUND(0.0,2)</f>
        <v/>
      </c>
      <c r="DR14" s="3">
        <f>ROUND(0.0,2)</f>
        <v/>
      </c>
      <c r="DS14" s="3">
        <f>ROUND(0.0,2)</f>
        <v/>
      </c>
      <c r="DT14" s="3">
        <f>ROUND(0.0,2)</f>
        <v/>
      </c>
      <c r="DU14" s="3">
        <f>ROUND(0.0,2)</f>
        <v/>
      </c>
      <c r="DV14" s="3">
        <f>ROUND(0.0,2)</f>
        <v/>
      </c>
      <c r="DW14" s="4">
        <f>IFERROR((DQ14/DP14),0)</f>
        <v/>
      </c>
      <c r="DX14" s="4">
        <f>IFERROR(((0+DO11+DO12+DO13+DO14)/T2),0)</f>
        <v/>
      </c>
      <c r="DY14" s="5">
        <f>IFERROR(ROUND(DO14/DQ14,2),0)</f>
        <v/>
      </c>
      <c r="DZ14" s="5">
        <f>IFERROR(ROUND(DO14/DR14,2),0)</f>
        <v/>
      </c>
      <c r="EA14" s="2" t="inlineStr">
        <is>
          <t>2023-09-23</t>
        </is>
      </c>
      <c r="EB14" s="5">
        <f>ROUND(0.0,2)</f>
        <v/>
      </c>
      <c r="EC14" s="3">
        <f>ROUND(0.0,2)</f>
        <v/>
      </c>
      <c r="ED14" s="3">
        <f>ROUND(0.0,2)</f>
        <v/>
      </c>
      <c r="EE14" s="3">
        <f>ROUND(0.0,2)</f>
        <v/>
      </c>
      <c r="EF14" s="3">
        <f>ROUND(0.0,2)</f>
        <v/>
      </c>
      <c r="EG14" s="3">
        <f>ROUND(0.0,2)</f>
        <v/>
      </c>
      <c r="EH14" s="3">
        <f>ROUND(0.0,2)</f>
        <v/>
      </c>
      <c r="EI14" s="3">
        <f>ROUND(0.0,2)</f>
        <v/>
      </c>
      <c r="EJ14" s="4">
        <f>IFERROR((ED14/EC14),0)</f>
        <v/>
      </c>
      <c r="EK14" s="4">
        <f>IFERROR(((0+EB11+EB12+EB13+EB14)/T2),0)</f>
        <v/>
      </c>
      <c r="EL14" s="5">
        <f>IFERROR(ROUND(EB14/ED14,2),0)</f>
        <v/>
      </c>
      <c r="EM14" s="5">
        <f>IFERROR(ROUND(EB14/EE14,2),0)</f>
        <v/>
      </c>
      <c r="EN14" s="2" t="inlineStr">
        <is>
          <t>2023-09-23</t>
        </is>
      </c>
      <c r="EO14" s="5">
        <f>ROUND(0.0,2)</f>
        <v/>
      </c>
      <c r="EP14" s="3">
        <f>ROUND(0.0,2)</f>
        <v/>
      </c>
      <c r="EQ14" s="3">
        <f>ROUND(0.0,2)</f>
        <v/>
      </c>
      <c r="ER14" s="3">
        <f>ROUND(0.0,2)</f>
        <v/>
      </c>
      <c r="ES14" s="3">
        <f>ROUND(0.0,2)</f>
        <v/>
      </c>
      <c r="ET14" s="3">
        <f>ROUND(0.0,2)</f>
        <v/>
      </c>
      <c r="EU14" s="3">
        <f>ROUND(0.0,2)</f>
        <v/>
      </c>
      <c r="EV14" s="3">
        <f>ROUND(0.0,2)</f>
        <v/>
      </c>
      <c r="EW14" s="4">
        <f>IFERROR((EQ14/EP14),0)</f>
        <v/>
      </c>
      <c r="EX14" s="4">
        <f>IFERROR(((0+EO11+EO12+EO13+EO14)/T2),0)</f>
        <v/>
      </c>
      <c r="EY14" s="5">
        <f>IFERROR(ROUND(EO14/EQ14,2),0)</f>
        <v/>
      </c>
      <c r="EZ14" s="5">
        <f>IFERROR(ROUND(EO14/ER14,2),0)</f>
        <v/>
      </c>
      <c r="FA14" s="2" t="inlineStr">
        <is>
          <t>2023-09-23</t>
        </is>
      </c>
      <c r="FB14" s="5">
        <f>ROUND(0.0,2)</f>
        <v/>
      </c>
      <c r="FC14" s="3">
        <f>ROUND(0.0,2)</f>
        <v/>
      </c>
      <c r="FD14" s="3">
        <f>ROUND(0.0,2)</f>
        <v/>
      </c>
      <c r="FE14" s="3">
        <f>ROUND(0.0,2)</f>
        <v/>
      </c>
      <c r="FF14" s="3">
        <f>ROUND(0.0,2)</f>
        <v/>
      </c>
      <c r="FG14" s="3">
        <f>ROUND(0.0,2)</f>
        <v/>
      </c>
      <c r="FH14" s="3">
        <f>ROUND(0.0,2)</f>
        <v/>
      </c>
      <c r="FI14" s="3">
        <f>ROUND(0.0,2)</f>
        <v/>
      </c>
      <c r="FJ14" s="4">
        <f>IFERROR((FD14/FC14),0)</f>
        <v/>
      </c>
      <c r="FK14" s="4">
        <f>IFERROR(((0+FB11+FB12+FB13+FB14)/T2),0)</f>
        <v/>
      </c>
      <c r="FL14" s="5">
        <f>IFERROR(ROUND(FB14/FD14,2),0)</f>
        <v/>
      </c>
      <c r="FM14" s="5">
        <f>IFERROR(ROUND(FB14/FE14,2),0)</f>
        <v/>
      </c>
      <c r="FN14" s="2" t="inlineStr">
        <is>
          <t>2023-09-23</t>
        </is>
      </c>
      <c r="FO14" s="5">
        <f>ROUND(0.0,2)</f>
        <v/>
      </c>
      <c r="FP14" s="3">
        <f>ROUND(0.0,2)</f>
        <v/>
      </c>
      <c r="FQ14" s="3">
        <f>ROUND(0.0,2)</f>
        <v/>
      </c>
      <c r="FR14" s="3">
        <f>ROUND(0.0,2)</f>
        <v/>
      </c>
      <c r="FS14" s="3">
        <f>ROUND(0.0,2)</f>
        <v/>
      </c>
      <c r="FT14" s="3">
        <f>ROUND(0.0,2)</f>
        <v/>
      </c>
      <c r="FU14" s="3">
        <f>ROUND(0.0,2)</f>
        <v/>
      </c>
      <c r="FV14" s="3">
        <f>ROUND(0.0,2)</f>
        <v/>
      </c>
      <c r="FW14" s="4">
        <f>IFERROR((FQ14/FP14),0)</f>
        <v/>
      </c>
      <c r="FX14" s="4">
        <f>IFERROR(((0+FO11+FO12+FO13+FO14)/T2),0)</f>
        <v/>
      </c>
      <c r="FY14" s="5">
        <f>IFERROR(ROUND(FO14/FQ14,2),0)</f>
        <v/>
      </c>
      <c r="FZ14" s="5">
        <f>IFERROR(ROUND(FO14/FR14,2),0)</f>
        <v/>
      </c>
      <c r="GA14" s="2" t="inlineStr">
        <is>
          <t>2023-09-23</t>
        </is>
      </c>
      <c r="GB14" s="5">
        <f>ROUND(0.0,2)</f>
        <v/>
      </c>
      <c r="GC14" s="3">
        <f>ROUND(0.0,2)</f>
        <v/>
      </c>
      <c r="GD14" s="3">
        <f>ROUND(0.0,2)</f>
        <v/>
      </c>
      <c r="GE14" s="3">
        <f>ROUND(0.0,2)</f>
        <v/>
      </c>
      <c r="GF14" s="3">
        <f>ROUND(0.0,2)</f>
        <v/>
      </c>
      <c r="GG14" s="3">
        <f>ROUND(0.0,2)</f>
        <v/>
      </c>
      <c r="GH14" s="3">
        <f>ROUND(0.0,2)</f>
        <v/>
      </c>
      <c r="GI14" s="3">
        <f>ROUND(0.0,2)</f>
        <v/>
      </c>
      <c r="GJ14" s="4">
        <f>IFERROR((GD14/GC14),0)</f>
        <v/>
      </c>
      <c r="GK14" s="4">
        <f>IFERROR(((0+GB11+GB12+GB13+GB14)/T2),0)</f>
        <v/>
      </c>
      <c r="GL14" s="5">
        <f>IFERROR(ROUND(GB14/GD14,2),0)</f>
        <v/>
      </c>
      <c r="GM14" s="5">
        <f>IFERROR(ROUND(GB14/GE14,2),0)</f>
        <v/>
      </c>
    </row>
    <row r="15">
      <c r="A15" s="2" t="inlineStr">
        <is>
          <t>2023-09-24</t>
        </is>
      </c>
      <c r="B15" s="5">
        <f>ROUND(0.0,2)</f>
        <v/>
      </c>
      <c r="C15" s="3">
        <f>ROUND(0.0,2)</f>
        <v/>
      </c>
      <c r="D15" s="3">
        <f>ROUND(0.0,2)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2023-09-24</t>
        </is>
      </c>
      <c r="O15" s="5">
        <f>ROUND(0.0,2)</f>
        <v/>
      </c>
      <c r="P15" s="3">
        <f>ROUND(0.0,2)</f>
        <v/>
      </c>
      <c r="Q15" s="3">
        <f>ROUND(0.0,2)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2023-09-24</t>
        </is>
      </c>
      <c r="AB15" s="5">
        <f>ROUND(0.0,2)</f>
        <v/>
      </c>
      <c r="AC15" s="3">
        <f>ROUND(0.0,2)</f>
        <v/>
      </c>
      <c r="AD15" s="3">
        <f>ROUND(0.0,2)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2023-09-24</t>
        </is>
      </c>
      <c r="AO15" s="5">
        <f>ROUND(0.0,2)</f>
        <v/>
      </c>
      <c r="AP15" s="3">
        <f>ROUND(0.0,2)</f>
        <v/>
      </c>
      <c r="AQ15" s="3">
        <f>ROUND(0.0,2)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2023-09-24</t>
        </is>
      </c>
      <c r="BB15" s="5">
        <f>ROUND(0.0,2)</f>
        <v/>
      </c>
      <c r="BC15" s="3">
        <f>ROUND(0.0,2)</f>
        <v/>
      </c>
      <c r="BD15" s="3">
        <f>ROUND(0.0,2)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IFERROR(((0+BB11+BB12+BB13+BB14+BB15)/T2),0)</f>
        <v/>
      </c>
      <c r="BL15" s="5">
        <f>IFERROR(ROUND(BB15/BD15,2),0)</f>
        <v/>
      </c>
      <c r="BM15" s="5">
        <f>IFERROR(ROUND(BB15/BE15,2),0)</f>
        <v/>
      </c>
      <c r="BN15" s="2" t="inlineStr">
        <is>
          <t>2023-09-24</t>
        </is>
      </c>
      <c r="BO15" s="5">
        <f>ROUND(0.0,2)</f>
        <v/>
      </c>
      <c r="BP15" s="3">
        <f>ROUND(0.0,2)</f>
        <v/>
      </c>
      <c r="BQ15" s="3">
        <f>ROUND(0.0,2)</f>
        <v/>
      </c>
      <c r="BR15" s="3">
        <f>ROUND(0.0,2)</f>
        <v/>
      </c>
      <c r="BS15" s="3">
        <f>ROUND(0.0,2)</f>
        <v/>
      </c>
      <c r="BT15" s="3">
        <f>ROUND(0.0,2)</f>
        <v/>
      </c>
      <c r="BU15" s="3">
        <f>ROUND(0.0,2)</f>
        <v/>
      </c>
      <c r="BV15" s="3">
        <f>ROUND(0.0,2)</f>
        <v/>
      </c>
      <c r="BW15" s="4">
        <f>IFERROR((BQ15/BP15),0)</f>
        <v/>
      </c>
      <c r="BX15" s="4">
        <f>IFERROR(((0+BO11+BO12+BO13+BO14+BO15)/T2),0)</f>
        <v/>
      </c>
      <c r="BY15" s="5">
        <f>IFERROR(ROUND(BO15/BQ15,2),0)</f>
        <v/>
      </c>
      <c r="BZ15" s="5">
        <f>IFERROR(ROUND(BO15/BR15,2),0)</f>
        <v/>
      </c>
      <c r="CA15" s="2" t="inlineStr">
        <is>
          <t>2023-09-24</t>
        </is>
      </c>
      <c r="CB15" s="5">
        <f>ROUND(0.0,2)</f>
        <v/>
      </c>
      <c r="CC15" s="3">
        <f>ROUND(0.0,2)</f>
        <v/>
      </c>
      <c r="CD15" s="3">
        <f>ROUND(0.0,2)</f>
        <v/>
      </c>
      <c r="CE15" s="3">
        <f>ROUND(0.0,2)</f>
        <v/>
      </c>
      <c r="CF15" s="3">
        <f>ROUND(0.0,2)</f>
        <v/>
      </c>
      <c r="CG15" s="3">
        <f>ROUND(0.0,2)</f>
        <v/>
      </c>
      <c r="CH15" s="3">
        <f>ROUND(0.0,2)</f>
        <v/>
      </c>
      <c r="CI15" s="3">
        <f>ROUND(0.0,2)</f>
        <v/>
      </c>
      <c r="CJ15" s="4">
        <f>IFERROR((CD15/CC15),0)</f>
        <v/>
      </c>
      <c r="CK15" s="4">
        <f>IFERROR(((0+CB11+CB12+CB13+CB14+CB15)/T2),0)</f>
        <v/>
      </c>
      <c r="CL15" s="5">
        <f>IFERROR(ROUND(CB15/CD15,2),0)</f>
        <v/>
      </c>
      <c r="CM15" s="5">
        <f>IFERROR(ROUND(CB15/CE15,2),0)</f>
        <v/>
      </c>
      <c r="CN15" s="2" t="inlineStr">
        <is>
          <t>2023-09-24</t>
        </is>
      </c>
      <c r="CO15" s="5">
        <f>ROUND(0.0,2)</f>
        <v/>
      </c>
      <c r="CP15" s="3">
        <f>ROUND(0.0,2)</f>
        <v/>
      </c>
      <c r="CQ15" s="3">
        <f>ROUND(0.0,2)</f>
        <v/>
      </c>
      <c r="CR15" s="3">
        <f>ROUND(0.0,2)</f>
        <v/>
      </c>
      <c r="CS15" s="3">
        <f>ROUND(0.0,2)</f>
        <v/>
      </c>
      <c r="CT15" s="3">
        <f>ROUND(0.0,2)</f>
        <v/>
      </c>
      <c r="CU15" s="3">
        <f>ROUND(0.0,2)</f>
        <v/>
      </c>
      <c r="CV15" s="3">
        <f>ROUND(0.0,2)</f>
        <v/>
      </c>
      <c r="CW15" s="4">
        <f>IFERROR((CQ15/CP15),0)</f>
        <v/>
      </c>
      <c r="CX15" s="4">
        <f>IFERROR(((0+CO11+CO12+CO13+CO14+CO15)/T2),0)</f>
        <v/>
      </c>
      <c r="CY15" s="5">
        <f>IFERROR(ROUND(CO15/CQ15,2),0)</f>
        <v/>
      </c>
      <c r="CZ15" s="5">
        <f>IFERROR(ROUND(CO15/CR15,2),0)</f>
        <v/>
      </c>
      <c r="DA15" s="2" t="inlineStr">
        <is>
          <t>2023-09-24</t>
        </is>
      </c>
      <c r="DB15" s="5">
        <f>ROUND(0.0,2)</f>
        <v/>
      </c>
      <c r="DC15" s="3">
        <f>ROUND(0.0,2)</f>
        <v/>
      </c>
      <c r="DD15" s="3">
        <f>ROUND(0.0,2)</f>
        <v/>
      </c>
      <c r="DE15" s="3">
        <f>ROUND(0.0,2)</f>
        <v/>
      </c>
      <c r="DF15" s="3">
        <f>ROUND(0.0,2)</f>
        <v/>
      </c>
      <c r="DG15" s="3">
        <f>ROUND(0.0,2)</f>
        <v/>
      </c>
      <c r="DH15" s="3">
        <f>ROUND(0.0,2)</f>
        <v/>
      </c>
      <c r="DI15" s="3">
        <f>ROUND(0.0,2)</f>
        <v/>
      </c>
      <c r="DJ15" s="4">
        <f>IFERROR((DD15/DC15),0)</f>
        <v/>
      </c>
      <c r="DK15" s="4">
        <f>IFERROR(((0+DB11+DB12+DB13+DB14+DB15)/T2),0)</f>
        <v/>
      </c>
      <c r="DL15" s="5">
        <f>IFERROR(ROUND(DB15/DD15,2),0)</f>
        <v/>
      </c>
      <c r="DM15" s="5">
        <f>IFERROR(ROUND(DB15/DE15,2),0)</f>
        <v/>
      </c>
      <c r="DN15" s="2" t="inlineStr">
        <is>
          <t>2023-09-24</t>
        </is>
      </c>
      <c r="DO15" s="5">
        <f>ROUND(0.0,2)</f>
        <v/>
      </c>
      <c r="DP15" s="3">
        <f>ROUND(0.0,2)</f>
        <v/>
      </c>
      <c r="DQ15" s="3">
        <f>ROUND(0.0,2)</f>
        <v/>
      </c>
      <c r="DR15" s="3">
        <f>ROUND(0.0,2)</f>
        <v/>
      </c>
      <c r="DS15" s="3">
        <f>ROUND(0.0,2)</f>
        <v/>
      </c>
      <c r="DT15" s="3">
        <f>ROUND(0.0,2)</f>
        <v/>
      </c>
      <c r="DU15" s="3">
        <f>ROUND(0.0,2)</f>
        <v/>
      </c>
      <c r="DV15" s="3">
        <f>ROUND(0.0,2)</f>
        <v/>
      </c>
      <c r="DW15" s="4">
        <f>IFERROR((DQ15/DP15),0)</f>
        <v/>
      </c>
      <c r="DX15" s="4">
        <f>IFERROR(((0+DO11+DO12+DO13+DO14+DO15)/T2),0)</f>
        <v/>
      </c>
      <c r="DY15" s="5">
        <f>IFERROR(ROUND(DO15/DQ15,2),0)</f>
        <v/>
      </c>
      <c r="DZ15" s="5">
        <f>IFERROR(ROUND(DO15/DR15,2),0)</f>
        <v/>
      </c>
      <c r="EA15" s="2" t="inlineStr">
        <is>
          <t>2023-09-24</t>
        </is>
      </c>
      <c r="EB15" s="5">
        <f>ROUND(0.0,2)</f>
        <v/>
      </c>
      <c r="EC15" s="3">
        <f>ROUND(0.0,2)</f>
        <v/>
      </c>
      <c r="ED15" s="3">
        <f>ROUND(0.0,2)</f>
        <v/>
      </c>
      <c r="EE15" s="3">
        <f>ROUND(0.0,2)</f>
        <v/>
      </c>
      <c r="EF15" s="3">
        <f>ROUND(0.0,2)</f>
        <v/>
      </c>
      <c r="EG15" s="3">
        <f>ROUND(0.0,2)</f>
        <v/>
      </c>
      <c r="EH15" s="3">
        <f>ROUND(0.0,2)</f>
        <v/>
      </c>
      <c r="EI15" s="3">
        <f>ROUND(0.0,2)</f>
        <v/>
      </c>
      <c r="EJ15" s="4">
        <f>IFERROR((ED15/EC15),0)</f>
        <v/>
      </c>
      <c r="EK15" s="4">
        <f>IFERROR(((0+EB11+EB12+EB13+EB14+EB15)/T2),0)</f>
        <v/>
      </c>
      <c r="EL15" s="5">
        <f>IFERROR(ROUND(EB15/ED15,2),0)</f>
        <v/>
      </c>
      <c r="EM15" s="5">
        <f>IFERROR(ROUND(EB15/EE15,2),0)</f>
        <v/>
      </c>
      <c r="EN15" s="2" t="inlineStr">
        <is>
          <t>2023-09-24</t>
        </is>
      </c>
      <c r="EO15" s="5">
        <f>ROUND(0.0,2)</f>
        <v/>
      </c>
      <c r="EP15" s="3">
        <f>ROUND(0.0,2)</f>
        <v/>
      </c>
      <c r="EQ15" s="3">
        <f>ROUND(0.0,2)</f>
        <v/>
      </c>
      <c r="ER15" s="3">
        <f>ROUND(0.0,2)</f>
        <v/>
      </c>
      <c r="ES15" s="3">
        <f>ROUND(0.0,2)</f>
        <v/>
      </c>
      <c r="ET15" s="3">
        <f>ROUND(0.0,2)</f>
        <v/>
      </c>
      <c r="EU15" s="3">
        <f>ROUND(0.0,2)</f>
        <v/>
      </c>
      <c r="EV15" s="3">
        <f>ROUND(0.0,2)</f>
        <v/>
      </c>
      <c r="EW15" s="4">
        <f>IFERROR((EQ15/EP15),0)</f>
        <v/>
      </c>
      <c r="EX15" s="4">
        <f>IFERROR(((0+EO11+EO12+EO13+EO14+EO15)/T2),0)</f>
        <v/>
      </c>
      <c r="EY15" s="5">
        <f>IFERROR(ROUND(EO15/EQ15,2),0)</f>
        <v/>
      </c>
      <c r="EZ15" s="5">
        <f>IFERROR(ROUND(EO15/ER15,2),0)</f>
        <v/>
      </c>
      <c r="FA15" s="2" t="inlineStr">
        <is>
          <t>2023-09-24</t>
        </is>
      </c>
      <c r="FB15" s="5">
        <f>ROUND(0.0,2)</f>
        <v/>
      </c>
      <c r="FC15" s="3">
        <f>ROUND(0.0,2)</f>
        <v/>
      </c>
      <c r="FD15" s="3">
        <f>ROUND(0.0,2)</f>
        <v/>
      </c>
      <c r="FE15" s="3">
        <f>ROUND(0.0,2)</f>
        <v/>
      </c>
      <c r="FF15" s="3">
        <f>ROUND(0.0,2)</f>
        <v/>
      </c>
      <c r="FG15" s="3">
        <f>ROUND(0.0,2)</f>
        <v/>
      </c>
      <c r="FH15" s="3">
        <f>ROUND(0.0,2)</f>
        <v/>
      </c>
      <c r="FI15" s="3">
        <f>ROUND(0.0,2)</f>
        <v/>
      </c>
      <c r="FJ15" s="4">
        <f>IFERROR((FD15/FC15),0)</f>
        <v/>
      </c>
      <c r="FK15" s="4">
        <f>IFERROR(((0+FB11+FB12+FB13+FB14+FB15)/T2),0)</f>
        <v/>
      </c>
      <c r="FL15" s="5">
        <f>IFERROR(ROUND(FB15/FD15,2),0)</f>
        <v/>
      </c>
      <c r="FM15" s="5">
        <f>IFERROR(ROUND(FB15/FE15,2),0)</f>
        <v/>
      </c>
      <c r="FN15" s="2" t="inlineStr">
        <is>
          <t>2023-09-24</t>
        </is>
      </c>
      <c r="FO15" s="5">
        <f>ROUND(0.0,2)</f>
        <v/>
      </c>
      <c r="FP15" s="3">
        <f>ROUND(0.0,2)</f>
        <v/>
      </c>
      <c r="FQ15" s="3">
        <f>ROUND(0.0,2)</f>
        <v/>
      </c>
      <c r="FR15" s="3">
        <f>ROUND(0.0,2)</f>
        <v/>
      </c>
      <c r="FS15" s="3">
        <f>ROUND(0.0,2)</f>
        <v/>
      </c>
      <c r="FT15" s="3">
        <f>ROUND(0.0,2)</f>
        <v/>
      </c>
      <c r="FU15" s="3">
        <f>ROUND(0.0,2)</f>
        <v/>
      </c>
      <c r="FV15" s="3">
        <f>ROUND(0.0,2)</f>
        <v/>
      </c>
      <c r="FW15" s="4">
        <f>IFERROR((FQ15/FP15),0)</f>
        <v/>
      </c>
      <c r="FX15" s="4">
        <f>IFERROR(((0+FO11+FO12+FO13+FO14+FO15)/T2),0)</f>
        <v/>
      </c>
      <c r="FY15" s="5">
        <f>IFERROR(ROUND(FO15/FQ15,2),0)</f>
        <v/>
      </c>
      <c r="FZ15" s="5">
        <f>IFERROR(ROUND(FO15/FR15,2),0)</f>
        <v/>
      </c>
      <c r="GA15" s="2" t="inlineStr">
        <is>
          <t>2023-09-24</t>
        </is>
      </c>
      <c r="GB15" s="5">
        <f>ROUND(0.0,2)</f>
        <v/>
      </c>
      <c r="GC15" s="3">
        <f>ROUND(0.0,2)</f>
        <v/>
      </c>
      <c r="GD15" s="3">
        <f>ROUND(0.0,2)</f>
        <v/>
      </c>
      <c r="GE15" s="3">
        <f>ROUND(0.0,2)</f>
        <v/>
      </c>
      <c r="GF15" s="3">
        <f>ROUND(0.0,2)</f>
        <v/>
      </c>
      <c r="GG15" s="3">
        <f>ROUND(0.0,2)</f>
        <v/>
      </c>
      <c r="GH15" s="3">
        <f>ROUND(0.0,2)</f>
        <v/>
      </c>
      <c r="GI15" s="3">
        <f>ROUND(0.0,2)</f>
        <v/>
      </c>
      <c r="GJ15" s="4">
        <f>IFERROR((GD15/GC15),0)</f>
        <v/>
      </c>
      <c r="GK15" s="4">
        <f>IFERROR(((0+GB11+GB12+GB13+GB14+GB15)/T2),0)</f>
        <v/>
      </c>
      <c r="GL15" s="5">
        <f>IFERROR(ROUND(GB15/GD15,2),0)</f>
        <v/>
      </c>
      <c r="GM15" s="5">
        <f>IFERROR(ROUND(GB15/GE15,2),0)</f>
        <v/>
      </c>
    </row>
    <row r="16">
      <c r="A16" s="2" t="inlineStr">
        <is>
          <t>2023-09-25</t>
        </is>
      </c>
      <c r="B16" s="5">
        <f>ROUND(0.0,2)</f>
        <v/>
      </c>
      <c r="C16" s="3">
        <f>ROUND(0.0,2)</f>
        <v/>
      </c>
      <c r="D16" s="3">
        <f>ROUND(0.0,2)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2023-09-25</t>
        </is>
      </c>
      <c r="O16" s="5">
        <f>ROUND(0.0,2)</f>
        <v/>
      </c>
      <c r="P16" s="3">
        <f>ROUND(0.0,2)</f>
        <v/>
      </c>
      <c r="Q16" s="3">
        <f>ROUND(0.0,2)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2023-09-25</t>
        </is>
      </c>
      <c r="AB16" s="5">
        <f>ROUND(0.0,2)</f>
        <v/>
      </c>
      <c r="AC16" s="3">
        <f>ROUND(0.0,2)</f>
        <v/>
      </c>
      <c r="AD16" s="3">
        <f>ROUND(0.0,2)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2023-09-25</t>
        </is>
      </c>
      <c r="AO16" s="5">
        <f>ROUND(0.0,2)</f>
        <v/>
      </c>
      <c r="AP16" s="3">
        <f>ROUND(0.0,2)</f>
        <v/>
      </c>
      <c r="AQ16" s="3">
        <f>ROUND(0.0,2)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2023-09-25</t>
        </is>
      </c>
      <c r="BB16" s="5">
        <f>ROUND(0.0,2)</f>
        <v/>
      </c>
      <c r="BC16" s="3">
        <f>ROUND(0.0,2)</f>
        <v/>
      </c>
      <c r="BD16" s="3">
        <f>ROUND(0.0,2)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IFERROR(((0+BB11+BB12+BB13+BB14+BB15+BB16)/T2),0)</f>
        <v/>
      </c>
      <c r="BL16" s="5">
        <f>IFERROR(ROUND(BB16/BD16,2),0)</f>
        <v/>
      </c>
      <c r="BM16" s="5">
        <f>IFERROR(ROUND(BB16/BE16,2),0)</f>
        <v/>
      </c>
      <c r="BN16" s="2" t="inlineStr">
        <is>
          <t>2023-09-25</t>
        </is>
      </c>
      <c r="BO16" s="5">
        <f>ROUND(0.0,2)</f>
        <v/>
      </c>
      <c r="BP16" s="3">
        <f>ROUND(0.0,2)</f>
        <v/>
      </c>
      <c r="BQ16" s="3">
        <f>ROUND(0.0,2)</f>
        <v/>
      </c>
      <c r="BR16" s="3">
        <f>ROUND(0.0,2)</f>
        <v/>
      </c>
      <c r="BS16" s="3">
        <f>ROUND(0.0,2)</f>
        <v/>
      </c>
      <c r="BT16" s="3">
        <f>ROUND(0.0,2)</f>
        <v/>
      </c>
      <c r="BU16" s="3">
        <f>ROUND(0.0,2)</f>
        <v/>
      </c>
      <c r="BV16" s="3">
        <f>ROUND(0.0,2)</f>
        <v/>
      </c>
      <c r="BW16" s="4">
        <f>IFERROR((BQ16/BP16),0)</f>
        <v/>
      </c>
      <c r="BX16" s="4">
        <f>IFERROR(((0+BO11+BO12+BO13+BO14+BO15+BO16)/T2),0)</f>
        <v/>
      </c>
      <c r="BY16" s="5">
        <f>IFERROR(ROUND(BO16/BQ16,2),0)</f>
        <v/>
      </c>
      <c r="BZ16" s="5">
        <f>IFERROR(ROUND(BO16/BR16,2),0)</f>
        <v/>
      </c>
      <c r="CA16" s="2" t="inlineStr">
        <is>
          <t>2023-09-25</t>
        </is>
      </c>
      <c r="CB16" s="5">
        <f>ROUND(0.0,2)</f>
        <v/>
      </c>
      <c r="CC16" s="3">
        <f>ROUND(0.0,2)</f>
        <v/>
      </c>
      <c r="CD16" s="3">
        <f>ROUND(0.0,2)</f>
        <v/>
      </c>
      <c r="CE16" s="3">
        <f>ROUND(0.0,2)</f>
        <v/>
      </c>
      <c r="CF16" s="3">
        <f>ROUND(0.0,2)</f>
        <v/>
      </c>
      <c r="CG16" s="3">
        <f>ROUND(0.0,2)</f>
        <v/>
      </c>
      <c r="CH16" s="3">
        <f>ROUND(0.0,2)</f>
        <v/>
      </c>
      <c r="CI16" s="3">
        <f>ROUND(0.0,2)</f>
        <v/>
      </c>
      <c r="CJ16" s="4">
        <f>IFERROR((CD16/CC16),0)</f>
        <v/>
      </c>
      <c r="CK16" s="4">
        <f>IFERROR(((0+CB11+CB12+CB13+CB14+CB15+CB16)/T2),0)</f>
        <v/>
      </c>
      <c r="CL16" s="5">
        <f>IFERROR(ROUND(CB16/CD16,2),0)</f>
        <v/>
      </c>
      <c r="CM16" s="5">
        <f>IFERROR(ROUND(CB16/CE16,2),0)</f>
        <v/>
      </c>
      <c r="CN16" s="2" t="inlineStr">
        <is>
          <t>2023-09-25</t>
        </is>
      </c>
      <c r="CO16" s="5">
        <f>ROUND(0.0,2)</f>
        <v/>
      </c>
      <c r="CP16" s="3">
        <f>ROUND(0.0,2)</f>
        <v/>
      </c>
      <c r="CQ16" s="3">
        <f>ROUND(0.0,2)</f>
        <v/>
      </c>
      <c r="CR16" s="3">
        <f>ROUND(0.0,2)</f>
        <v/>
      </c>
      <c r="CS16" s="3">
        <f>ROUND(0.0,2)</f>
        <v/>
      </c>
      <c r="CT16" s="3">
        <f>ROUND(0.0,2)</f>
        <v/>
      </c>
      <c r="CU16" s="3">
        <f>ROUND(0.0,2)</f>
        <v/>
      </c>
      <c r="CV16" s="3">
        <f>ROUND(0.0,2)</f>
        <v/>
      </c>
      <c r="CW16" s="4">
        <f>IFERROR((CQ16/CP16),0)</f>
        <v/>
      </c>
      <c r="CX16" s="4">
        <f>IFERROR(((0+CO11+CO12+CO13+CO14+CO15+CO16)/T2),0)</f>
        <v/>
      </c>
      <c r="CY16" s="5">
        <f>IFERROR(ROUND(CO16/CQ16,2),0)</f>
        <v/>
      </c>
      <c r="CZ16" s="5">
        <f>IFERROR(ROUND(CO16/CR16,2),0)</f>
        <v/>
      </c>
      <c r="DA16" s="2" t="inlineStr">
        <is>
          <t>2023-09-25</t>
        </is>
      </c>
      <c r="DB16" s="5">
        <f>ROUND(0.0,2)</f>
        <v/>
      </c>
      <c r="DC16" s="3">
        <f>ROUND(0.0,2)</f>
        <v/>
      </c>
      <c r="DD16" s="3">
        <f>ROUND(0.0,2)</f>
        <v/>
      </c>
      <c r="DE16" s="3">
        <f>ROUND(0.0,2)</f>
        <v/>
      </c>
      <c r="DF16" s="3">
        <f>ROUND(0.0,2)</f>
        <v/>
      </c>
      <c r="DG16" s="3">
        <f>ROUND(0.0,2)</f>
        <v/>
      </c>
      <c r="DH16" s="3">
        <f>ROUND(0.0,2)</f>
        <v/>
      </c>
      <c r="DI16" s="3">
        <f>ROUND(0.0,2)</f>
        <v/>
      </c>
      <c r="DJ16" s="4">
        <f>IFERROR((DD16/DC16),0)</f>
        <v/>
      </c>
      <c r="DK16" s="4">
        <f>IFERROR(((0+DB11+DB12+DB13+DB14+DB15+DB16)/T2),0)</f>
        <v/>
      </c>
      <c r="DL16" s="5">
        <f>IFERROR(ROUND(DB16/DD16,2),0)</f>
        <v/>
      </c>
      <c r="DM16" s="5">
        <f>IFERROR(ROUND(DB16/DE16,2),0)</f>
        <v/>
      </c>
      <c r="DN16" s="2" t="inlineStr">
        <is>
          <t>2023-09-25</t>
        </is>
      </c>
      <c r="DO16" s="5">
        <f>ROUND(0.0,2)</f>
        <v/>
      </c>
      <c r="DP16" s="3">
        <f>ROUND(0.0,2)</f>
        <v/>
      </c>
      <c r="DQ16" s="3">
        <f>ROUND(0.0,2)</f>
        <v/>
      </c>
      <c r="DR16" s="3">
        <f>ROUND(0.0,2)</f>
        <v/>
      </c>
      <c r="DS16" s="3">
        <f>ROUND(0.0,2)</f>
        <v/>
      </c>
      <c r="DT16" s="3">
        <f>ROUND(0.0,2)</f>
        <v/>
      </c>
      <c r="DU16" s="3">
        <f>ROUND(0.0,2)</f>
        <v/>
      </c>
      <c r="DV16" s="3">
        <f>ROUND(0.0,2)</f>
        <v/>
      </c>
      <c r="DW16" s="4">
        <f>IFERROR((DQ16/DP16),0)</f>
        <v/>
      </c>
      <c r="DX16" s="4">
        <f>IFERROR(((0+DO11+DO12+DO13+DO14+DO15+DO16)/T2),0)</f>
        <v/>
      </c>
      <c r="DY16" s="5">
        <f>IFERROR(ROUND(DO16/DQ16,2),0)</f>
        <v/>
      </c>
      <c r="DZ16" s="5">
        <f>IFERROR(ROUND(DO16/DR16,2),0)</f>
        <v/>
      </c>
      <c r="EA16" s="2" t="inlineStr">
        <is>
          <t>2023-09-25</t>
        </is>
      </c>
      <c r="EB16" s="5">
        <f>ROUND(0.0,2)</f>
        <v/>
      </c>
      <c r="EC16" s="3">
        <f>ROUND(0.0,2)</f>
        <v/>
      </c>
      <c r="ED16" s="3">
        <f>ROUND(0.0,2)</f>
        <v/>
      </c>
      <c r="EE16" s="3">
        <f>ROUND(0.0,2)</f>
        <v/>
      </c>
      <c r="EF16" s="3">
        <f>ROUND(0.0,2)</f>
        <v/>
      </c>
      <c r="EG16" s="3">
        <f>ROUND(0.0,2)</f>
        <v/>
      </c>
      <c r="EH16" s="3">
        <f>ROUND(0.0,2)</f>
        <v/>
      </c>
      <c r="EI16" s="3">
        <f>ROUND(0.0,2)</f>
        <v/>
      </c>
      <c r="EJ16" s="4">
        <f>IFERROR((ED16/EC16),0)</f>
        <v/>
      </c>
      <c r="EK16" s="4">
        <f>IFERROR(((0+EB11+EB12+EB13+EB14+EB15+EB16)/T2),0)</f>
        <v/>
      </c>
      <c r="EL16" s="5">
        <f>IFERROR(ROUND(EB16/ED16,2),0)</f>
        <v/>
      </c>
      <c r="EM16" s="5">
        <f>IFERROR(ROUND(EB16/EE16,2),0)</f>
        <v/>
      </c>
      <c r="EN16" s="2" t="inlineStr">
        <is>
          <t>2023-09-25</t>
        </is>
      </c>
      <c r="EO16" s="5">
        <f>ROUND(0.0,2)</f>
        <v/>
      </c>
      <c r="EP16" s="3">
        <f>ROUND(0.0,2)</f>
        <v/>
      </c>
      <c r="EQ16" s="3">
        <f>ROUND(0.0,2)</f>
        <v/>
      </c>
      <c r="ER16" s="3">
        <f>ROUND(0.0,2)</f>
        <v/>
      </c>
      <c r="ES16" s="3">
        <f>ROUND(0.0,2)</f>
        <v/>
      </c>
      <c r="ET16" s="3">
        <f>ROUND(0.0,2)</f>
        <v/>
      </c>
      <c r="EU16" s="3">
        <f>ROUND(0.0,2)</f>
        <v/>
      </c>
      <c r="EV16" s="3">
        <f>ROUND(0.0,2)</f>
        <v/>
      </c>
      <c r="EW16" s="4">
        <f>IFERROR((EQ16/EP16),0)</f>
        <v/>
      </c>
      <c r="EX16" s="4">
        <f>IFERROR(((0+EO11+EO12+EO13+EO14+EO15+EO16)/T2),0)</f>
        <v/>
      </c>
      <c r="EY16" s="5">
        <f>IFERROR(ROUND(EO16/EQ16,2),0)</f>
        <v/>
      </c>
      <c r="EZ16" s="5">
        <f>IFERROR(ROUND(EO16/ER16,2),0)</f>
        <v/>
      </c>
      <c r="FA16" s="2" t="inlineStr">
        <is>
          <t>2023-09-25</t>
        </is>
      </c>
      <c r="FB16" s="5">
        <f>ROUND(0.0,2)</f>
        <v/>
      </c>
      <c r="FC16" s="3">
        <f>ROUND(0.0,2)</f>
        <v/>
      </c>
      <c r="FD16" s="3">
        <f>ROUND(0.0,2)</f>
        <v/>
      </c>
      <c r="FE16" s="3">
        <f>ROUND(0.0,2)</f>
        <v/>
      </c>
      <c r="FF16" s="3">
        <f>ROUND(0.0,2)</f>
        <v/>
      </c>
      <c r="FG16" s="3">
        <f>ROUND(0.0,2)</f>
        <v/>
      </c>
      <c r="FH16" s="3">
        <f>ROUND(0.0,2)</f>
        <v/>
      </c>
      <c r="FI16" s="3">
        <f>ROUND(0.0,2)</f>
        <v/>
      </c>
      <c r="FJ16" s="4">
        <f>IFERROR((FD16/FC16),0)</f>
        <v/>
      </c>
      <c r="FK16" s="4">
        <f>IFERROR(((0+FB11+FB12+FB13+FB14+FB15+FB16)/T2),0)</f>
        <v/>
      </c>
      <c r="FL16" s="5">
        <f>IFERROR(ROUND(FB16/FD16,2),0)</f>
        <v/>
      </c>
      <c r="FM16" s="5">
        <f>IFERROR(ROUND(FB16/FE16,2),0)</f>
        <v/>
      </c>
      <c r="FN16" s="2" t="inlineStr">
        <is>
          <t>2023-09-25</t>
        </is>
      </c>
      <c r="FO16" s="5">
        <f>ROUND(0.0,2)</f>
        <v/>
      </c>
      <c r="FP16" s="3">
        <f>ROUND(0.0,2)</f>
        <v/>
      </c>
      <c r="FQ16" s="3">
        <f>ROUND(0.0,2)</f>
        <v/>
      </c>
      <c r="FR16" s="3">
        <f>ROUND(0.0,2)</f>
        <v/>
      </c>
      <c r="FS16" s="3">
        <f>ROUND(0.0,2)</f>
        <v/>
      </c>
      <c r="FT16" s="3">
        <f>ROUND(0.0,2)</f>
        <v/>
      </c>
      <c r="FU16" s="3">
        <f>ROUND(0.0,2)</f>
        <v/>
      </c>
      <c r="FV16" s="3">
        <f>ROUND(0.0,2)</f>
        <v/>
      </c>
      <c r="FW16" s="4">
        <f>IFERROR((FQ16/FP16),0)</f>
        <v/>
      </c>
      <c r="FX16" s="4">
        <f>IFERROR(((0+FO11+FO12+FO13+FO14+FO15+FO16)/T2),0)</f>
        <v/>
      </c>
      <c r="FY16" s="5">
        <f>IFERROR(ROUND(FO16/FQ16,2),0)</f>
        <v/>
      </c>
      <c r="FZ16" s="5">
        <f>IFERROR(ROUND(FO16/FR16,2),0)</f>
        <v/>
      </c>
      <c r="GA16" s="2" t="inlineStr">
        <is>
          <t>2023-09-25</t>
        </is>
      </c>
      <c r="GB16" s="5">
        <f>ROUND(0.0,2)</f>
        <v/>
      </c>
      <c r="GC16" s="3">
        <f>ROUND(0.0,2)</f>
        <v/>
      </c>
      <c r="GD16" s="3">
        <f>ROUND(0.0,2)</f>
        <v/>
      </c>
      <c r="GE16" s="3">
        <f>ROUND(0.0,2)</f>
        <v/>
      </c>
      <c r="GF16" s="3">
        <f>ROUND(0.0,2)</f>
        <v/>
      </c>
      <c r="GG16" s="3">
        <f>ROUND(0.0,2)</f>
        <v/>
      </c>
      <c r="GH16" s="3">
        <f>ROUND(0.0,2)</f>
        <v/>
      </c>
      <c r="GI16" s="3">
        <f>ROUND(0.0,2)</f>
        <v/>
      </c>
      <c r="GJ16" s="4">
        <f>IFERROR((GD16/GC16),0)</f>
        <v/>
      </c>
      <c r="GK16" s="4">
        <f>IFERROR(((0+GB11+GB12+GB13+GB14+GB15+GB16)/T2),0)</f>
        <v/>
      </c>
      <c r="GL16" s="5">
        <f>IFERROR(ROUND(GB16/GD16,2),0)</f>
        <v/>
      </c>
      <c r="GM16" s="5">
        <f>IFERROR(ROUND(GB16/GE16,2),0)</f>
        <v/>
      </c>
    </row>
    <row r="17">
      <c r="A17" s="2" t="inlineStr">
        <is>
          <t>2023-09-26</t>
        </is>
      </c>
      <c r="B17" s="5">
        <f>ROUND(0.0,2)</f>
        <v/>
      </c>
      <c r="C17" s="3">
        <f>ROUND(0.0,2)</f>
        <v/>
      </c>
      <c r="D17" s="3">
        <f>ROUND(0.0,2)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IFERROR(((0+B11+B12+B13+B14+B15+B16+B17)/T2),0)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2023-09-26</t>
        </is>
      </c>
      <c r="O17" s="5">
        <f>ROUND(0.0,2)</f>
        <v/>
      </c>
      <c r="P17" s="3">
        <f>ROUND(0.0,2)</f>
        <v/>
      </c>
      <c r="Q17" s="3">
        <f>ROUND(0.0,2)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IFERROR(((0+O11+O12+O13+O14+O15+O16+O17)/T2),0)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2023-09-26</t>
        </is>
      </c>
      <c r="AB17" s="5">
        <f>ROUND(0.0,2)</f>
        <v/>
      </c>
      <c r="AC17" s="3">
        <f>ROUND(0.0,2)</f>
        <v/>
      </c>
      <c r="AD17" s="3">
        <f>ROUND(0.0,2)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IFERROR(((0+AB11+AB12+AB13+AB14+AB15+AB16+AB17)/T2),0)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2023-09-26</t>
        </is>
      </c>
      <c r="AO17" s="5">
        <f>ROUND(0.0,2)</f>
        <v/>
      </c>
      <c r="AP17" s="3">
        <f>ROUND(0.0,2)</f>
        <v/>
      </c>
      <c r="AQ17" s="3">
        <f>ROUND(0.0,2)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IFERROR(((0+AO11+AO12+AO13+AO14+AO15+AO16+AO17)/T2),0)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2023-09-26</t>
        </is>
      </c>
      <c r="BB17" s="5">
        <f>ROUND(0.0,2)</f>
        <v/>
      </c>
      <c r="BC17" s="3">
        <f>ROUND(0.0,2)</f>
        <v/>
      </c>
      <c r="BD17" s="3">
        <f>ROUND(0.0,2)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IFERROR(((0+BB11+BB12+BB13+BB14+BB15+BB16+BB17)/T2),0)</f>
        <v/>
      </c>
      <c r="BL17" s="5">
        <f>IFERROR(ROUND(BB17/BD17,2),0)</f>
        <v/>
      </c>
      <c r="BM17" s="5">
        <f>IFERROR(ROUND(BB17/BE17,2),0)</f>
        <v/>
      </c>
      <c r="BN17" s="2" t="inlineStr">
        <is>
          <t>2023-09-26</t>
        </is>
      </c>
      <c r="BO17" s="5">
        <f>ROUND(0.0,2)</f>
        <v/>
      </c>
      <c r="BP17" s="3">
        <f>ROUND(0.0,2)</f>
        <v/>
      </c>
      <c r="BQ17" s="3">
        <f>ROUND(0.0,2)</f>
        <v/>
      </c>
      <c r="BR17" s="3">
        <f>ROUND(0.0,2)</f>
        <v/>
      </c>
      <c r="BS17" s="3">
        <f>ROUND(0.0,2)</f>
        <v/>
      </c>
      <c r="BT17" s="3">
        <f>ROUND(0.0,2)</f>
        <v/>
      </c>
      <c r="BU17" s="3">
        <f>ROUND(0.0,2)</f>
        <v/>
      </c>
      <c r="BV17" s="3">
        <f>ROUND(0.0,2)</f>
        <v/>
      </c>
      <c r="BW17" s="4">
        <f>IFERROR((BQ17/BP17),0)</f>
        <v/>
      </c>
      <c r="BX17" s="4">
        <f>IFERROR(((0+BO11+BO12+BO13+BO14+BO15+BO16+BO17)/T2),0)</f>
        <v/>
      </c>
      <c r="BY17" s="5">
        <f>IFERROR(ROUND(BO17/BQ17,2),0)</f>
        <v/>
      </c>
      <c r="BZ17" s="5">
        <f>IFERROR(ROUND(BO17/BR17,2),0)</f>
        <v/>
      </c>
      <c r="CA17" s="2" t="inlineStr">
        <is>
          <t>2023-09-26</t>
        </is>
      </c>
      <c r="CB17" s="5">
        <f>ROUND(0.0,2)</f>
        <v/>
      </c>
      <c r="CC17" s="3">
        <f>ROUND(0.0,2)</f>
        <v/>
      </c>
      <c r="CD17" s="3">
        <f>ROUND(0.0,2)</f>
        <v/>
      </c>
      <c r="CE17" s="3">
        <f>ROUND(0.0,2)</f>
        <v/>
      </c>
      <c r="CF17" s="3">
        <f>ROUND(0.0,2)</f>
        <v/>
      </c>
      <c r="CG17" s="3">
        <f>ROUND(0.0,2)</f>
        <v/>
      </c>
      <c r="CH17" s="3">
        <f>ROUND(0.0,2)</f>
        <v/>
      </c>
      <c r="CI17" s="3">
        <f>ROUND(0.0,2)</f>
        <v/>
      </c>
      <c r="CJ17" s="4">
        <f>IFERROR((CD17/CC17),0)</f>
        <v/>
      </c>
      <c r="CK17" s="4">
        <f>IFERROR(((0+CB11+CB12+CB13+CB14+CB15+CB16+CB17)/T2),0)</f>
        <v/>
      </c>
      <c r="CL17" s="5">
        <f>IFERROR(ROUND(CB17/CD17,2),0)</f>
        <v/>
      </c>
      <c r="CM17" s="5">
        <f>IFERROR(ROUND(CB17/CE17,2),0)</f>
        <v/>
      </c>
      <c r="CN17" s="2" t="inlineStr">
        <is>
          <t>2023-09-26</t>
        </is>
      </c>
      <c r="CO17" s="5">
        <f>ROUND(0.0,2)</f>
        <v/>
      </c>
      <c r="CP17" s="3">
        <f>ROUND(0.0,2)</f>
        <v/>
      </c>
      <c r="CQ17" s="3">
        <f>ROUND(0.0,2)</f>
        <v/>
      </c>
      <c r="CR17" s="3">
        <f>ROUND(0.0,2)</f>
        <v/>
      </c>
      <c r="CS17" s="3">
        <f>ROUND(0.0,2)</f>
        <v/>
      </c>
      <c r="CT17" s="3">
        <f>ROUND(0.0,2)</f>
        <v/>
      </c>
      <c r="CU17" s="3">
        <f>ROUND(0.0,2)</f>
        <v/>
      </c>
      <c r="CV17" s="3">
        <f>ROUND(0.0,2)</f>
        <v/>
      </c>
      <c r="CW17" s="4">
        <f>IFERROR((CQ17/CP17),0)</f>
        <v/>
      </c>
      <c r="CX17" s="4">
        <f>IFERROR(((0+CO11+CO12+CO13+CO14+CO15+CO16+CO17)/T2),0)</f>
        <v/>
      </c>
      <c r="CY17" s="5">
        <f>IFERROR(ROUND(CO17/CQ17,2),0)</f>
        <v/>
      </c>
      <c r="CZ17" s="5">
        <f>IFERROR(ROUND(CO17/CR17,2),0)</f>
        <v/>
      </c>
      <c r="DA17" s="2" t="inlineStr">
        <is>
          <t>2023-09-26</t>
        </is>
      </c>
      <c r="DB17" s="5">
        <f>ROUND(0.0,2)</f>
        <v/>
      </c>
      <c r="DC17" s="3">
        <f>ROUND(0.0,2)</f>
        <v/>
      </c>
      <c r="DD17" s="3">
        <f>ROUND(0.0,2)</f>
        <v/>
      </c>
      <c r="DE17" s="3">
        <f>ROUND(0.0,2)</f>
        <v/>
      </c>
      <c r="DF17" s="3">
        <f>ROUND(0.0,2)</f>
        <v/>
      </c>
      <c r="DG17" s="3">
        <f>ROUND(0.0,2)</f>
        <v/>
      </c>
      <c r="DH17" s="3">
        <f>ROUND(0.0,2)</f>
        <v/>
      </c>
      <c r="DI17" s="3">
        <f>ROUND(0.0,2)</f>
        <v/>
      </c>
      <c r="DJ17" s="4">
        <f>IFERROR((DD17/DC17),0)</f>
        <v/>
      </c>
      <c r="DK17" s="4">
        <f>IFERROR(((0+DB11+DB12+DB13+DB14+DB15+DB16+DB17)/T2),0)</f>
        <v/>
      </c>
      <c r="DL17" s="5">
        <f>IFERROR(ROUND(DB17/DD17,2),0)</f>
        <v/>
      </c>
      <c r="DM17" s="5">
        <f>IFERROR(ROUND(DB17/DE17,2),0)</f>
        <v/>
      </c>
      <c r="DN17" s="2" t="inlineStr">
        <is>
          <t>2023-09-26</t>
        </is>
      </c>
      <c r="DO17" s="5">
        <f>ROUND(0.0,2)</f>
        <v/>
      </c>
      <c r="DP17" s="3">
        <f>ROUND(0.0,2)</f>
        <v/>
      </c>
      <c r="DQ17" s="3">
        <f>ROUND(0.0,2)</f>
        <v/>
      </c>
      <c r="DR17" s="3">
        <f>ROUND(0.0,2)</f>
        <v/>
      </c>
      <c r="DS17" s="3">
        <f>ROUND(0.0,2)</f>
        <v/>
      </c>
      <c r="DT17" s="3">
        <f>ROUND(0.0,2)</f>
        <v/>
      </c>
      <c r="DU17" s="3">
        <f>ROUND(0.0,2)</f>
        <v/>
      </c>
      <c r="DV17" s="3">
        <f>ROUND(0.0,2)</f>
        <v/>
      </c>
      <c r="DW17" s="4">
        <f>IFERROR((DQ17/DP17),0)</f>
        <v/>
      </c>
      <c r="DX17" s="4">
        <f>IFERROR(((0+DO11+DO12+DO13+DO14+DO15+DO16+DO17)/T2),0)</f>
        <v/>
      </c>
      <c r="DY17" s="5">
        <f>IFERROR(ROUND(DO17/DQ17,2),0)</f>
        <v/>
      </c>
      <c r="DZ17" s="5">
        <f>IFERROR(ROUND(DO17/DR17,2),0)</f>
        <v/>
      </c>
      <c r="EA17" s="2" t="inlineStr">
        <is>
          <t>2023-09-26</t>
        </is>
      </c>
      <c r="EB17" s="5">
        <f>ROUND(0.0,2)</f>
        <v/>
      </c>
      <c r="EC17" s="3">
        <f>ROUND(0.0,2)</f>
        <v/>
      </c>
      <c r="ED17" s="3">
        <f>ROUND(0.0,2)</f>
        <v/>
      </c>
      <c r="EE17" s="3">
        <f>ROUND(0.0,2)</f>
        <v/>
      </c>
      <c r="EF17" s="3">
        <f>ROUND(0.0,2)</f>
        <v/>
      </c>
      <c r="EG17" s="3">
        <f>ROUND(0.0,2)</f>
        <v/>
      </c>
      <c r="EH17" s="3">
        <f>ROUND(0.0,2)</f>
        <v/>
      </c>
      <c r="EI17" s="3">
        <f>ROUND(0.0,2)</f>
        <v/>
      </c>
      <c r="EJ17" s="4">
        <f>IFERROR((ED17/EC17),0)</f>
        <v/>
      </c>
      <c r="EK17" s="4">
        <f>IFERROR(((0+EB11+EB12+EB13+EB14+EB15+EB16+EB17)/T2),0)</f>
        <v/>
      </c>
      <c r="EL17" s="5">
        <f>IFERROR(ROUND(EB17/ED17,2),0)</f>
        <v/>
      </c>
      <c r="EM17" s="5">
        <f>IFERROR(ROUND(EB17/EE17,2),0)</f>
        <v/>
      </c>
      <c r="EN17" s="2" t="inlineStr">
        <is>
          <t>2023-09-26</t>
        </is>
      </c>
      <c r="EO17" s="5">
        <f>ROUND(0.0,2)</f>
        <v/>
      </c>
      <c r="EP17" s="3">
        <f>ROUND(0.0,2)</f>
        <v/>
      </c>
      <c r="EQ17" s="3">
        <f>ROUND(0.0,2)</f>
        <v/>
      </c>
      <c r="ER17" s="3">
        <f>ROUND(0.0,2)</f>
        <v/>
      </c>
      <c r="ES17" s="3">
        <f>ROUND(0.0,2)</f>
        <v/>
      </c>
      <c r="ET17" s="3">
        <f>ROUND(0.0,2)</f>
        <v/>
      </c>
      <c r="EU17" s="3">
        <f>ROUND(0.0,2)</f>
        <v/>
      </c>
      <c r="EV17" s="3">
        <f>ROUND(0.0,2)</f>
        <v/>
      </c>
      <c r="EW17" s="4">
        <f>IFERROR((EQ17/EP17),0)</f>
        <v/>
      </c>
      <c r="EX17" s="4">
        <f>IFERROR(((0+EO11+EO12+EO13+EO14+EO15+EO16+EO17)/T2),0)</f>
        <v/>
      </c>
      <c r="EY17" s="5">
        <f>IFERROR(ROUND(EO17/EQ17,2),0)</f>
        <v/>
      </c>
      <c r="EZ17" s="5">
        <f>IFERROR(ROUND(EO17/ER17,2),0)</f>
        <v/>
      </c>
      <c r="FA17" s="2" t="inlineStr">
        <is>
          <t>2023-09-26</t>
        </is>
      </c>
      <c r="FB17" s="5">
        <f>ROUND(0.0,2)</f>
        <v/>
      </c>
      <c r="FC17" s="3">
        <f>ROUND(0.0,2)</f>
        <v/>
      </c>
      <c r="FD17" s="3">
        <f>ROUND(0.0,2)</f>
        <v/>
      </c>
      <c r="FE17" s="3">
        <f>ROUND(0.0,2)</f>
        <v/>
      </c>
      <c r="FF17" s="3">
        <f>ROUND(0.0,2)</f>
        <v/>
      </c>
      <c r="FG17" s="3">
        <f>ROUND(0.0,2)</f>
        <v/>
      </c>
      <c r="FH17" s="3">
        <f>ROUND(0.0,2)</f>
        <v/>
      </c>
      <c r="FI17" s="3">
        <f>ROUND(0.0,2)</f>
        <v/>
      </c>
      <c r="FJ17" s="4">
        <f>IFERROR((FD17/FC17),0)</f>
        <v/>
      </c>
      <c r="FK17" s="4">
        <f>IFERROR(((0+FB11+FB12+FB13+FB14+FB15+FB16+FB17)/T2),0)</f>
        <v/>
      </c>
      <c r="FL17" s="5">
        <f>IFERROR(ROUND(FB17/FD17,2),0)</f>
        <v/>
      </c>
      <c r="FM17" s="5">
        <f>IFERROR(ROUND(FB17/FE17,2),0)</f>
        <v/>
      </c>
      <c r="FN17" s="2" t="inlineStr">
        <is>
          <t>2023-09-26</t>
        </is>
      </c>
      <c r="FO17" s="5">
        <f>ROUND(0.0,2)</f>
        <v/>
      </c>
      <c r="FP17" s="3">
        <f>ROUND(0.0,2)</f>
        <v/>
      </c>
      <c r="FQ17" s="3">
        <f>ROUND(0.0,2)</f>
        <v/>
      </c>
      <c r="FR17" s="3">
        <f>ROUND(0.0,2)</f>
        <v/>
      </c>
      <c r="FS17" s="3">
        <f>ROUND(0.0,2)</f>
        <v/>
      </c>
      <c r="FT17" s="3">
        <f>ROUND(0.0,2)</f>
        <v/>
      </c>
      <c r="FU17" s="3">
        <f>ROUND(0.0,2)</f>
        <v/>
      </c>
      <c r="FV17" s="3">
        <f>ROUND(0.0,2)</f>
        <v/>
      </c>
      <c r="FW17" s="4">
        <f>IFERROR((FQ17/FP17),0)</f>
        <v/>
      </c>
      <c r="FX17" s="4">
        <f>IFERROR(((0+FO11+FO12+FO13+FO14+FO15+FO16+FO17)/T2),0)</f>
        <v/>
      </c>
      <c r="FY17" s="5">
        <f>IFERROR(ROUND(FO17/FQ17,2),0)</f>
        <v/>
      </c>
      <c r="FZ17" s="5">
        <f>IFERROR(ROUND(FO17/FR17,2),0)</f>
        <v/>
      </c>
      <c r="GA17" s="2" t="inlineStr">
        <is>
          <t>2023-09-26</t>
        </is>
      </c>
      <c r="GB17" s="5">
        <f>ROUND(0.0,2)</f>
        <v/>
      </c>
      <c r="GC17" s="3">
        <f>ROUND(0.0,2)</f>
        <v/>
      </c>
      <c r="GD17" s="3">
        <f>ROUND(0.0,2)</f>
        <v/>
      </c>
      <c r="GE17" s="3">
        <f>ROUND(0.0,2)</f>
        <v/>
      </c>
      <c r="GF17" s="3">
        <f>ROUND(0.0,2)</f>
        <v/>
      </c>
      <c r="GG17" s="3">
        <f>ROUND(0.0,2)</f>
        <v/>
      </c>
      <c r="GH17" s="3">
        <f>ROUND(0.0,2)</f>
        <v/>
      </c>
      <c r="GI17" s="3">
        <f>ROUND(0.0,2)</f>
        <v/>
      </c>
      <c r="GJ17" s="4">
        <f>IFERROR((GD17/GC17),0)</f>
        <v/>
      </c>
      <c r="GK17" s="4">
        <f>IFERROR(((0+GB11+GB12+GB13+GB14+GB15+GB16+GB17)/T2),0)</f>
        <v/>
      </c>
      <c r="GL17" s="5">
        <f>IFERROR(ROUND(GB17/GD17,2),0)</f>
        <v/>
      </c>
      <c r="GM17" s="5">
        <f>IFERROR(ROUND(GB17/GE17,2),0)</f>
        <v/>
      </c>
    </row>
    <row r="18">
      <c r="A18" s="2" t="inlineStr">
        <is>
          <t>1 Weekly Total</t>
        </is>
      </c>
      <c r="B18" s="5">
        <f>ROUND(0.0,2)</f>
        <v/>
      </c>
      <c r="C18" s="3">
        <f>ROUND(0.0,2)</f>
        <v/>
      </c>
      <c r="D18" s="3">
        <f>ROUND(0.0,2)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IFERROR(((0+B11+B12+B13+B14+B15+B16+B17)/T2),0)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1 Weekly Total</t>
        </is>
      </c>
      <c r="O18" s="5">
        <f>ROUND(0.0,2)</f>
        <v/>
      </c>
      <c r="P18" s="3">
        <f>ROUND(0.0,2)</f>
        <v/>
      </c>
      <c r="Q18" s="3">
        <f>ROUND(0.0,2)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IFERROR(((0+O11+O12+O13+O14+O15+O16+O17)/T2),0)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1 Weekly Total</t>
        </is>
      </c>
      <c r="AB18" s="5">
        <f>ROUND(0.0,2)</f>
        <v/>
      </c>
      <c r="AC18" s="3">
        <f>ROUND(0.0,2)</f>
        <v/>
      </c>
      <c r="AD18" s="3">
        <f>ROUND(0.0,2)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IFERROR(((0+AB11+AB12+AB13+AB14+AB15+AB16+AB17)/T2),0)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1 Weekly Total</t>
        </is>
      </c>
      <c r="AO18" s="5">
        <f>ROUND(0.0,2)</f>
        <v/>
      </c>
      <c r="AP18" s="3">
        <f>ROUND(0.0,2)</f>
        <v/>
      </c>
      <c r="AQ18" s="3">
        <f>ROUND(0.0,2)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IFERROR(((0+AO11+AO12+AO13+AO14+AO15+AO16+AO17)/T2),0)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1 Weekly Total</t>
        </is>
      </c>
      <c r="BB18" s="5">
        <f>ROUND(0.0,2)</f>
        <v/>
      </c>
      <c r="BC18" s="3">
        <f>ROUND(0.0,2)</f>
        <v/>
      </c>
      <c r="BD18" s="3">
        <f>ROUND(0.0,2)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IFERROR(((0+BB11+BB12+BB13+BB14+BB15+BB16+BB17)/T2),0)</f>
        <v/>
      </c>
      <c r="BL18" s="5">
        <f>IFERROR(ROUND(BB18/BD18,2),0)</f>
        <v/>
      </c>
      <c r="BM18" s="5">
        <f>IFERROR(ROUND(BB18/BE18,2),0)</f>
        <v/>
      </c>
      <c r="BN18" s="2" t="inlineStr">
        <is>
          <t>1 Weekly Total</t>
        </is>
      </c>
      <c r="BO18" s="5">
        <f>ROUND(0.0,2)</f>
        <v/>
      </c>
      <c r="BP18" s="3">
        <f>ROUND(0.0,2)</f>
        <v/>
      </c>
      <c r="BQ18" s="3">
        <f>ROUND(0.0,2)</f>
        <v/>
      </c>
      <c r="BR18" s="3">
        <f>ROUND(0.0,2)</f>
        <v/>
      </c>
      <c r="BS18" s="3">
        <f>ROUND(0.0,2)</f>
        <v/>
      </c>
      <c r="BT18" s="3">
        <f>ROUND(0.0,2)</f>
        <v/>
      </c>
      <c r="BU18" s="3">
        <f>ROUND(0.0,2)</f>
        <v/>
      </c>
      <c r="BV18" s="3">
        <f>ROUND(0.0,2)</f>
        <v/>
      </c>
      <c r="BW18" s="4">
        <f>IFERROR((BQ18/BP18),0)</f>
        <v/>
      </c>
      <c r="BX18" s="4">
        <f>IFERROR(((0+BO11+BO12+BO13+BO14+BO15+BO16+BO17)/T2),0)</f>
        <v/>
      </c>
      <c r="BY18" s="5">
        <f>IFERROR(ROUND(BO18/BQ18,2),0)</f>
        <v/>
      </c>
      <c r="BZ18" s="5">
        <f>IFERROR(ROUND(BO18/BR18,2),0)</f>
        <v/>
      </c>
      <c r="CA18" s="2" t="inlineStr">
        <is>
          <t>1 Weekly Total</t>
        </is>
      </c>
      <c r="CB18" s="5">
        <f>ROUND(0.0,2)</f>
        <v/>
      </c>
      <c r="CC18" s="3">
        <f>ROUND(0.0,2)</f>
        <v/>
      </c>
      <c r="CD18" s="3">
        <f>ROUND(0.0,2)</f>
        <v/>
      </c>
      <c r="CE18" s="3">
        <f>ROUND(0.0,2)</f>
        <v/>
      </c>
      <c r="CF18" s="3">
        <f>ROUND(0.0,2)</f>
        <v/>
      </c>
      <c r="CG18" s="3">
        <f>ROUND(0.0,2)</f>
        <v/>
      </c>
      <c r="CH18" s="3">
        <f>ROUND(0.0,2)</f>
        <v/>
      </c>
      <c r="CI18" s="3">
        <f>ROUND(0.0,2)</f>
        <v/>
      </c>
      <c r="CJ18" s="4">
        <f>IFERROR((CD18/CC18),0)</f>
        <v/>
      </c>
      <c r="CK18" s="4">
        <f>IFERROR(((0+CB11+CB12+CB13+CB14+CB15+CB16+CB17)/T2),0)</f>
        <v/>
      </c>
      <c r="CL18" s="5">
        <f>IFERROR(ROUND(CB18/CD18,2),0)</f>
        <v/>
      </c>
      <c r="CM18" s="5">
        <f>IFERROR(ROUND(CB18/CE18,2),0)</f>
        <v/>
      </c>
      <c r="CN18" s="2" t="inlineStr">
        <is>
          <t>1 Weekly Total</t>
        </is>
      </c>
      <c r="CO18" s="5">
        <f>ROUND(0.0,2)</f>
        <v/>
      </c>
      <c r="CP18" s="3">
        <f>ROUND(0.0,2)</f>
        <v/>
      </c>
      <c r="CQ18" s="3">
        <f>ROUND(0.0,2)</f>
        <v/>
      </c>
      <c r="CR18" s="3">
        <f>ROUND(0.0,2)</f>
        <v/>
      </c>
      <c r="CS18" s="3">
        <f>ROUND(0.0,2)</f>
        <v/>
      </c>
      <c r="CT18" s="3">
        <f>ROUND(0.0,2)</f>
        <v/>
      </c>
      <c r="CU18" s="3">
        <f>ROUND(0.0,2)</f>
        <v/>
      </c>
      <c r="CV18" s="3">
        <f>ROUND(0.0,2)</f>
        <v/>
      </c>
      <c r="CW18" s="4">
        <f>IFERROR((CQ18/CP18),0)</f>
        <v/>
      </c>
      <c r="CX18" s="4">
        <f>IFERROR(((0+CO11+CO12+CO13+CO14+CO15+CO16+CO17)/T2),0)</f>
        <v/>
      </c>
      <c r="CY18" s="5">
        <f>IFERROR(ROUND(CO18/CQ18,2),0)</f>
        <v/>
      </c>
      <c r="CZ18" s="5">
        <f>IFERROR(ROUND(CO18/CR18,2),0)</f>
        <v/>
      </c>
      <c r="DA18" s="2" t="inlineStr">
        <is>
          <t>1 Weekly Total</t>
        </is>
      </c>
      <c r="DB18" s="5">
        <f>ROUND(0.0,2)</f>
        <v/>
      </c>
      <c r="DC18" s="3">
        <f>ROUND(0.0,2)</f>
        <v/>
      </c>
      <c r="DD18" s="3">
        <f>ROUND(0.0,2)</f>
        <v/>
      </c>
      <c r="DE18" s="3">
        <f>ROUND(0.0,2)</f>
        <v/>
      </c>
      <c r="DF18" s="3">
        <f>ROUND(0.0,2)</f>
        <v/>
      </c>
      <c r="DG18" s="3">
        <f>ROUND(0.0,2)</f>
        <v/>
      </c>
      <c r="DH18" s="3">
        <f>ROUND(0.0,2)</f>
        <v/>
      </c>
      <c r="DI18" s="3">
        <f>ROUND(0.0,2)</f>
        <v/>
      </c>
      <c r="DJ18" s="4">
        <f>IFERROR((DD18/DC18),0)</f>
        <v/>
      </c>
      <c r="DK18" s="4">
        <f>IFERROR(((0+DB11+DB12+DB13+DB14+DB15+DB16+DB17)/T2),0)</f>
        <v/>
      </c>
      <c r="DL18" s="5">
        <f>IFERROR(ROUND(DB18/DD18,2),0)</f>
        <v/>
      </c>
      <c r="DM18" s="5">
        <f>IFERROR(ROUND(DB18/DE18,2),0)</f>
        <v/>
      </c>
      <c r="DN18" s="2" t="inlineStr">
        <is>
          <t>1 Weekly Total</t>
        </is>
      </c>
      <c r="DO18" s="5">
        <f>ROUND(0.0,2)</f>
        <v/>
      </c>
      <c r="DP18" s="3">
        <f>ROUND(0.0,2)</f>
        <v/>
      </c>
      <c r="DQ18" s="3">
        <f>ROUND(0.0,2)</f>
        <v/>
      </c>
      <c r="DR18" s="3">
        <f>ROUND(0.0,2)</f>
        <v/>
      </c>
      <c r="DS18" s="3">
        <f>ROUND(0.0,2)</f>
        <v/>
      </c>
      <c r="DT18" s="3">
        <f>ROUND(0.0,2)</f>
        <v/>
      </c>
      <c r="DU18" s="3">
        <f>ROUND(0.0,2)</f>
        <v/>
      </c>
      <c r="DV18" s="3">
        <f>ROUND(0.0,2)</f>
        <v/>
      </c>
      <c r="DW18" s="4">
        <f>IFERROR((DQ18/DP18),0)</f>
        <v/>
      </c>
      <c r="DX18" s="4">
        <f>IFERROR(((0+DO11+DO12+DO13+DO14+DO15+DO16+DO17)/T2),0)</f>
        <v/>
      </c>
      <c r="DY18" s="5">
        <f>IFERROR(ROUND(DO18/DQ18,2),0)</f>
        <v/>
      </c>
      <c r="DZ18" s="5">
        <f>IFERROR(ROUND(DO18/DR18,2),0)</f>
        <v/>
      </c>
      <c r="EA18" s="2" t="inlineStr">
        <is>
          <t>1 Weekly Total</t>
        </is>
      </c>
      <c r="EB18" s="5">
        <f>ROUND(0.0,2)</f>
        <v/>
      </c>
      <c r="EC18" s="3">
        <f>ROUND(0.0,2)</f>
        <v/>
      </c>
      <c r="ED18" s="3">
        <f>ROUND(0.0,2)</f>
        <v/>
      </c>
      <c r="EE18" s="3">
        <f>ROUND(0.0,2)</f>
        <v/>
      </c>
      <c r="EF18" s="3">
        <f>ROUND(0.0,2)</f>
        <v/>
      </c>
      <c r="EG18" s="3">
        <f>ROUND(0.0,2)</f>
        <v/>
      </c>
      <c r="EH18" s="3">
        <f>ROUND(0.0,2)</f>
        <v/>
      </c>
      <c r="EI18" s="3">
        <f>ROUND(0.0,2)</f>
        <v/>
      </c>
      <c r="EJ18" s="4">
        <f>IFERROR((ED18/EC18),0)</f>
        <v/>
      </c>
      <c r="EK18" s="4">
        <f>IFERROR(((0+EB11+EB12+EB13+EB14+EB15+EB16+EB17)/T2),0)</f>
        <v/>
      </c>
      <c r="EL18" s="5">
        <f>IFERROR(ROUND(EB18/ED18,2),0)</f>
        <v/>
      </c>
      <c r="EM18" s="5">
        <f>IFERROR(ROUND(EB18/EE18,2),0)</f>
        <v/>
      </c>
      <c r="EN18" s="2" t="inlineStr">
        <is>
          <t>1 Weekly Total</t>
        </is>
      </c>
      <c r="EO18" s="5">
        <f>ROUND(0.0,2)</f>
        <v/>
      </c>
      <c r="EP18" s="3">
        <f>ROUND(0.0,2)</f>
        <v/>
      </c>
      <c r="EQ18" s="3">
        <f>ROUND(0.0,2)</f>
        <v/>
      </c>
      <c r="ER18" s="3">
        <f>ROUND(0.0,2)</f>
        <v/>
      </c>
      <c r="ES18" s="3">
        <f>ROUND(0.0,2)</f>
        <v/>
      </c>
      <c r="ET18" s="3">
        <f>ROUND(0.0,2)</f>
        <v/>
      </c>
      <c r="EU18" s="3">
        <f>ROUND(0.0,2)</f>
        <v/>
      </c>
      <c r="EV18" s="3">
        <f>ROUND(0.0,2)</f>
        <v/>
      </c>
      <c r="EW18" s="4">
        <f>IFERROR((EQ18/EP18),0)</f>
        <v/>
      </c>
      <c r="EX18" s="4">
        <f>IFERROR(((0+EO11+EO12+EO13+EO14+EO15+EO16+EO17)/T2),0)</f>
        <v/>
      </c>
      <c r="EY18" s="5">
        <f>IFERROR(ROUND(EO18/EQ18,2),0)</f>
        <v/>
      </c>
      <c r="EZ18" s="5">
        <f>IFERROR(ROUND(EO18/ER18,2),0)</f>
        <v/>
      </c>
      <c r="FA18" s="2" t="inlineStr">
        <is>
          <t>1 Weekly Total</t>
        </is>
      </c>
      <c r="FB18" s="5">
        <f>ROUND(0.0,2)</f>
        <v/>
      </c>
      <c r="FC18" s="3">
        <f>ROUND(0.0,2)</f>
        <v/>
      </c>
      <c r="FD18" s="3">
        <f>ROUND(0.0,2)</f>
        <v/>
      </c>
      <c r="FE18" s="3">
        <f>ROUND(0.0,2)</f>
        <v/>
      </c>
      <c r="FF18" s="3">
        <f>ROUND(0.0,2)</f>
        <v/>
      </c>
      <c r="FG18" s="3">
        <f>ROUND(0.0,2)</f>
        <v/>
      </c>
      <c r="FH18" s="3">
        <f>ROUND(0.0,2)</f>
        <v/>
      </c>
      <c r="FI18" s="3">
        <f>ROUND(0.0,2)</f>
        <v/>
      </c>
      <c r="FJ18" s="4">
        <f>IFERROR((FD18/FC18),0)</f>
        <v/>
      </c>
      <c r="FK18" s="4">
        <f>IFERROR(((0+FB11+FB12+FB13+FB14+FB15+FB16+FB17)/T2),0)</f>
        <v/>
      </c>
      <c r="FL18" s="5">
        <f>IFERROR(ROUND(FB18/FD18,2),0)</f>
        <v/>
      </c>
      <c r="FM18" s="5">
        <f>IFERROR(ROUND(FB18/FE18,2),0)</f>
        <v/>
      </c>
      <c r="FN18" s="2" t="inlineStr">
        <is>
          <t>1 Weekly Total</t>
        </is>
      </c>
      <c r="FO18" s="5">
        <f>ROUND(0.0,2)</f>
        <v/>
      </c>
      <c r="FP18" s="3">
        <f>ROUND(0.0,2)</f>
        <v/>
      </c>
      <c r="FQ18" s="3">
        <f>ROUND(0.0,2)</f>
        <v/>
      </c>
      <c r="FR18" s="3">
        <f>ROUND(0.0,2)</f>
        <v/>
      </c>
      <c r="FS18" s="3">
        <f>ROUND(0.0,2)</f>
        <v/>
      </c>
      <c r="FT18" s="3">
        <f>ROUND(0.0,2)</f>
        <v/>
      </c>
      <c r="FU18" s="3">
        <f>ROUND(0.0,2)</f>
        <v/>
      </c>
      <c r="FV18" s="3">
        <f>ROUND(0.0,2)</f>
        <v/>
      </c>
      <c r="FW18" s="4">
        <f>IFERROR((FQ18/FP18),0)</f>
        <v/>
      </c>
      <c r="FX18" s="4">
        <f>IFERROR(((0+FO11+FO12+FO13+FO14+FO15+FO16+FO17)/T2),0)</f>
        <v/>
      </c>
      <c r="FY18" s="5">
        <f>IFERROR(ROUND(FO18/FQ18,2),0)</f>
        <v/>
      </c>
      <c r="FZ18" s="5">
        <f>IFERROR(ROUND(FO18/FR18,2),0)</f>
        <v/>
      </c>
      <c r="GA18" s="2" t="inlineStr">
        <is>
          <t>1 Weekly Total</t>
        </is>
      </c>
      <c r="GB18" s="5">
        <f>ROUND(0.0,2)</f>
        <v/>
      </c>
      <c r="GC18" s="3">
        <f>ROUND(0.0,2)</f>
        <v/>
      </c>
      <c r="GD18" s="3">
        <f>ROUND(0.0,2)</f>
        <v/>
      </c>
      <c r="GE18" s="3">
        <f>ROUND(0.0,2)</f>
        <v/>
      </c>
      <c r="GF18" s="3">
        <f>ROUND(0.0,2)</f>
        <v/>
      </c>
      <c r="GG18" s="3">
        <f>ROUND(0.0,2)</f>
        <v/>
      </c>
      <c r="GH18" s="3">
        <f>ROUND(0.0,2)</f>
        <v/>
      </c>
      <c r="GI18" s="3">
        <f>ROUND(0.0,2)</f>
        <v/>
      </c>
      <c r="GJ18" s="4">
        <f>IFERROR((GD18/GC18),0)</f>
        <v/>
      </c>
      <c r="GK18" s="4">
        <f>IFERROR(((0+GB11+GB12+GB13+GB14+GB15+GB16+GB17)/T2),0)</f>
        <v/>
      </c>
      <c r="GL18" s="5">
        <f>IFERROR(ROUND(GB18/GD18,2),0)</f>
        <v/>
      </c>
      <c r="GM18" s="5">
        <f>IFERROR(ROUND(GB18/GE18,2),0)</f>
        <v/>
      </c>
    </row>
    <row r="19">
      <c r="A19" s="2" t="inlineStr">
        <is>
          <t>2023-09-27</t>
        </is>
      </c>
      <c r="B19" s="5">
        <f>ROUND(0.0,2)</f>
        <v/>
      </c>
      <c r="C19" s="3">
        <f>ROUND(0.0,2)</f>
        <v/>
      </c>
      <c r="D19" s="3">
        <f>ROUND(0.0,2)</f>
        <v/>
      </c>
      <c r="E19" s="3">
        <f>ROUND(0.0,2)</f>
        <v/>
      </c>
      <c r="F19" s="3">
        <f>ROUND(0.0,2)</f>
        <v/>
      </c>
      <c r="G19" s="3">
        <f>ROUND(0.0,2)</f>
        <v/>
      </c>
      <c r="H19" s="3">
        <f>ROUND(0.0,2)</f>
        <v/>
      </c>
      <c r="I19" s="3">
        <f>ROUND(0.0,2)</f>
        <v/>
      </c>
      <c r="J19" s="4">
        <f>IFERROR((D19/C19),0)</f>
        <v/>
      </c>
      <c r="K19" s="4">
        <f>IFERROR(((0+B11+B12+B13+B14+B15+B16+B17+B19)/T2),0)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2023-09-27</t>
        </is>
      </c>
      <c r="O19" s="5">
        <f>ROUND(0.0,2)</f>
        <v/>
      </c>
      <c r="P19" s="3">
        <f>ROUND(0.0,2)</f>
        <v/>
      </c>
      <c r="Q19" s="3">
        <f>ROUND(0.0,2)</f>
        <v/>
      </c>
      <c r="R19" s="3">
        <f>ROUND(0.0,2)</f>
        <v/>
      </c>
      <c r="S19" s="3">
        <f>ROUND(0.0,2)</f>
        <v/>
      </c>
      <c r="T19" s="3">
        <f>ROUND(0.0,2)</f>
        <v/>
      </c>
      <c r="U19" s="3">
        <f>ROUND(0.0,2)</f>
        <v/>
      </c>
      <c r="V19" s="3">
        <f>ROUND(0.0,2)</f>
        <v/>
      </c>
      <c r="W19" s="4">
        <f>IFERROR((Q19/P19),0)</f>
        <v/>
      </c>
      <c r="X19" s="4">
        <f>IFERROR(((0+O11+O12+O13+O14+O15+O16+O17+O19)/T2),0)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2023-09-27</t>
        </is>
      </c>
      <c r="AB19" s="5">
        <f>ROUND(0.0,2)</f>
        <v/>
      </c>
      <c r="AC19" s="3">
        <f>ROUND(0.0,2)</f>
        <v/>
      </c>
      <c r="AD19" s="3">
        <f>ROUND(0.0,2)</f>
        <v/>
      </c>
      <c r="AE19" s="3">
        <f>ROUND(0.0,2)</f>
        <v/>
      </c>
      <c r="AF19" s="3">
        <f>ROUND(0.0,2)</f>
        <v/>
      </c>
      <c r="AG19" s="3">
        <f>ROUND(0.0,2)</f>
        <v/>
      </c>
      <c r="AH19" s="3">
        <f>ROUND(0.0,2)</f>
        <v/>
      </c>
      <c r="AI19" s="3">
        <f>ROUND(0.0,2)</f>
        <v/>
      </c>
      <c r="AJ19" s="4">
        <f>IFERROR((AD19/AC19),0)</f>
        <v/>
      </c>
      <c r="AK19" s="4">
        <f>IFERROR(((0+AB11+AB12+AB13+AB14+AB15+AB16+AB17+AB19)/T2),0)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2023-09-27</t>
        </is>
      </c>
      <c r="AO19" s="5">
        <f>ROUND(0.0,2)</f>
        <v/>
      </c>
      <c r="AP19" s="3">
        <f>ROUND(0.0,2)</f>
        <v/>
      </c>
      <c r="AQ19" s="3">
        <f>ROUND(0.0,2)</f>
        <v/>
      </c>
      <c r="AR19" s="3">
        <f>ROUND(0.0,2)</f>
        <v/>
      </c>
      <c r="AS19" s="3">
        <f>ROUND(0.0,2)</f>
        <v/>
      </c>
      <c r="AT19" s="3">
        <f>ROUND(0.0,2)</f>
        <v/>
      </c>
      <c r="AU19" s="3">
        <f>ROUND(0.0,2)</f>
        <v/>
      </c>
      <c r="AV19" s="3">
        <f>ROUND(0.0,2)</f>
        <v/>
      </c>
      <c r="AW19" s="4">
        <f>IFERROR((AQ19/AP19),0)</f>
        <v/>
      </c>
      <c r="AX19" s="4">
        <f>IFERROR(((0+AO11+AO12+AO13+AO14+AO15+AO16+AO17+AO19)/T2),0)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2023-09-27</t>
        </is>
      </c>
      <c r="BB19" s="5">
        <f>ROUND(0.0,2)</f>
        <v/>
      </c>
      <c r="BC19" s="3">
        <f>ROUND(0.0,2)</f>
        <v/>
      </c>
      <c r="BD19" s="3">
        <f>ROUND(0.0,2)</f>
        <v/>
      </c>
      <c r="BE19" s="3">
        <f>ROUND(0.0,2)</f>
        <v/>
      </c>
      <c r="BF19" s="3">
        <f>ROUND(0.0,2)</f>
        <v/>
      </c>
      <c r="BG19" s="3">
        <f>ROUND(0.0,2)</f>
        <v/>
      </c>
      <c r="BH19" s="3">
        <f>ROUND(0.0,2)</f>
        <v/>
      </c>
      <c r="BI19" s="3">
        <f>ROUND(0.0,2)</f>
        <v/>
      </c>
      <c r="BJ19" s="4">
        <f>IFERROR((BD19/BC19),0)</f>
        <v/>
      </c>
      <c r="BK19" s="4">
        <f>IFERROR(((0+BB11+BB12+BB13+BB14+BB15+BB16+BB17+BB19)/T2),0)</f>
        <v/>
      </c>
      <c r="BL19" s="5">
        <f>IFERROR(ROUND(BB19/BD19,2),0)</f>
        <v/>
      </c>
      <c r="BM19" s="5">
        <f>IFERROR(ROUND(BB19/BE19,2),0)</f>
        <v/>
      </c>
      <c r="BN19" s="2" t="inlineStr">
        <is>
          <t>2023-09-27</t>
        </is>
      </c>
      <c r="BO19" s="5">
        <f>ROUND(0.0,2)</f>
        <v/>
      </c>
      <c r="BP19" s="3">
        <f>ROUND(0.0,2)</f>
        <v/>
      </c>
      <c r="BQ19" s="3">
        <f>ROUND(0.0,2)</f>
        <v/>
      </c>
      <c r="BR19" s="3">
        <f>ROUND(0.0,2)</f>
        <v/>
      </c>
      <c r="BS19" s="3">
        <f>ROUND(0.0,2)</f>
        <v/>
      </c>
      <c r="BT19" s="3">
        <f>ROUND(0.0,2)</f>
        <v/>
      </c>
      <c r="BU19" s="3">
        <f>ROUND(0.0,2)</f>
        <v/>
      </c>
      <c r="BV19" s="3">
        <f>ROUND(0.0,2)</f>
        <v/>
      </c>
      <c r="BW19" s="4">
        <f>IFERROR((BQ19/BP19),0)</f>
        <v/>
      </c>
      <c r="BX19" s="4">
        <f>IFERROR(((0+BO11+BO12+BO13+BO14+BO15+BO16+BO17+BO19)/T2),0)</f>
        <v/>
      </c>
      <c r="BY19" s="5">
        <f>IFERROR(ROUND(BO19/BQ19,2),0)</f>
        <v/>
      </c>
      <c r="BZ19" s="5">
        <f>IFERROR(ROUND(BO19/BR19,2),0)</f>
        <v/>
      </c>
      <c r="CA19" s="2" t="inlineStr">
        <is>
          <t>2023-09-27</t>
        </is>
      </c>
      <c r="CB19" s="5">
        <f>ROUND(0.0,2)</f>
        <v/>
      </c>
      <c r="CC19" s="3">
        <f>ROUND(0.0,2)</f>
        <v/>
      </c>
      <c r="CD19" s="3">
        <f>ROUND(0.0,2)</f>
        <v/>
      </c>
      <c r="CE19" s="3">
        <f>ROUND(0.0,2)</f>
        <v/>
      </c>
      <c r="CF19" s="3">
        <f>ROUND(0.0,2)</f>
        <v/>
      </c>
      <c r="CG19" s="3">
        <f>ROUND(0.0,2)</f>
        <v/>
      </c>
      <c r="CH19" s="3">
        <f>ROUND(0.0,2)</f>
        <v/>
      </c>
      <c r="CI19" s="3">
        <f>ROUND(0.0,2)</f>
        <v/>
      </c>
      <c r="CJ19" s="4">
        <f>IFERROR((CD19/CC19),0)</f>
        <v/>
      </c>
      <c r="CK19" s="4">
        <f>IFERROR(((0+CB11+CB12+CB13+CB14+CB15+CB16+CB17+CB19)/T2),0)</f>
        <v/>
      </c>
      <c r="CL19" s="5">
        <f>IFERROR(ROUND(CB19/CD19,2),0)</f>
        <v/>
      </c>
      <c r="CM19" s="5">
        <f>IFERROR(ROUND(CB19/CE19,2),0)</f>
        <v/>
      </c>
      <c r="CN19" s="2" t="inlineStr">
        <is>
          <t>2023-09-27</t>
        </is>
      </c>
      <c r="CO19" s="5">
        <f>ROUND(0.0,2)</f>
        <v/>
      </c>
      <c r="CP19" s="3">
        <f>ROUND(0.0,2)</f>
        <v/>
      </c>
      <c r="CQ19" s="3">
        <f>ROUND(0.0,2)</f>
        <v/>
      </c>
      <c r="CR19" s="3">
        <f>ROUND(0.0,2)</f>
        <v/>
      </c>
      <c r="CS19" s="3">
        <f>ROUND(0.0,2)</f>
        <v/>
      </c>
      <c r="CT19" s="3">
        <f>ROUND(0.0,2)</f>
        <v/>
      </c>
      <c r="CU19" s="3">
        <f>ROUND(0.0,2)</f>
        <v/>
      </c>
      <c r="CV19" s="3">
        <f>ROUND(0.0,2)</f>
        <v/>
      </c>
      <c r="CW19" s="4">
        <f>IFERROR((CQ19/CP19),0)</f>
        <v/>
      </c>
      <c r="CX19" s="4">
        <f>IFERROR(((0+CO11+CO12+CO13+CO14+CO15+CO16+CO17+CO19)/T2),0)</f>
        <v/>
      </c>
      <c r="CY19" s="5">
        <f>IFERROR(ROUND(CO19/CQ19,2),0)</f>
        <v/>
      </c>
      <c r="CZ19" s="5">
        <f>IFERROR(ROUND(CO19/CR19,2),0)</f>
        <v/>
      </c>
      <c r="DA19" s="2" t="inlineStr">
        <is>
          <t>2023-09-27</t>
        </is>
      </c>
      <c r="DB19" s="5">
        <f>ROUND(0.0,2)</f>
        <v/>
      </c>
      <c r="DC19" s="3">
        <f>ROUND(0.0,2)</f>
        <v/>
      </c>
      <c r="DD19" s="3">
        <f>ROUND(0.0,2)</f>
        <v/>
      </c>
      <c r="DE19" s="3">
        <f>ROUND(0.0,2)</f>
        <v/>
      </c>
      <c r="DF19" s="3">
        <f>ROUND(0.0,2)</f>
        <v/>
      </c>
      <c r="DG19" s="3">
        <f>ROUND(0.0,2)</f>
        <v/>
      </c>
      <c r="DH19" s="3">
        <f>ROUND(0.0,2)</f>
        <v/>
      </c>
      <c r="DI19" s="3">
        <f>ROUND(0.0,2)</f>
        <v/>
      </c>
      <c r="DJ19" s="4">
        <f>IFERROR((DD19/DC19),0)</f>
        <v/>
      </c>
      <c r="DK19" s="4">
        <f>IFERROR(((0+DB11+DB12+DB13+DB14+DB15+DB16+DB17+DB19)/T2),0)</f>
        <v/>
      </c>
      <c r="DL19" s="5">
        <f>IFERROR(ROUND(DB19/DD19,2),0)</f>
        <v/>
      </c>
      <c r="DM19" s="5">
        <f>IFERROR(ROUND(DB19/DE19,2),0)</f>
        <v/>
      </c>
      <c r="DN19" s="2" t="inlineStr">
        <is>
          <t>2023-09-27</t>
        </is>
      </c>
      <c r="DO19" s="5">
        <f>ROUND(0.0,2)</f>
        <v/>
      </c>
      <c r="DP19" s="3">
        <f>ROUND(0.0,2)</f>
        <v/>
      </c>
      <c r="DQ19" s="3">
        <f>ROUND(0.0,2)</f>
        <v/>
      </c>
      <c r="DR19" s="3">
        <f>ROUND(0.0,2)</f>
        <v/>
      </c>
      <c r="DS19" s="3">
        <f>ROUND(0.0,2)</f>
        <v/>
      </c>
      <c r="DT19" s="3">
        <f>ROUND(0.0,2)</f>
        <v/>
      </c>
      <c r="DU19" s="3">
        <f>ROUND(0.0,2)</f>
        <v/>
      </c>
      <c r="DV19" s="3">
        <f>ROUND(0.0,2)</f>
        <v/>
      </c>
      <c r="DW19" s="4">
        <f>IFERROR((DQ19/DP19),0)</f>
        <v/>
      </c>
      <c r="DX19" s="4">
        <f>IFERROR(((0+DO11+DO12+DO13+DO14+DO15+DO16+DO17+DO19)/T2),0)</f>
        <v/>
      </c>
      <c r="DY19" s="5">
        <f>IFERROR(ROUND(DO19/DQ19,2),0)</f>
        <v/>
      </c>
      <c r="DZ19" s="5">
        <f>IFERROR(ROUND(DO19/DR19,2),0)</f>
        <v/>
      </c>
      <c r="EA19" s="2" t="inlineStr">
        <is>
          <t>2023-09-27</t>
        </is>
      </c>
      <c r="EB19" s="5">
        <f>ROUND(0.0,2)</f>
        <v/>
      </c>
      <c r="EC19" s="3">
        <f>ROUND(0.0,2)</f>
        <v/>
      </c>
      <c r="ED19" s="3">
        <f>ROUND(0.0,2)</f>
        <v/>
      </c>
      <c r="EE19" s="3">
        <f>ROUND(0.0,2)</f>
        <v/>
      </c>
      <c r="EF19" s="3">
        <f>ROUND(0.0,2)</f>
        <v/>
      </c>
      <c r="EG19" s="3">
        <f>ROUND(0.0,2)</f>
        <v/>
      </c>
      <c r="EH19" s="3">
        <f>ROUND(0.0,2)</f>
        <v/>
      </c>
      <c r="EI19" s="3">
        <f>ROUND(0.0,2)</f>
        <v/>
      </c>
      <c r="EJ19" s="4">
        <f>IFERROR((ED19/EC19),0)</f>
        <v/>
      </c>
      <c r="EK19" s="4">
        <f>IFERROR(((0+EB11+EB12+EB13+EB14+EB15+EB16+EB17+EB19)/T2),0)</f>
        <v/>
      </c>
      <c r="EL19" s="5">
        <f>IFERROR(ROUND(EB19/ED19,2),0)</f>
        <v/>
      </c>
      <c r="EM19" s="5">
        <f>IFERROR(ROUND(EB19/EE19,2),0)</f>
        <v/>
      </c>
      <c r="EN19" s="2" t="inlineStr">
        <is>
          <t>2023-09-27</t>
        </is>
      </c>
      <c r="EO19" s="5">
        <f>ROUND(0.0,2)</f>
        <v/>
      </c>
      <c r="EP19" s="3">
        <f>ROUND(0.0,2)</f>
        <v/>
      </c>
      <c r="EQ19" s="3">
        <f>ROUND(0.0,2)</f>
        <v/>
      </c>
      <c r="ER19" s="3">
        <f>ROUND(0.0,2)</f>
        <v/>
      </c>
      <c r="ES19" s="3">
        <f>ROUND(0.0,2)</f>
        <v/>
      </c>
      <c r="ET19" s="3">
        <f>ROUND(0.0,2)</f>
        <v/>
      </c>
      <c r="EU19" s="3">
        <f>ROUND(0.0,2)</f>
        <v/>
      </c>
      <c r="EV19" s="3">
        <f>ROUND(0.0,2)</f>
        <v/>
      </c>
      <c r="EW19" s="4">
        <f>IFERROR((EQ19/EP19),0)</f>
        <v/>
      </c>
      <c r="EX19" s="4">
        <f>IFERROR(((0+EO11+EO12+EO13+EO14+EO15+EO16+EO17+EO19)/T2),0)</f>
        <v/>
      </c>
      <c r="EY19" s="5">
        <f>IFERROR(ROUND(EO19/EQ19,2),0)</f>
        <v/>
      </c>
      <c r="EZ19" s="5">
        <f>IFERROR(ROUND(EO19/ER19,2),0)</f>
        <v/>
      </c>
      <c r="FA19" s="2" t="inlineStr">
        <is>
          <t>2023-09-27</t>
        </is>
      </c>
      <c r="FB19" s="5">
        <f>ROUND(0.0,2)</f>
        <v/>
      </c>
      <c r="FC19" s="3">
        <f>ROUND(0.0,2)</f>
        <v/>
      </c>
      <c r="FD19" s="3">
        <f>ROUND(0.0,2)</f>
        <v/>
      </c>
      <c r="FE19" s="3">
        <f>ROUND(0.0,2)</f>
        <v/>
      </c>
      <c r="FF19" s="3">
        <f>ROUND(0.0,2)</f>
        <v/>
      </c>
      <c r="FG19" s="3">
        <f>ROUND(0.0,2)</f>
        <v/>
      </c>
      <c r="FH19" s="3">
        <f>ROUND(0.0,2)</f>
        <v/>
      </c>
      <c r="FI19" s="3">
        <f>ROUND(0.0,2)</f>
        <v/>
      </c>
      <c r="FJ19" s="4">
        <f>IFERROR((FD19/FC19),0)</f>
        <v/>
      </c>
      <c r="FK19" s="4">
        <f>IFERROR(((0+FB11+FB12+FB13+FB14+FB15+FB16+FB17+FB19)/T2),0)</f>
        <v/>
      </c>
      <c r="FL19" s="5">
        <f>IFERROR(ROUND(FB19/FD19,2),0)</f>
        <v/>
      </c>
      <c r="FM19" s="5">
        <f>IFERROR(ROUND(FB19/FE19,2),0)</f>
        <v/>
      </c>
      <c r="FN19" s="2" t="inlineStr">
        <is>
          <t>2023-09-27</t>
        </is>
      </c>
      <c r="FO19" s="5">
        <f>ROUND(0.0,2)</f>
        <v/>
      </c>
      <c r="FP19" s="3">
        <f>ROUND(0.0,2)</f>
        <v/>
      </c>
      <c r="FQ19" s="3">
        <f>ROUND(0.0,2)</f>
        <v/>
      </c>
      <c r="FR19" s="3">
        <f>ROUND(0.0,2)</f>
        <v/>
      </c>
      <c r="FS19" s="3">
        <f>ROUND(0.0,2)</f>
        <v/>
      </c>
      <c r="FT19" s="3">
        <f>ROUND(0.0,2)</f>
        <v/>
      </c>
      <c r="FU19" s="3">
        <f>ROUND(0.0,2)</f>
        <v/>
      </c>
      <c r="FV19" s="3">
        <f>ROUND(0.0,2)</f>
        <v/>
      </c>
      <c r="FW19" s="4">
        <f>IFERROR((FQ19/FP19),0)</f>
        <v/>
      </c>
      <c r="FX19" s="4">
        <f>IFERROR(((0+FO11+FO12+FO13+FO14+FO15+FO16+FO17+FO19)/T2),0)</f>
        <v/>
      </c>
      <c r="FY19" s="5">
        <f>IFERROR(ROUND(FO19/FQ19,2),0)</f>
        <v/>
      </c>
      <c r="FZ19" s="5">
        <f>IFERROR(ROUND(FO19/FR19,2),0)</f>
        <v/>
      </c>
      <c r="GA19" s="2" t="inlineStr">
        <is>
          <t>2023-09-27</t>
        </is>
      </c>
      <c r="GB19" s="5">
        <f>ROUND(0.0,2)</f>
        <v/>
      </c>
      <c r="GC19" s="3">
        <f>ROUND(0.0,2)</f>
        <v/>
      </c>
      <c r="GD19" s="3">
        <f>ROUND(0.0,2)</f>
        <v/>
      </c>
      <c r="GE19" s="3">
        <f>ROUND(0.0,2)</f>
        <v/>
      </c>
      <c r="GF19" s="3">
        <f>ROUND(0.0,2)</f>
        <v/>
      </c>
      <c r="GG19" s="3">
        <f>ROUND(0.0,2)</f>
        <v/>
      </c>
      <c r="GH19" s="3">
        <f>ROUND(0.0,2)</f>
        <v/>
      </c>
      <c r="GI19" s="3">
        <f>ROUND(0.0,2)</f>
        <v/>
      </c>
      <c r="GJ19" s="4">
        <f>IFERROR((GD19/GC19),0)</f>
        <v/>
      </c>
      <c r="GK19" s="4">
        <f>IFERROR(((0+GB11+GB12+GB13+GB14+GB15+GB16+GB17+GB19)/T2),0)</f>
        <v/>
      </c>
      <c r="GL19" s="5">
        <f>IFERROR(ROUND(GB19/GD19,2),0)</f>
        <v/>
      </c>
      <c r="GM19" s="5">
        <f>IFERROR(ROUND(GB19/GE19,2),0)</f>
        <v/>
      </c>
    </row>
    <row r="20">
      <c r="A20" s="2" t="inlineStr">
        <is>
          <t>2023-09-28</t>
        </is>
      </c>
      <c r="B20" s="5">
        <f>ROUND(0.0,2)</f>
        <v/>
      </c>
      <c r="C20" s="3">
        <f>ROUND(0.0,2)</f>
        <v/>
      </c>
      <c r="D20" s="3">
        <f>ROUND(0.0,2)</f>
        <v/>
      </c>
      <c r="E20" s="3">
        <f>ROUND(0.0,2)</f>
        <v/>
      </c>
      <c r="F20" s="3">
        <f>ROUND(0.0,2)</f>
        <v/>
      </c>
      <c r="G20" s="3">
        <f>ROUND(0.0,2)</f>
        <v/>
      </c>
      <c r="H20" s="3">
        <f>ROUND(0.0,2)</f>
        <v/>
      </c>
      <c r="I20" s="3">
        <f>ROUND(0.0,2)</f>
        <v/>
      </c>
      <c r="J20" s="4">
        <f>IFERROR((D20/C20),0)</f>
        <v/>
      </c>
      <c r="K20" s="4">
        <f>IFERROR(((0+B11+B12+B13+B14+B15+B16+B17+B19+B20)/T2),0)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2023-09-28</t>
        </is>
      </c>
      <c r="O20" s="5">
        <f>ROUND(0.0,2)</f>
        <v/>
      </c>
      <c r="P20" s="3">
        <f>ROUND(0.0,2)</f>
        <v/>
      </c>
      <c r="Q20" s="3">
        <f>ROUND(0.0,2)</f>
        <v/>
      </c>
      <c r="R20" s="3">
        <f>ROUND(0.0,2)</f>
        <v/>
      </c>
      <c r="S20" s="3">
        <f>ROUND(0.0,2)</f>
        <v/>
      </c>
      <c r="T20" s="3">
        <f>ROUND(0.0,2)</f>
        <v/>
      </c>
      <c r="U20" s="3">
        <f>ROUND(0.0,2)</f>
        <v/>
      </c>
      <c r="V20" s="3">
        <f>ROUND(0.0,2)</f>
        <v/>
      </c>
      <c r="W20" s="4">
        <f>IFERROR((Q20/P20),0)</f>
        <v/>
      </c>
      <c r="X20" s="4">
        <f>IFERROR(((0+O11+O12+O13+O14+O15+O16+O17+O19+O20)/T2),0)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2023-09-28</t>
        </is>
      </c>
      <c r="AB20" s="5">
        <f>ROUND(0.0,2)</f>
        <v/>
      </c>
      <c r="AC20" s="3">
        <f>ROUND(0.0,2)</f>
        <v/>
      </c>
      <c r="AD20" s="3">
        <f>ROUND(0.0,2)</f>
        <v/>
      </c>
      <c r="AE20" s="3">
        <f>ROUND(0.0,2)</f>
        <v/>
      </c>
      <c r="AF20" s="3">
        <f>ROUND(0.0,2)</f>
        <v/>
      </c>
      <c r="AG20" s="3">
        <f>ROUND(0.0,2)</f>
        <v/>
      </c>
      <c r="AH20" s="3">
        <f>ROUND(0.0,2)</f>
        <v/>
      </c>
      <c r="AI20" s="3">
        <f>ROUND(0.0,2)</f>
        <v/>
      </c>
      <c r="AJ20" s="4">
        <f>IFERROR((AD20/AC20),0)</f>
        <v/>
      </c>
      <c r="AK20" s="4">
        <f>IFERROR(((0+AB11+AB12+AB13+AB14+AB15+AB16+AB17+AB19+AB20)/T2),0)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2023-09-28</t>
        </is>
      </c>
      <c r="AO20" s="5">
        <f>ROUND(0.0,2)</f>
        <v/>
      </c>
      <c r="AP20" s="3">
        <f>ROUND(0.0,2)</f>
        <v/>
      </c>
      <c r="AQ20" s="3">
        <f>ROUND(0.0,2)</f>
        <v/>
      </c>
      <c r="AR20" s="3">
        <f>ROUND(0.0,2)</f>
        <v/>
      </c>
      <c r="AS20" s="3">
        <f>ROUND(0.0,2)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IFERROR(((0+AO11+AO12+AO13+AO14+AO15+AO16+AO17+AO19+AO20)/T2),0)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2023-09-28</t>
        </is>
      </c>
      <c r="BB20" s="5">
        <f>ROUND(0.0,2)</f>
        <v/>
      </c>
      <c r="BC20" s="3">
        <f>ROUND(0.0,2)</f>
        <v/>
      </c>
      <c r="BD20" s="3">
        <f>ROUND(0.0,2)</f>
        <v/>
      </c>
      <c r="BE20" s="3">
        <f>ROUND(0.0,2)</f>
        <v/>
      </c>
      <c r="BF20" s="3">
        <f>ROUND(0.0,2)</f>
        <v/>
      </c>
      <c r="BG20" s="3">
        <f>ROUND(0.0,2)</f>
        <v/>
      </c>
      <c r="BH20" s="3">
        <f>ROUND(0.0,2)</f>
        <v/>
      </c>
      <c r="BI20" s="3">
        <f>ROUND(0.0,2)</f>
        <v/>
      </c>
      <c r="BJ20" s="4">
        <f>IFERROR((BD20/BC20),0)</f>
        <v/>
      </c>
      <c r="BK20" s="4">
        <f>IFERROR(((0+BB11+BB12+BB13+BB14+BB15+BB16+BB17+BB19+BB20)/T2),0)</f>
        <v/>
      </c>
      <c r="BL20" s="5">
        <f>IFERROR(ROUND(BB20/BD20,2),0)</f>
        <v/>
      </c>
      <c r="BM20" s="5">
        <f>IFERROR(ROUND(BB20/BE20,2),0)</f>
        <v/>
      </c>
      <c r="BN20" s="2" t="inlineStr">
        <is>
          <t>2023-09-28</t>
        </is>
      </c>
      <c r="BO20" s="5">
        <f>ROUND(0.0,2)</f>
        <v/>
      </c>
      <c r="BP20" s="3">
        <f>ROUND(0.0,2)</f>
        <v/>
      </c>
      <c r="BQ20" s="3">
        <f>ROUND(0.0,2)</f>
        <v/>
      </c>
      <c r="BR20" s="3">
        <f>ROUND(0.0,2)</f>
        <v/>
      </c>
      <c r="BS20" s="3">
        <f>ROUND(0.0,2)</f>
        <v/>
      </c>
      <c r="BT20" s="3">
        <f>ROUND(0.0,2)</f>
        <v/>
      </c>
      <c r="BU20" s="3">
        <f>ROUND(0.0,2)</f>
        <v/>
      </c>
      <c r="BV20" s="3">
        <f>ROUND(0.0,2)</f>
        <v/>
      </c>
      <c r="BW20" s="4">
        <f>IFERROR((BQ20/BP20),0)</f>
        <v/>
      </c>
      <c r="BX20" s="4">
        <f>IFERROR(((0+BO11+BO12+BO13+BO14+BO15+BO16+BO17+BO19+BO20)/T2),0)</f>
        <v/>
      </c>
      <c r="BY20" s="5">
        <f>IFERROR(ROUND(BO20/BQ20,2),0)</f>
        <v/>
      </c>
      <c r="BZ20" s="5">
        <f>IFERROR(ROUND(BO20/BR20,2),0)</f>
        <v/>
      </c>
      <c r="CA20" s="2" t="inlineStr">
        <is>
          <t>2023-09-28</t>
        </is>
      </c>
      <c r="CB20" s="5">
        <f>ROUND(0.0,2)</f>
        <v/>
      </c>
      <c r="CC20" s="3">
        <f>ROUND(0.0,2)</f>
        <v/>
      </c>
      <c r="CD20" s="3">
        <f>ROUND(0.0,2)</f>
        <v/>
      </c>
      <c r="CE20" s="3">
        <f>ROUND(0.0,2)</f>
        <v/>
      </c>
      <c r="CF20" s="3">
        <f>ROUND(0.0,2)</f>
        <v/>
      </c>
      <c r="CG20" s="3">
        <f>ROUND(0.0,2)</f>
        <v/>
      </c>
      <c r="CH20" s="3">
        <f>ROUND(0.0,2)</f>
        <v/>
      </c>
      <c r="CI20" s="3">
        <f>ROUND(0.0,2)</f>
        <v/>
      </c>
      <c r="CJ20" s="4">
        <f>IFERROR((CD20/CC20),0)</f>
        <v/>
      </c>
      <c r="CK20" s="4">
        <f>IFERROR(((0+CB11+CB12+CB13+CB14+CB15+CB16+CB17+CB19+CB20)/T2),0)</f>
        <v/>
      </c>
      <c r="CL20" s="5">
        <f>IFERROR(ROUND(CB20/CD20,2),0)</f>
        <v/>
      </c>
      <c r="CM20" s="5">
        <f>IFERROR(ROUND(CB20/CE20,2),0)</f>
        <v/>
      </c>
      <c r="CN20" s="2" t="inlineStr">
        <is>
          <t>2023-09-28</t>
        </is>
      </c>
      <c r="CO20" s="5">
        <f>ROUND(0.0,2)</f>
        <v/>
      </c>
      <c r="CP20" s="3">
        <f>ROUND(0.0,2)</f>
        <v/>
      </c>
      <c r="CQ20" s="3">
        <f>ROUND(0.0,2)</f>
        <v/>
      </c>
      <c r="CR20" s="3">
        <f>ROUND(0.0,2)</f>
        <v/>
      </c>
      <c r="CS20" s="3">
        <f>ROUND(0.0,2)</f>
        <v/>
      </c>
      <c r="CT20" s="3">
        <f>ROUND(0.0,2)</f>
        <v/>
      </c>
      <c r="CU20" s="3">
        <f>ROUND(0.0,2)</f>
        <v/>
      </c>
      <c r="CV20" s="3">
        <f>ROUND(0.0,2)</f>
        <v/>
      </c>
      <c r="CW20" s="4">
        <f>IFERROR((CQ20/CP20),0)</f>
        <v/>
      </c>
      <c r="CX20" s="4">
        <f>IFERROR(((0+CO11+CO12+CO13+CO14+CO15+CO16+CO17+CO19+CO20)/T2),0)</f>
        <v/>
      </c>
      <c r="CY20" s="5">
        <f>IFERROR(ROUND(CO20/CQ20,2),0)</f>
        <v/>
      </c>
      <c r="CZ20" s="5">
        <f>IFERROR(ROUND(CO20/CR20,2),0)</f>
        <v/>
      </c>
      <c r="DA20" s="2" t="inlineStr">
        <is>
          <t>2023-09-28</t>
        </is>
      </c>
      <c r="DB20" s="5">
        <f>ROUND(0.0,2)</f>
        <v/>
      </c>
      <c r="DC20" s="3">
        <f>ROUND(0.0,2)</f>
        <v/>
      </c>
      <c r="DD20" s="3">
        <f>ROUND(0.0,2)</f>
        <v/>
      </c>
      <c r="DE20" s="3">
        <f>ROUND(0.0,2)</f>
        <v/>
      </c>
      <c r="DF20" s="3">
        <f>ROUND(0.0,2)</f>
        <v/>
      </c>
      <c r="DG20" s="3">
        <f>ROUND(0.0,2)</f>
        <v/>
      </c>
      <c r="DH20" s="3">
        <f>ROUND(0.0,2)</f>
        <v/>
      </c>
      <c r="DI20" s="3">
        <f>ROUND(0.0,2)</f>
        <v/>
      </c>
      <c r="DJ20" s="4">
        <f>IFERROR((DD20/DC20),0)</f>
        <v/>
      </c>
      <c r="DK20" s="4">
        <f>IFERROR(((0+DB11+DB12+DB13+DB14+DB15+DB16+DB17+DB19+DB20)/T2),0)</f>
        <v/>
      </c>
      <c r="DL20" s="5">
        <f>IFERROR(ROUND(DB20/DD20,2),0)</f>
        <v/>
      </c>
      <c r="DM20" s="5">
        <f>IFERROR(ROUND(DB20/DE20,2),0)</f>
        <v/>
      </c>
      <c r="DN20" s="2" t="inlineStr">
        <is>
          <t>2023-09-28</t>
        </is>
      </c>
      <c r="DO20" s="5">
        <f>ROUND(0.0,2)</f>
        <v/>
      </c>
      <c r="DP20" s="3">
        <f>ROUND(0.0,2)</f>
        <v/>
      </c>
      <c r="DQ20" s="3">
        <f>ROUND(0.0,2)</f>
        <v/>
      </c>
      <c r="DR20" s="3">
        <f>ROUND(0.0,2)</f>
        <v/>
      </c>
      <c r="DS20" s="3">
        <f>ROUND(0.0,2)</f>
        <v/>
      </c>
      <c r="DT20" s="3">
        <f>ROUND(0.0,2)</f>
        <v/>
      </c>
      <c r="DU20" s="3">
        <f>ROUND(0.0,2)</f>
        <v/>
      </c>
      <c r="DV20" s="3">
        <f>ROUND(0.0,2)</f>
        <v/>
      </c>
      <c r="DW20" s="4">
        <f>IFERROR((DQ20/DP20),0)</f>
        <v/>
      </c>
      <c r="DX20" s="4">
        <f>IFERROR(((0+DO11+DO12+DO13+DO14+DO15+DO16+DO17+DO19+DO20)/T2),0)</f>
        <v/>
      </c>
      <c r="DY20" s="5">
        <f>IFERROR(ROUND(DO20/DQ20,2),0)</f>
        <v/>
      </c>
      <c r="DZ20" s="5">
        <f>IFERROR(ROUND(DO20/DR20,2),0)</f>
        <v/>
      </c>
      <c r="EA20" s="2" t="inlineStr">
        <is>
          <t>2023-09-28</t>
        </is>
      </c>
      <c r="EB20" s="5">
        <f>ROUND(0.0,2)</f>
        <v/>
      </c>
      <c r="EC20" s="3">
        <f>ROUND(0.0,2)</f>
        <v/>
      </c>
      <c r="ED20" s="3">
        <f>ROUND(0.0,2)</f>
        <v/>
      </c>
      <c r="EE20" s="3">
        <f>ROUND(0.0,2)</f>
        <v/>
      </c>
      <c r="EF20" s="3">
        <f>ROUND(0.0,2)</f>
        <v/>
      </c>
      <c r="EG20" s="3">
        <f>ROUND(0.0,2)</f>
        <v/>
      </c>
      <c r="EH20" s="3">
        <f>ROUND(0.0,2)</f>
        <v/>
      </c>
      <c r="EI20" s="3">
        <f>ROUND(0.0,2)</f>
        <v/>
      </c>
      <c r="EJ20" s="4">
        <f>IFERROR((ED20/EC20),0)</f>
        <v/>
      </c>
      <c r="EK20" s="4">
        <f>IFERROR(((0+EB11+EB12+EB13+EB14+EB15+EB16+EB17+EB19+EB20)/T2),0)</f>
        <v/>
      </c>
      <c r="EL20" s="5">
        <f>IFERROR(ROUND(EB20/ED20,2),0)</f>
        <v/>
      </c>
      <c r="EM20" s="5">
        <f>IFERROR(ROUND(EB20/EE20,2),0)</f>
        <v/>
      </c>
      <c r="EN20" s="2" t="inlineStr">
        <is>
          <t>2023-09-28</t>
        </is>
      </c>
      <c r="EO20" s="5">
        <f>ROUND(0.0,2)</f>
        <v/>
      </c>
      <c r="EP20" s="3">
        <f>ROUND(0.0,2)</f>
        <v/>
      </c>
      <c r="EQ20" s="3">
        <f>ROUND(0.0,2)</f>
        <v/>
      </c>
      <c r="ER20" s="3">
        <f>ROUND(0.0,2)</f>
        <v/>
      </c>
      <c r="ES20" s="3">
        <f>ROUND(0.0,2)</f>
        <v/>
      </c>
      <c r="ET20" s="3">
        <f>ROUND(0.0,2)</f>
        <v/>
      </c>
      <c r="EU20" s="3">
        <f>ROUND(0.0,2)</f>
        <v/>
      </c>
      <c r="EV20" s="3">
        <f>ROUND(0.0,2)</f>
        <v/>
      </c>
      <c r="EW20" s="4">
        <f>IFERROR((EQ20/EP20),0)</f>
        <v/>
      </c>
      <c r="EX20" s="4">
        <f>IFERROR(((0+EO11+EO12+EO13+EO14+EO15+EO16+EO17+EO19+EO20)/T2),0)</f>
        <v/>
      </c>
      <c r="EY20" s="5">
        <f>IFERROR(ROUND(EO20/EQ20,2),0)</f>
        <v/>
      </c>
      <c r="EZ20" s="5">
        <f>IFERROR(ROUND(EO20/ER20,2),0)</f>
        <v/>
      </c>
      <c r="FA20" s="2" t="inlineStr">
        <is>
          <t>2023-09-28</t>
        </is>
      </c>
      <c r="FB20" s="5">
        <f>ROUND(0.0,2)</f>
        <v/>
      </c>
      <c r="FC20" s="3">
        <f>ROUND(0.0,2)</f>
        <v/>
      </c>
      <c r="FD20" s="3">
        <f>ROUND(0.0,2)</f>
        <v/>
      </c>
      <c r="FE20" s="3">
        <f>ROUND(0.0,2)</f>
        <v/>
      </c>
      <c r="FF20" s="3">
        <f>ROUND(0.0,2)</f>
        <v/>
      </c>
      <c r="FG20" s="3">
        <f>ROUND(0.0,2)</f>
        <v/>
      </c>
      <c r="FH20" s="3">
        <f>ROUND(0.0,2)</f>
        <v/>
      </c>
      <c r="FI20" s="3">
        <f>ROUND(0.0,2)</f>
        <v/>
      </c>
      <c r="FJ20" s="4">
        <f>IFERROR((FD20/FC20),0)</f>
        <v/>
      </c>
      <c r="FK20" s="4">
        <f>IFERROR(((0+FB11+FB12+FB13+FB14+FB15+FB16+FB17+FB19+FB20)/T2),0)</f>
        <v/>
      </c>
      <c r="FL20" s="5">
        <f>IFERROR(ROUND(FB20/FD20,2),0)</f>
        <v/>
      </c>
      <c r="FM20" s="5">
        <f>IFERROR(ROUND(FB20/FE20,2),0)</f>
        <v/>
      </c>
      <c r="FN20" s="2" t="inlineStr">
        <is>
          <t>2023-09-28</t>
        </is>
      </c>
      <c r="FO20" s="5">
        <f>ROUND(0.0,2)</f>
        <v/>
      </c>
      <c r="FP20" s="3">
        <f>ROUND(0.0,2)</f>
        <v/>
      </c>
      <c r="FQ20" s="3">
        <f>ROUND(0.0,2)</f>
        <v/>
      </c>
      <c r="FR20" s="3">
        <f>ROUND(0.0,2)</f>
        <v/>
      </c>
      <c r="FS20" s="3">
        <f>ROUND(0.0,2)</f>
        <v/>
      </c>
      <c r="FT20" s="3">
        <f>ROUND(0.0,2)</f>
        <v/>
      </c>
      <c r="FU20" s="3">
        <f>ROUND(0.0,2)</f>
        <v/>
      </c>
      <c r="FV20" s="3">
        <f>ROUND(0.0,2)</f>
        <v/>
      </c>
      <c r="FW20" s="4">
        <f>IFERROR((FQ20/FP20),0)</f>
        <v/>
      </c>
      <c r="FX20" s="4">
        <f>IFERROR(((0+FO11+FO12+FO13+FO14+FO15+FO16+FO17+FO19+FO20)/T2),0)</f>
        <v/>
      </c>
      <c r="FY20" s="5">
        <f>IFERROR(ROUND(FO20/FQ20,2),0)</f>
        <v/>
      </c>
      <c r="FZ20" s="5">
        <f>IFERROR(ROUND(FO20/FR20,2),0)</f>
        <v/>
      </c>
      <c r="GA20" s="2" t="inlineStr">
        <is>
          <t>2023-09-28</t>
        </is>
      </c>
      <c r="GB20" s="5">
        <f>ROUND(0.0,2)</f>
        <v/>
      </c>
      <c r="GC20" s="3">
        <f>ROUND(0.0,2)</f>
        <v/>
      </c>
      <c r="GD20" s="3">
        <f>ROUND(0.0,2)</f>
        <v/>
      </c>
      <c r="GE20" s="3">
        <f>ROUND(0.0,2)</f>
        <v/>
      </c>
      <c r="GF20" s="3">
        <f>ROUND(0.0,2)</f>
        <v/>
      </c>
      <c r="GG20" s="3">
        <f>ROUND(0.0,2)</f>
        <v/>
      </c>
      <c r="GH20" s="3">
        <f>ROUND(0.0,2)</f>
        <v/>
      </c>
      <c r="GI20" s="3">
        <f>ROUND(0.0,2)</f>
        <v/>
      </c>
      <c r="GJ20" s="4">
        <f>IFERROR((GD20/GC20),0)</f>
        <v/>
      </c>
      <c r="GK20" s="4">
        <f>IFERROR(((0+GB11+GB12+GB13+GB14+GB15+GB16+GB17+GB19+GB20)/T2),0)</f>
        <v/>
      </c>
      <c r="GL20" s="5">
        <f>IFERROR(ROUND(GB20/GD20,2),0)</f>
        <v/>
      </c>
      <c r="GM20" s="5">
        <f>IFERROR(ROUND(GB20/GE20,2),0)</f>
        <v/>
      </c>
    </row>
    <row r="21">
      <c r="A21" s="2" t="inlineStr">
        <is>
          <t>2023-09-29</t>
        </is>
      </c>
      <c r="B21" s="5">
        <f>ROUND(0.0,2)</f>
        <v/>
      </c>
      <c r="C21" s="3">
        <f>ROUND(0.0,2)</f>
        <v/>
      </c>
      <c r="D21" s="3">
        <f>ROUND(0.0,2)</f>
        <v/>
      </c>
      <c r="E21" s="3">
        <f>ROUND(0.0,2)</f>
        <v/>
      </c>
      <c r="F21" s="3">
        <f>ROUND(0.0,2)</f>
        <v/>
      </c>
      <c r="G21" s="3">
        <f>ROUND(0.0,2)</f>
        <v/>
      </c>
      <c r="H21" s="3">
        <f>ROUND(0.0,2)</f>
        <v/>
      </c>
      <c r="I21" s="3">
        <f>ROUND(0.0,2)</f>
        <v/>
      </c>
      <c r="J21" s="4">
        <f>IFERROR((D21/C21),0)</f>
        <v/>
      </c>
      <c r="K21" s="4">
        <f>IFERROR(((0+B11+B12+B13+B14+B15+B16+B17+B19+B20+B21)/T2),0)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2023-09-29</t>
        </is>
      </c>
      <c r="O21" s="5">
        <f>ROUND(0.0,2)</f>
        <v/>
      </c>
      <c r="P21" s="3">
        <f>ROUND(0.0,2)</f>
        <v/>
      </c>
      <c r="Q21" s="3">
        <f>ROUND(0.0,2)</f>
        <v/>
      </c>
      <c r="R21" s="3">
        <f>ROUND(0.0,2)</f>
        <v/>
      </c>
      <c r="S21" s="3">
        <f>ROUND(0.0,2)</f>
        <v/>
      </c>
      <c r="T21" s="3">
        <f>ROUND(0.0,2)</f>
        <v/>
      </c>
      <c r="U21" s="3">
        <f>ROUND(0.0,2)</f>
        <v/>
      </c>
      <c r="V21" s="3">
        <f>ROUND(0.0,2)</f>
        <v/>
      </c>
      <c r="W21" s="4">
        <f>IFERROR((Q21/P21),0)</f>
        <v/>
      </c>
      <c r="X21" s="4">
        <f>IFERROR(((0+O11+O12+O13+O14+O15+O16+O17+O19+O20+O21)/T2),0)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2023-09-29</t>
        </is>
      </c>
      <c r="AB21" s="5">
        <f>ROUND(0.0,2)</f>
        <v/>
      </c>
      <c r="AC21" s="3">
        <f>ROUND(0.0,2)</f>
        <v/>
      </c>
      <c r="AD21" s="3">
        <f>ROUND(0.0,2)</f>
        <v/>
      </c>
      <c r="AE21" s="3">
        <f>ROUND(0.0,2)</f>
        <v/>
      </c>
      <c r="AF21" s="3">
        <f>ROUND(0.0,2)</f>
        <v/>
      </c>
      <c r="AG21" s="3">
        <f>ROUND(0.0,2)</f>
        <v/>
      </c>
      <c r="AH21" s="3">
        <f>ROUND(0.0,2)</f>
        <v/>
      </c>
      <c r="AI21" s="3">
        <f>ROUND(0.0,2)</f>
        <v/>
      </c>
      <c r="AJ21" s="4">
        <f>IFERROR((AD21/AC21),0)</f>
        <v/>
      </c>
      <c r="AK21" s="4">
        <f>IFERROR(((0+AB11+AB12+AB13+AB14+AB15+AB16+AB17+AB19+AB20+AB21)/T2),0)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2023-09-29</t>
        </is>
      </c>
      <c r="AO21" s="5">
        <f>ROUND(0.0,2)</f>
        <v/>
      </c>
      <c r="AP21" s="3">
        <f>ROUND(0.0,2)</f>
        <v/>
      </c>
      <c r="AQ21" s="3">
        <f>ROUND(0.0,2)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IFERROR(((0+AO11+AO12+AO13+AO14+AO15+AO16+AO17+AO19+AO20+AO21)/T2),0)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2023-09-29</t>
        </is>
      </c>
      <c r="BB21" s="5">
        <f>ROUND(0.0,2)</f>
        <v/>
      </c>
      <c r="BC21" s="3">
        <f>ROUND(0.0,2)</f>
        <v/>
      </c>
      <c r="BD21" s="3">
        <f>ROUND(0.0,2)</f>
        <v/>
      </c>
      <c r="BE21" s="3">
        <f>ROUND(0.0,2)</f>
        <v/>
      </c>
      <c r="BF21" s="3">
        <f>ROUND(0.0,2)</f>
        <v/>
      </c>
      <c r="BG21" s="3">
        <f>ROUND(0.0,2)</f>
        <v/>
      </c>
      <c r="BH21" s="3">
        <f>ROUND(0.0,2)</f>
        <v/>
      </c>
      <c r="BI21" s="3">
        <f>ROUND(0.0,2)</f>
        <v/>
      </c>
      <c r="BJ21" s="4">
        <f>IFERROR((BD21/BC21),0)</f>
        <v/>
      </c>
      <c r="BK21" s="4">
        <f>IFERROR(((0+BB11+BB12+BB13+BB14+BB15+BB16+BB17+BB19+BB20+BB21)/T2),0)</f>
        <v/>
      </c>
      <c r="BL21" s="5">
        <f>IFERROR(ROUND(BB21/BD21,2),0)</f>
        <v/>
      </c>
      <c r="BM21" s="5">
        <f>IFERROR(ROUND(BB21/BE21,2),0)</f>
        <v/>
      </c>
      <c r="BN21" s="2" t="inlineStr">
        <is>
          <t>2023-09-29</t>
        </is>
      </c>
      <c r="BO21" s="5">
        <f>ROUND(0.0,2)</f>
        <v/>
      </c>
      <c r="BP21" s="3">
        <f>ROUND(0.0,2)</f>
        <v/>
      </c>
      <c r="BQ21" s="3">
        <f>ROUND(0.0,2)</f>
        <v/>
      </c>
      <c r="BR21" s="3">
        <f>ROUND(0.0,2)</f>
        <v/>
      </c>
      <c r="BS21" s="3">
        <f>ROUND(0.0,2)</f>
        <v/>
      </c>
      <c r="BT21" s="3">
        <f>ROUND(0.0,2)</f>
        <v/>
      </c>
      <c r="BU21" s="3">
        <f>ROUND(0.0,2)</f>
        <v/>
      </c>
      <c r="BV21" s="3">
        <f>ROUND(0.0,2)</f>
        <v/>
      </c>
      <c r="BW21" s="4">
        <f>IFERROR((BQ21/BP21),0)</f>
        <v/>
      </c>
      <c r="BX21" s="4">
        <f>IFERROR(((0+BO11+BO12+BO13+BO14+BO15+BO16+BO17+BO19+BO20+BO21)/T2),0)</f>
        <v/>
      </c>
      <c r="BY21" s="5">
        <f>IFERROR(ROUND(BO21/BQ21,2),0)</f>
        <v/>
      </c>
      <c r="BZ21" s="5">
        <f>IFERROR(ROUND(BO21/BR21,2),0)</f>
        <v/>
      </c>
      <c r="CA21" s="2" t="inlineStr">
        <is>
          <t>2023-09-29</t>
        </is>
      </c>
      <c r="CB21" s="5">
        <f>ROUND(0.0,2)</f>
        <v/>
      </c>
      <c r="CC21" s="3">
        <f>ROUND(0.0,2)</f>
        <v/>
      </c>
      <c r="CD21" s="3">
        <f>ROUND(0.0,2)</f>
        <v/>
      </c>
      <c r="CE21" s="3">
        <f>ROUND(0.0,2)</f>
        <v/>
      </c>
      <c r="CF21" s="3">
        <f>ROUND(0.0,2)</f>
        <v/>
      </c>
      <c r="CG21" s="3">
        <f>ROUND(0.0,2)</f>
        <v/>
      </c>
      <c r="CH21" s="3">
        <f>ROUND(0.0,2)</f>
        <v/>
      </c>
      <c r="CI21" s="3">
        <f>ROUND(0.0,2)</f>
        <v/>
      </c>
      <c r="CJ21" s="4">
        <f>IFERROR((CD21/CC21),0)</f>
        <v/>
      </c>
      <c r="CK21" s="4">
        <f>IFERROR(((0+CB11+CB12+CB13+CB14+CB15+CB16+CB17+CB19+CB20+CB21)/T2),0)</f>
        <v/>
      </c>
      <c r="CL21" s="5">
        <f>IFERROR(ROUND(CB21/CD21,2),0)</f>
        <v/>
      </c>
      <c r="CM21" s="5">
        <f>IFERROR(ROUND(CB21/CE21,2),0)</f>
        <v/>
      </c>
      <c r="CN21" s="2" t="inlineStr">
        <is>
          <t>2023-09-29</t>
        </is>
      </c>
      <c r="CO21" s="5">
        <f>ROUND(0.0,2)</f>
        <v/>
      </c>
      <c r="CP21" s="3">
        <f>ROUND(0.0,2)</f>
        <v/>
      </c>
      <c r="CQ21" s="3">
        <f>ROUND(0.0,2)</f>
        <v/>
      </c>
      <c r="CR21" s="3">
        <f>ROUND(0.0,2)</f>
        <v/>
      </c>
      <c r="CS21" s="3">
        <f>ROUND(0.0,2)</f>
        <v/>
      </c>
      <c r="CT21" s="3">
        <f>ROUND(0.0,2)</f>
        <v/>
      </c>
      <c r="CU21" s="3">
        <f>ROUND(0.0,2)</f>
        <v/>
      </c>
      <c r="CV21" s="3">
        <f>ROUND(0.0,2)</f>
        <v/>
      </c>
      <c r="CW21" s="4">
        <f>IFERROR((CQ21/CP21),0)</f>
        <v/>
      </c>
      <c r="CX21" s="4">
        <f>IFERROR(((0+CO11+CO12+CO13+CO14+CO15+CO16+CO17+CO19+CO20+CO21)/T2),0)</f>
        <v/>
      </c>
      <c r="CY21" s="5">
        <f>IFERROR(ROUND(CO21/CQ21,2),0)</f>
        <v/>
      </c>
      <c r="CZ21" s="5">
        <f>IFERROR(ROUND(CO21/CR21,2),0)</f>
        <v/>
      </c>
      <c r="DA21" s="2" t="inlineStr">
        <is>
          <t>2023-09-29</t>
        </is>
      </c>
      <c r="DB21" s="5">
        <f>ROUND(0.0,2)</f>
        <v/>
      </c>
      <c r="DC21" s="3">
        <f>ROUND(0.0,2)</f>
        <v/>
      </c>
      <c r="DD21" s="3">
        <f>ROUND(0.0,2)</f>
        <v/>
      </c>
      <c r="DE21" s="3">
        <f>ROUND(0.0,2)</f>
        <v/>
      </c>
      <c r="DF21" s="3">
        <f>ROUND(0.0,2)</f>
        <v/>
      </c>
      <c r="DG21" s="3">
        <f>ROUND(0.0,2)</f>
        <v/>
      </c>
      <c r="DH21" s="3">
        <f>ROUND(0.0,2)</f>
        <v/>
      </c>
      <c r="DI21" s="3">
        <f>ROUND(0.0,2)</f>
        <v/>
      </c>
      <c r="DJ21" s="4">
        <f>IFERROR((DD21/DC21),0)</f>
        <v/>
      </c>
      <c r="DK21" s="4">
        <f>IFERROR(((0+DB11+DB12+DB13+DB14+DB15+DB16+DB17+DB19+DB20+DB21)/T2),0)</f>
        <v/>
      </c>
      <c r="DL21" s="5">
        <f>IFERROR(ROUND(DB21/DD21,2),0)</f>
        <v/>
      </c>
      <c r="DM21" s="5">
        <f>IFERROR(ROUND(DB21/DE21,2),0)</f>
        <v/>
      </c>
      <c r="DN21" s="2" t="inlineStr">
        <is>
          <t>2023-09-29</t>
        </is>
      </c>
      <c r="DO21" s="5">
        <f>ROUND(0.0,2)</f>
        <v/>
      </c>
      <c r="DP21" s="3">
        <f>ROUND(0.0,2)</f>
        <v/>
      </c>
      <c r="DQ21" s="3">
        <f>ROUND(0.0,2)</f>
        <v/>
      </c>
      <c r="DR21" s="3">
        <f>ROUND(0.0,2)</f>
        <v/>
      </c>
      <c r="DS21" s="3">
        <f>ROUND(0.0,2)</f>
        <v/>
      </c>
      <c r="DT21" s="3">
        <f>ROUND(0.0,2)</f>
        <v/>
      </c>
      <c r="DU21" s="3">
        <f>ROUND(0.0,2)</f>
        <v/>
      </c>
      <c r="DV21" s="3">
        <f>ROUND(0.0,2)</f>
        <v/>
      </c>
      <c r="DW21" s="4">
        <f>IFERROR((DQ21/DP21),0)</f>
        <v/>
      </c>
      <c r="DX21" s="4">
        <f>IFERROR(((0+DO11+DO12+DO13+DO14+DO15+DO16+DO17+DO19+DO20+DO21)/T2),0)</f>
        <v/>
      </c>
      <c r="DY21" s="5">
        <f>IFERROR(ROUND(DO21/DQ21,2),0)</f>
        <v/>
      </c>
      <c r="DZ21" s="5">
        <f>IFERROR(ROUND(DO21/DR21,2),0)</f>
        <v/>
      </c>
      <c r="EA21" s="2" t="inlineStr">
        <is>
          <t>2023-09-29</t>
        </is>
      </c>
      <c r="EB21" s="5">
        <f>ROUND(0.0,2)</f>
        <v/>
      </c>
      <c r="EC21" s="3">
        <f>ROUND(0.0,2)</f>
        <v/>
      </c>
      <c r="ED21" s="3">
        <f>ROUND(0.0,2)</f>
        <v/>
      </c>
      <c r="EE21" s="3">
        <f>ROUND(0.0,2)</f>
        <v/>
      </c>
      <c r="EF21" s="3">
        <f>ROUND(0.0,2)</f>
        <v/>
      </c>
      <c r="EG21" s="3">
        <f>ROUND(0.0,2)</f>
        <v/>
      </c>
      <c r="EH21" s="3">
        <f>ROUND(0.0,2)</f>
        <v/>
      </c>
      <c r="EI21" s="3">
        <f>ROUND(0.0,2)</f>
        <v/>
      </c>
      <c r="EJ21" s="4">
        <f>IFERROR((ED21/EC21),0)</f>
        <v/>
      </c>
      <c r="EK21" s="4">
        <f>IFERROR(((0+EB11+EB12+EB13+EB14+EB15+EB16+EB17+EB19+EB20+EB21)/T2),0)</f>
        <v/>
      </c>
      <c r="EL21" s="5">
        <f>IFERROR(ROUND(EB21/ED21,2),0)</f>
        <v/>
      </c>
      <c r="EM21" s="5">
        <f>IFERROR(ROUND(EB21/EE21,2),0)</f>
        <v/>
      </c>
      <c r="EN21" s="2" t="inlineStr">
        <is>
          <t>2023-09-29</t>
        </is>
      </c>
      <c r="EO21" s="5">
        <f>ROUND(0.0,2)</f>
        <v/>
      </c>
      <c r="EP21" s="3">
        <f>ROUND(0.0,2)</f>
        <v/>
      </c>
      <c r="EQ21" s="3">
        <f>ROUND(0.0,2)</f>
        <v/>
      </c>
      <c r="ER21" s="3">
        <f>ROUND(0.0,2)</f>
        <v/>
      </c>
      <c r="ES21" s="3">
        <f>ROUND(0.0,2)</f>
        <v/>
      </c>
      <c r="ET21" s="3">
        <f>ROUND(0.0,2)</f>
        <v/>
      </c>
      <c r="EU21" s="3">
        <f>ROUND(0.0,2)</f>
        <v/>
      </c>
      <c r="EV21" s="3">
        <f>ROUND(0.0,2)</f>
        <v/>
      </c>
      <c r="EW21" s="4">
        <f>IFERROR((EQ21/EP21),0)</f>
        <v/>
      </c>
      <c r="EX21" s="4">
        <f>IFERROR(((0+EO11+EO12+EO13+EO14+EO15+EO16+EO17+EO19+EO20+EO21)/T2),0)</f>
        <v/>
      </c>
      <c r="EY21" s="5">
        <f>IFERROR(ROUND(EO21/EQ21,2),0)</f>
        <v/>
      </c>
      <c r="EZ21" s="5">
        <f>IFERROR(ROUND(EO21/ER21,2),0)</f>
        <v/>
      </c>
      <c r="FA21" s="2" t="inlineStr">
        <is>
          <t>2023-09-29</t>
        </is>
      </c>
      <c r="FB21" s="5">
        <f>ROUND(0.0,2)</f>
        <v/>
      </c>
      <c r="FC21" s="3">
        <f>ROUND(0.0,2)</f>
        <v/>
      </c>
      <c r="FD21" s="3">
        <f>ROUND(0.0,2)</f>
        <v/>
      </c>
      <c r="FE21" s="3">
        <f>ROUND(0.0,2)</f>
        <v/>
      </c>
      <c r="FF21" s="3">
        <f>ROUND(0.0,2)</f>
        <v/>
      </c>
      <c r="FG21" s="3">
        <f>ROUND(0.0,2)</f>
        <v/>
      </c>
      <c r="FH21" s="3">
        <f>ROUND(0.0,2)</f>
        <v/>
      </c>
      <c r="FI21" s="3">
        <f>ROUND(0.0,2)</f>
        <v/>
      </c>
      <c r="FJ21" s="4">
        <f>IFERROR((FD21/FC21),0)</f>
        <v/>
      </c>
      <c r="FK21" s="4">
        <f>IFERROR(((0+FB11+FB12+FB13+FB14+FB15+FB16+FB17+FB19+FB20+FB21)/T2),0)</f>
        <v/>
      </c>
      <c r="FL21" s="5">
        <f>IFERROR(ROUND(FB21/FD21,2),0)</f>
        <v/>
      </c>
      <c r="FM21" s="5">
        <f>IFERROR(ROUND(FB21/FE21,2),0)</f>
        <v/>
      </c>
      <c r="FN21" s="2" t="inlineStr">
        <is>
          <t>2023-09-29</t>
        </is>
      </c>
      <c r="FO21" s="5">
        <f>ROUND(0.0,2)</f>
        <v/>
      </c>
      <c r="FP21" s="3">
        <f>ROUND(0.0,2)</f>
        <v/>
      </c>
      <c r="FQ21" s="3">
        <f>ROUND(0.0,2)</f>
        <v/>
      </c>
      <c r="FR21" s="3">
        <f>ROUND(0.0,2)</f>
        <v/>
      </c>
      <c r="FS21" s="3">
        <f>ROUND(0.0,2)</f>
        <v/>
      </c>
      <c r="FT21" s="3">
        <f>ROUND(0.0,2)</f>
        <v/>
      </c>
      <c r="FU21" s="3">
        <f>ROUND(0.0,2)</f>
        <v/>
      </c>
      <c r="FV21" s="3">
        <f>ROUND(0.0,2)</f>
        <v/>
      </c>
      <c r="FW21" s="4">
        <f>IFERROR((FQ21/FP21),0)</f>
        <v/>
      </c>
      <c r="FX21" s="4">
        <f>IFERROR(((0+FO11+FO12+FO13+FO14+FO15+FO16+FO17+FO19+FO20+FO21)/T2),0)</f>
        <v/>
      </c>
      <c r="FY21" s="5">
        <f>IFERROR(ROUND(FO21/FQ21,2),0)</f>
        <v/>
      </c>
      <c r="FZ21" s="5">
        <f>IFERROR(ROUND(FO21/FR21,2),0)</f>
        <v/>
      </c>
      <c r="GA21" s="2" t="inlineStr">
        <is>
          <t>2023-09-29</t>
        </is>
      </c>
      <c r="GB21" s="5">
        <f>ROUND(0.0,2)</f>
        <v/>
      </c>
      <c r="GC21" s="3">
        <f>ROUND(0.0,2)</f>
        <v/>
      </c>
      <c r="GD21" s="3">
        <f>ROUND(0.0,2)</f>
        <v/>
      </c>
      <c r="GE21" s="3">
        <f>ROUND(0.0,2)</f>
        <v/>
      </c>
      <c r="GF21" s="3">
        <f>ROUND(0.0,2)</f>
        <v/>
      </c>
      <c r="GG21" s="3">
        <f>ROUND(0.0,2)</f>
        <v/>
      </c>
      <c r="GH21" s="3">
        <f>ROUND(0.0,2)</f>
        <v/>
      </c>
      <c r="GI21" s="3">
        <f>ROUND(0.0,2)</f>
        <v/>
      </c>
      <c r="GJ21" s="4">
        <f>IFERROR((GD21/GC21),0)</f>
        <v/>
      </c>
      <c r="GK21" s="4">
        <f>IFERROR(((0+GB11+GB12+GB13+GB14+GB15+GB16+GB17+GB19+GB20+GB21)/T2),0)</f>
        <v/>
      </c>
      <c r="GL21" s="5">
        <f>IFERROR(ROUND(GB21/GD21,2),0)</f>
        <v/>
      </c>
      <c r="GM21" s="5">
        <f>IFERROR(ROUND(GB21/GE21,2),0)</f>
        <v/>
      </c>
    </row>
    <row r="22">
      <c r="A22" s="2" t="inlineStr">
        <is>
          <t>2023-09-30</t>
        </is>
      </c>
      <c r="B22" s="5">
        <f>ROUND(0.0,2)</f>
        <v/>
      </c>
      <c r="C22" s="3">
        <f>ROUND(0.0,2)</f>
        <v/>
      </c>
      <c r="D22" s="3">
        <f>ROUND(0.0,2)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IFERROR(((0+B11+B12+B13+B14+B15+B16+B17+B19+B20+B21+B22)/T2),0)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2023-09-30</t>
        </is>
      </c>
      <c r="O22" s="5">
        <f>ROUND(0.0,2)</f>
        <v/>
      </c>
      <c r="P22" s="3">
        <f>ROUND(0.0,2)</f>
        <v/>
      </c>
      <c r="Q22" s="3">
        <f>ROUND(0.0,2)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IFERROR(((0+O11+O12+O13+O14+O15+O16+O17+O19+O20+O21+O22)/T2),0)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2023-09-30</t>
        </is>
      </c>
      <c r="AB22" s="5">
        <f>ROUND(0.0,2)</f>
        <v/>
      </c>
      <c r="AC22" s="3">
        <f>ROUND(0.0,2)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IFERROR(((0+AB11+AB12+AB13+AB14+AB15+AB16+AB17+AB19+AB20+AB21+AB22)/T2),0)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2023-09-30</t>
        </is>
      </c>
      <c r="AO22" s="5">
        <f>ROUND(0.0,2)</f>
        <v/>
      </c>
      <c r="AP22" s="3">
        <f>ROUND(0.0,2)</f>
        <v/>
      </c>
      <c r="AQ22" s="3">
        <f>ROUND(0.0,2)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IFERROR(((0+AO11+AO12+AO13+AO14+AO15+AO16+AO17+AO19+AO20+AO21+AO22)/T2),0)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2023-09-30</t>
        </is>
      </c>
      <c r="BB22" s="5">
        <f>ROUND(0.0,2)</f>
        <v/>
      </c>
      <c r="BC22" s="3">
        <f>ROUND(0.0,2)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IFERROR(((0+BB11+BB12+BB13+BB14+BB15+BB16+BB17+BB19+BB20+BB21+BB22)/T2),0)</f>
        <v/>
      </c>
      <c r="BL22" s="5">
        <f>IFERROR(ROUND(BB22/BD22,2),0)</f>
        <v/>
      </c>
      <c r="BM22" s="5">
        <f>IFERROR(ROUND(BB22/BE22,2),0)</f>
        <v/>
      </c>
      <c r="BN22" s="2" t="inlineStr">
        <is>
          <t>2023-09-30</t>
        </is>
      </c>
      <c r="BO22" s="5">
        <f>ROUND(0.0,2)</f>
        <v/>
      </c>
      <c r="BP22" s="3">
        <f>ROUND(0.0,2)</f>
        <v/>
      </c>
      <c r="BQ22" s="3">
        <f>ROUND(0.0,2)</f>
        <v/>
      </c>
      <c r="BR22" s="3">
        <f>ROUND(0.0,2)</f>
        <v/>
      </c>
      <c r="BS22" s="3">
        <f>ROUND(0.0,2)</f>
        <v/>
      </c>
      <c r="BT22" s="3">
        <f>ROUND(0.0,2)</f>
        <v/>
      </c>
      <c r="BU22" s="3">
        <f>ROUND(0.0,2)</f>
        <v/>
      </c>
      <c r="BV22" s="3">
        <f>ROUND(0.0,2)</f>
        <v/>
      </c>
      <c r="BW22" s="4">
        <f>IFERROR((BQ22/BP22),0)</f>
        <v/>
      </c>
      <c r="BX22" s="4">
        <f>IFERROR(((0+BO11+BO12+BO13+BO14+BO15+BO16+BO17+BO19+BO20+BO21+BO22)/T2),0)</f>
        <v/>
      </c>
      <c r="BY22" s="5">
        <f>IFERROR(ROUND(BO22/BQ22,2),0)</f>
        <v/>
      </c>
      <c r="BZ22" s="5">
        <f>IFERROR(ROUND(BO22/BR22,2),0)</f>
        <v/>
      </c>
      <c r="CA22" s="2" t="inlineStr">
        <is>
          <t>2023-09-30</t>
        </is>
      </c>
      <c r="CB22" s="5">
        <f>ROUND(0.0,2)</f>
        <v/>
      </c>
      <c r="CC22" s="3">
        <f>ROUND(0.0,2)</f>
        <v/>
      </c>
      <c r="CD22" s="3">
        <f>ROUND(0.0,2)</f>
        <v/>
      </c>
      <c r="CE22" s="3">
        <f>ROUND(0.0,2)</f>
        <v/>
      </c>
      <c r="CF22" s="3">
        <f>ROUND(0.0,2)</f>
        <v/>
      </c>
      <c r="CG22" s="3">
        <f>ROUND(0.0,2)</f>
        <v/>
      </c>
      <c r="CH22" s="3">
        <f>ROUND(0.0,2)</f>
        <v/>
      </c>
      <c r="CI22" s="3">
        <f>ROUND(0.0,2)</f>
        <v/>
      </c>
      <c r="CJ22" s="4">
        <f>IFERROR((CD22/CC22),0)</f>
        <v/>
      </c>
      <c r="CK22" s="4">
        <f>IFERROR(((0+CB11+CB12+CB13+CB14+CB15+CB16+CB17+CB19+CB20+CB21+CB22)/T2),0)</f>
        <v/>
      </c>
      <c r="CL22" s="5">
        <f>IFERROR(ROUND(CB22/CD22,2),0)</f>
        <v/>
      </c>
      <c r="CM22" s="5">
        <f>IFERROR(ROUND(CB22/CE22,2),0)</f>
        <v/>
      </c>
      <c r="CN22" s="2" t="inlineStr">
        <is>
          <t>2023-09-30</t>
        </is>
      </c>
      <c r="CO22" s="5">
        <f>ROUND(0.0,2)</f>
        <v/>
      </c>
      <c r="CP22" s="3">
        <f>ROUND(0.0,2)</f>
        <v/>
      </c>
      <c r="CQ22" s="3">
        <f>ROUND(0.0,2)</f>
        <v/>
      </c>
      <c r="CR22" s="3">
        <f>ROUND(0.0,2)</f>
        <v/>
      </c>
      <c r="CS22" s="3">
        <f>ROUND(0.0,2)</f>
        <v/>
      </c>
      <c r="CT22" s="3">
        <f>ROUND(0.0,2)</f>
        <v/>
      </c>
      <c r="CU22" s="3">
        <f>ROUND(0.0,2)</f>
        <v/>
      </c>
      <c r="CV22" s="3">
        <f>ROUND(0.0,2)</f>
        <v/>
      </c>
      <c r="CW22" s="4">
        <f>IFERROR((CQ22/CP22),0)</f>
        <v/>
      </c>
      <c r="CX22" s="4">
        <f>IFERROR(((0+CO11+CO12+CO13+CO14+CO15+CO16+CO17+CO19+CO20+CO21+CO22)/T2),0)</f>
        <v/>
      </c>
      <c r="CY22" s="5">
        <f>IFERROR(ROUND(CO22/CQ22,2),0)</f>
        <v/>
      </c>
      <c r="CZ22" s="5">
        <f>IFERROR(ROUND(CO22/CR22,2),0)</f>
        <v/>
      </c>
      <c r="DA22" s="2" t="inlineStr">
        <is>
          <t>2023-09-30</t>
        </is>
      </c>
      <c r="DB22" s="5">
        <f>ROUND(0.0,2)</f>
        <v/>
      </c>
      <c r="DC22" s="3">
        <f>ROUND(0.0,2)</f>
        <v/>
      </c>
      <c r="DD22" s="3">
        <f>ROUND(0.0,2)</f>
        <v/>
      </c>
      <c r="DE22" s="3">
        <f>ROUND(0.0,2)</f>
        <v/>
      </c>
      <c r="DF22" s="3">
        <f>ROUND(0.0,2)</f>
        <v/>
      </c>
      <c r="DG22" s="3">
        <f>ROUND(0.0,2)</f>
        <v/>
      </c>
      <c r="DH22" s="3">
        <f>ROUND(0.0,2)</f>
        <v/>
      </c>
      <c r="DI22" s="3">
        <f>ROUND(0.0,2)</f>
        <v/>
      </c>
      <c r="DJ22" s="4">
        <f>IFERROR((DD22/DC22),0)</f>
        <v/>
      </c>
      <c r="DK22" s="4">
        <f>IFERROR(((0+DB11+DB12+DB13+DB14+DB15+DB16+DB17+DB19+DB20+DB21+DB22)/T2),0)</f>
        <v/>
      </c>
      <c r="DL22" s="5">
        <f>IFERROR(ROUND(DB22/DD22,2),0)</f>
        <v/>
      </c>
      <c r="DM22" s="5">
        <f>IFERROR(ROUND(DB22/DE22,2),0)</f>
        <v/>
      </c>
      <c r="DN22" s="2" t="inlineStr">
        <is>
          <t>2023-09-30</t>
        </is>
      </c>
      <c r="DO22" s="5">
        <f>ROUND(0.0,2)</f>
        <v/>
      </c>
      <c r="DP22" s="3">
        <f>ROUND(0.0,2)</f>
        <v/>
      </c>
      <c r="DQ22" s="3">
        <f>ROUND(0.0,2)</f>
        <v/>
      </c>
      <c r="DR22" s="3">
        <f>ROUND(0.0,2)</f>
        <v/>
      </c>
      <c r="DS22" s="3">
        <f>ROUND(0.0,2)</f>
        <v/>
      </c>
      <c r="DT22" s="3">
        <f>ROUND(0.0,2)</f>
        <v/>
      </c>
      <c r="DU22" s="3">
        <f>ROUND(0.0,2)</f>
        <v/>
      </c>
      <c r="DV22" s="3">
        <f>ROUND(0.0,2)</f>
        <v/>
      </c>
      <c r="DW22" s="4">
        <f>IFERROR((DQ22/DP22),0)</f>
        <v/>
      </c>
      <c r="DX22" s="4">
        <f>IFERROR(((0+DO11+DO12+DO13+DO14+DO15+DO16+DO17+DO19+DO20+DO21+DO22)/T2),0)</f>
        <v/>
      </c>
      <c r="DY22" s="5">
        <f>IFERROR(ROUND(DO22/DQ22,2),0)</f>
        <v/>
      </c>
      <c r="DZ22" s="5">
        <f>IFERROR(ROUND(DO22/DR22,2),0)</f>
        <v/>
      </c>
      <c r="EA22" s="2" t="inlineStr">
        <is>
          <t>2023-09-30</t>
        </is>
      </c>
      <c r="EB22" s="5">
        <f>ROUND(0.0,2)</f>
        <v/>
      </c>
      <c r="EC22" s="3">
        <f>ROUND(0.0,2)</f>
        <v/>
      </c>
      <c r="ED22" s="3">
        <f>ROUND(0.0,2)</f>
        <v/>
      </c>
      <c r="EE22" s="3">
        <f>ROUND(0.0,2)</f>
        <v/>
      </c>
      <c r="EF22" s="3">
        <f>ROUND(0.0,2)</f>
        <v/>
      </c>
      <c r="EG22" s="3">
        <f>ROUND(0.0,2)</f>
        <v/>
      </c>
      <c r="EH22" s="3">
        <f>ROUND(0.0,2)</f>
        <v/>
      </c>
      <c r="EI22" s="3">
        <f>ROUND(0.0,2)</f>
        <v/>
      </c>
      <c r="EJ22" s="4">
        <f>IFERROR((ED22/EC22),0)</f>
        <v/>
      </c>
      <c r="EK22" s="4">
        <f>IFERROR(((0+EB11+EB12+EB13+EB14+EB15+EB16+EB17+EB19+EB20+EB21+EB22)/T2),0)</f>
        <v/>
      </c>
      <c r="EL22" s="5">
        <f>IFERROR(ROUND(EB22/ED22,2),0)</f>
        <v/>
      </c>
      <c r="EM22" s="5">
        <f>IFERROR(ROUND(EB22/EE22,2),0)</f>
        <v/>
      </c>
      <c r="EN22" s="2" t="inlineStr">
        <is>
          <t>2023-09-30</t>
        </is>
      </c>
      <c r="EO22" s="5">
        <f>ROUND(0.0,2)</f>
        <v/>
      </c>
      <c r="EP22" s="3">
        <f>ROUND(0.0,2)</f>
        <v/>
      </c>
      <c r="EQ22" s="3">
        <f>ROUND(0.0,2)</f>
        <v/>
      </c>
      <c r="ER22" s="3">
        <f>ROUND(0.0,2)</f>
        <v/>
      </c>
      <c r="ES22" s="3">
        <f>ROUND(0.0,2)</f>
        <v/>
      </c>
      <c r="ET22" s="3">
        <f>ROUND(0.0,2)</f>
        <v/>
      </c>
      <c r="EU22" s="3">
        <f>ROUND(0.0,2)</f>
        <v/>
      </c>
      <c r="EV22" s="3">
        <f>ROUND(0.0,2)</f>
        <v/>
      </c>
      <c r="EW22" s="4">
        <f>IFERROR((EQ22/EP22),0)</f>
        <v/>
      </c>
      <c r="EX22" s="4">
        <f>IFERROR(((0+EO11+EO12+EO13+EO14+EO15+EO16+EO17+EO19+EO20+EO21+EO22)/T2),0)</f>
        <v/>
      </c>
      <c r="EY22" s="5">
        <f>IFERROR(ROUND(EO22/EQ22,2),0)</f>
        <v/>
      </c>
      <c r="EZ22" s="5">
        <f>IFERROR(ROUND(EO22/ER22,2),0)</f>
        <v/>
      </c>
      <c r="FA22" s="2" t="inlineStr">
        <is>
          <t>2023-09-30</t>
        </is>
      </c>
      <c r="FB22" s="5">
        <f>ROUND(0.0,2)</f>
        <v/>
      </c>
      <c r="FC22" s="3">
        <f>ROUND(0.0,2)</f>
        <v/>
      </c>
      <c r="FD22" s="3">
        <f>ROUND(0.0,2)</f>
        <v/>
      </c>
      <c r="FE22" s="3">
        <f>ROUND(0.0,2)</f>
        <v/>
      </c>
      <c r="FF22" s="3">
        <f>ROUND(0.0,2)</f>
        <v/>
      </c>
      <c r="FG22" s="3">
        <f>ROUND(0.0,2)</f>
        <v/>
      </c>
      <c r="FH22" s="3">
        <f>ROUND(0.0,2)</f>
        <v/>
      </c>
      <c r="FI22" s="3">
        <f>ROUND(0.0,2)</f>
        <v/>
      </c>
      <c r="FJ22" s="4">
        <f>IFERROR((FD22/FC22),0)</f>
        <v/>
      </c>
      <c r="FK22" s="4">
        <f>IFERROR(((0+FB11+FB12+FB13+FB14+FB15+FB16+FB17+FB19+FB20+FB21+FB22)/T2),0)</f>
        <v/>
      </c>
      <c r="FL22" s="5">
        <f>IFERROR(ROUND(FB22/FD22,2),0)</f>
        <v/>
      </c>
      <c r="FM22" s="5">
        <f>IFERROR(ROUND(FB22/FE22,2),0)</f>
        <v/>
      </c>
      <c r="FN22" s="2" t="inlineStr">
        <is>
          <t>2023-09-30</t>
        </is>
      </c>
      <c r="FO22" s="5">
        <f>ROUND(0.0,2)</f>
        <v/>
      </c>
      <c r="FP22" s="3">
        <f>ROUND(0.0,2)</f>
        <v/>
      </c>
      <c r="FQ22" s="3">
        <f>ROUND(0.0,2)</f>
        <v/>
      </c>
      <c r="FR22" s="3">
        <f>ROUND(0.0,2)</f>
        <v/>
      </c>
      <c r="FS22" s="3">
        <f>ROUND(0.0,2)</f>
        <v/>
      </c>
      <c r="FT22" s="3">
        <f>ROUND(0.0,2)</f>
        <v/>
      </c>
      <c r="FU22" s="3">
        <f>ROUND(0.0,2)</f>
        <v/>
      </c>
      <c r="FV22" s="3">
        <f>ROUND(0.0,2)</f>
        <v/>
      </c>
      <c r="FW22" s="4">
        <f>IFERROR((FQ22/FP22),0)</f>
        <v/>
      </c>
      <c r="FX22" s="4">
        <f>IFERROR(((0+FO11+FO12+FO13+FO14+FO15+FO16+FO17+FO19+FO20+FO21+FO22)/T2),0)</f>
        <v/>
      </c>
      <c r="FY22" s="5">
        <f>IFERROR(ROUND(FO22/FQ22,2),0)</f>
        <v/>
      </c>
      <c r="FZ22" s="5">
        <f>IFERROR(ROUND(FO22/FR22,2),0)</f>
        <v/>
      </c>
      <c r="GA22" s="2" t="inlineStr">
        <is>
          <t>2023-09-30</t>
        </is>
      </c>
      <c r="GB22" s="5">
        <f>ROUND(0.0,2)</f>
        <v/>
      </c>
      <c r="GC22" s="3">
        <f>ROUND(0.0,2)</f>
        <v/>
      </c>
      <c r="GD22" s="3">
        <f>ROUND(0.0,2)</f>
        <v/>
      </c>
      <c r="GE22" s="3">
        <f>ROUND(0.0,2)</f>
        <v/>
      </c>
      <c r="GF22" s="3">
        <f>ROUND(0.0,2)</f>
        <v/>
      </c>
      <c r="GG22" s="3">
        <f>ROUND(0.0,2)</f>
        <v/>
      </c>
      <c r="GH22" s="3">
        <f>ROUND(0.0,2)</f>
        <v/>
      </c>
      <c r="GI22" s="3">
        <f>ROUND(0.0,2)</f>
        <v/>
      </c>
      <c r="GJ22" s="4">
        <f>IFERROR((GD22/GC22),0)</f>
        <v/>
      </c>
      <c r="GK22" s="4">
        <f>IFERROR(((0+GB11+GB12+GB13+GB14+GB15+GB16+GB17+GB19+GB20+GB21+GB22)/T2),0)</f>
        <v/>
      </c>
      <c r="GL22" s="5">
        <f>IFERROR(ROUND(GB22/GD22,2),0)</f>
        <v/>
      </c>
      <c r="GM22" s="5">
        <f>IFERROR(ROUND(GB22/GE22,2),0)</f>
        <v/>
      </c>
    </row>
    <row r="23">
      <c r="A23" s="2" t="inlineStr">
        <is>
          <t>2023-10-01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IFERROR(((0+B11+B12+B13+B14+B15+B16+B17+B19+B20+B21+B22+B23)/T2),0)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2023-10-01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IFERROR(((0+O11+O12+O13+O14+O15+O16+O17+O19+O20+O21+O22+O23)/T2),0)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2023-10-01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IFERROR(((0+AB11+AB12+AB13+AB14+AB15+AB16+AB17+AB19+AB20+AB21+AB22+AB23)/T2),0)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2023-10-01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IFERROR(((0+AO11+AO12+AO13+AO14+AO15+AO16+AO17+AO19+AO20+AO21+AO22+AO23)/T2),0)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2023-10-01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IFERROR(((0+BB11+BB12+BB13+BB14+BB15+BB16+BB17+BB19+BB20+BB21+BB22+BB23)/T2),0)</f>
        <v/>
      </c>
      <c r="BL23" s="5">
        <f>IFERROR(ROUND(BB23/BD23,2),0)</f>
        <v/>
      </c>
      <c r="BM23" s="5">
        <f>IFERROR(ROUND(BB23/BE23,2),0)</f>
        <v/>
      </c>
      <c r="BN23" s="2" t="inlineStr">
        <is>
          <t>2023-10-01</t>
        </is>
      </c>
      <c r="BO23" s="5">
        <f>ROUND(0.0,2)</f>
        <v/>
      </c>
      <c r="BP23" s="3">
        <f>ROUND(0.0,2)</f>
        <v/>
      </c>
      <c r="BQ23" s="3">
        <f>ROUND(0.0,2)</f>
        <v/>
      </c>
      <c r="BR23" s="3">
        <f>ROUND(0.0,2)</f>
        <v/>
      </c>
      <c r="BS23" s="3">
        <f>ROUND(0.0,2)</f>
        <v/>
      </c>
      <c r="BT23" s="3">
        <f>ROUND(0.0,2)</f>
        <v/>
      </c>
      <c r="BU23" s="3">
        <f>ROUND(0.0,2)</f>
        <v/>
      </c>
      <c r="BV23" s="3">
        <f>ROUND(0.0,2)</f>
        <v/>
      </c>
      <c r="BW23" s="4">
        <f>IFERROR((BQ23/BP23),0)</f>
        <v/>
      </c>
      <c r="BX23" s="4">
        <f>IFERROR(((0+BO11+BO12+BO13+BO14+BO15+BO16+BO17+BO19+BO20+BO21+BO22+BO23)/T2),0)</f>
        <v/>
      </c>
      <c r="BY23" s="5">
        <f>IFERROR(ROUND(BO23/BQ23,2),0)</f>
        <v/>
      </c>
      <c r="BZ23" s="5">
        <f>IFERROR(ROUND(BO23/BR23,2),0)</f>
        <v/>
      </c>
      <c r="CA23" s="2" t="inlineStr">
        <is>
          <t>2023-10-01</t>
        </is>
      </c>
      <c r="CB23" s="5">
        <f>ROUND(0.0,2)</f>
        <v/>
      </c>
      <c r="CC23" s="3">
        <f>ROUND(0.0,2)</f>
        <v/>
      </c>
      <c r="CD23" s="3">
        <f>ROUND(0.0,2)</f>
        <v/>
      </c>
      <c r="CE23" s="3">
        <f>ROUND(0.0,2)</f>
        <v/>
      </c>
      <c r="CF23" s="3">
        <f>ROUND(0.0,2)</f>
        <v/>
      </c>
      <c r="CG23" s="3">
        <f>ROUND(0.0,2)</f>
        <v/>
      </c>
      <c r="CH23" s="3">
        <f>ROUND(0.0,2)</f>
        <v/>
      </c>
      <c r="CI23" s="3">
        <f>ROUND(0.0,2)</f>
        <v/>
      </c>
      <c r="CJ23" s="4">
        <f>IFERROR((CD23/CC23),0)</f>
        <v/>
      </c>
      <c r="CK23" s="4">
        <f>IFERROR(((0+CB11+CB12+CB13+CB14+CB15+CB16+CB17+CB19+CB20+CB21+CB22+CB23)/T2),0)</f>
        <v/>
      </c>
      <c r="CL23" s="5">
        <f>IFERROR(ROUND(CB23/CD23,2),0)</f>
        <v/>
      </c>
      <c r="CM23" s="5">
        <f>IFERROR(ROUND(CB23/CE23,2),0)</f>
        <v/>
      </c>
      <c r="CN23" s="2" t="inlineStr">
        <is>
          <t>2023-10-01</t>
        </is>
      </c>
      <c r="CO23" s="5">
        <f>ROUND(0.0,2)</f>
        <v/>
      </c>
      <c r="CP23" s="3">
        <f>ROUND(0.0,2)</f>
        <v/>
      </c>
      <c r="CQ23" s="3">
        <f>ROUND(0.0,2)</f>
        <v/>
      </c>
      <c r="CR23" s="3">
        <f>ROUND(0.0,2)</f>
        <v/>
      </c>
      <c r="CS23" s="3">
        <f>ROUND(0.0,2)</f>
        <v/>
      </c>
      <c r="CT23" s="3">
        <f>ROUND(0.0,2)</f>
        <v/>
      </c>
      <c r="CU23" s="3">
        <f>ROUND(0.0,2)</f>
        <v/>
      </c>
      <c r="CV23" s="3">
        <f>ROUND(0.0,2)</f>
        <v/>
      </c>
      <c r="CW23" s="4">
        <f>IFERROR((CQ23/CP23),0)</f>
        <v/>
      </c>
      <c r="CX23" s="4">
        <f>IFERROR(((0+CO11+CO12+CO13+CO14+CO15+CO16+CO17+CO19+CO20+CO21+CO22+CO23)/T2),0)</f>
        <v/>
      </c>
      <c r="CY23" s="5">
        <f>IFERROR(ROUND(CO23/CQ23,2),0)</f>
        <v/>
      </c>
      <c r="CZ23" s="5">
        <f>IFERROR(ROUND(CO23/CR23,2),0)</f>
        <v/>
      </c>
      <c r="DA23" s="2" t="inlineStr">
        <is>
          <t>2023-10-01</t>
        </is>
      </c>
      <c r="DB23" s="5">
        <f>ROUND(0.0,2)</f>
        <v/>
      </c>
      <c r="DC23" s="3">
        <f>ROUND(0.0,2)</f>
        <v/>
      </c>
      <c r="DD23" s="3">
        <f>ROUND(0.0,2)</f>
        <v/>
      </c>
      <c r="DE23" s="3">
        <f>ROUND(0.0,2)</f>
        <v/>
      </c>
      <c r="DF23" s="3">
        <f>ROUND(0.0,2)</f>
        <v/>
      </c>
      <c r="DG23" s="3">
        <f>ROUND(0.0,2)</f>
        <v/>
      </c>
      <c r="DH23" s="3">
        <f>ROUND(0.0,2)</f>
        <v/>
      </c>
      <c r="DI23" s="3">
        <f>ROUND(0.0,2)</f>
        <v/>
      </c>
      <c r="DJ23" s="4">
        <f>IFERROR((DD23/DC23),0)</f>
        <v/>
      </c>
      <c r="DK23" s="4">
        <f>IFERROR(((0+DB11+DB12+DB13+DB14+DB15+DB16+DB17+DB19+DB20+DB21+DB22+DB23)/T2),0)</f>
        <v/>
      </c>
      <c r="DL23" s="5">
        <f>IFERROR(ROUND(DB23/DD23,2),0)</f>
        <v/>
      </c>
      <c r="DM23" s="5">
        <f>IFERROR(ROUND(DB23/DE23,2),0)</f>
        <v/>
      </c>
      <c r="DN23" s="2" t="inlineStr">
        <is>
          <t>2023-10-01</t>
        </is>
      </c>
      <c r="DO23" s="5">
        <f>ROUND(0.0,2)</f>
        <v/>
      </c>
      <c r="DP23" s="3">
        <f>ROUND(0.0,2)</f>
        <v/>
      </c>
      <c r="DQ23" s="3">
        <f>ROUND(0.0,2)</f>
        <v/>
      </c>
      <c r="DR23" s="3">
        <f>ROUND(0.0,2)</f>
        <v/>
      </c>
      <c r="DS23" s="3">
        <f>ROUND(0.0,2)</f>
        <v/>
      </c>
      <c r="DT23" s="3">
        <f>ROUND(0.0,2)</f>
        <v/>
      </c>
      <c r="DU23" s="3">
        <f>ROUND(0.0,2)</f>
        <v/>
      </c>
      <c r="DV23" s="3">
        <f>ROUND(0.0,2)</f>
        <v/>
      </c>
      <c r="DW23" s="4">
        <f>IFERROR((DQ23/DP23),0)</f>
        <v/>
      </c>
      <c r="DX23" s="4">
        <f>IFERROR(((0+DO11+DO12+DO13+DO14+DO15+DO16+DO17+DO19+DO20+DO21+DO22+DO23)/T2),0)</f>
        <v/>
      </c>
      <c r="DY23" s="5">
        <f>IFERROR(ROUND(DO23/DQ23,2),0)</f>
        <v/>
      </c>
      <c r="DZ23" s="5">
        <f>IFERROR(ROUND(DO23/DR23,2),0)</f>
        <v/>
      </c>
      <c r="EA23" s="2" t="inlineStr">
        <is>
          <t>2023-10-01</t>
        </is>
      </c>
      <c r="EB23" s="5">
        <f>ROUND(0.0,2)</f>
        <v/>
      </c>
      <c r="EC23" s="3">
        <f>ROUND(0.0,2)</f>
        <v/>
      </c>
      <c r="ED23" s="3">
        <f>ROUND(0.0,2)</f>
        <v/>
      </c>
      <c r="EE23" s="3">
        <f>ROUND(0.0,2)</f>
        <v/>
      </c>
      <c r="EF23" s="3">
        <f>ROUND(0.0,2)</f>
        <v/>
      </c>
      <c r="EG23" s="3">
        <f>ROUND(0.0,2)</f>
        <v/>
      </c>
      <c r="EH23" s="3">
        <f>ROUND(0.0,2)</f>
        <v/>
      </c>
      <c r="EI23" s="3">
        <f>ROUND(0.0,2)</f>
        <v/>
      </c>
      <c r="EJ23" s="4">
        <f>IFERROR((ED23/EC23),0)</f>
        <v/>
      </c>
      <c r="EK23" s="4">
        <f>IFERROR(((0+EB11+EB12+EB13+EB14+EB15+EB16+EB17+EB19+EB20+EB21+EB22+EB23)/T2),0)</f>
        <v/>
      </c>
      <c r="EL23" s="5">
        <f>IFERROR(ROUND(EB23/ED23,2),0)</f>
        <v/>
      </c>
      <c r="EM23" s="5">
        <f>IFERROR(ROUND(EB23/EE23,2),0)</f>
        <v/>
      </c>
      <c r="EN23" s="2" t="inlineStr">
        <is>
          <t>2023-10-01</t>
        </is>
      </c>
      <c r="EO23" s="5">
        <f>ROUND(0.0,2)</f>
        <v/>
      </c>
      <c r="EP23" s="3">
        <f>ROUND(0.0,2)</f>
        <v/>
      </c>
      <c r="EQ23" s="3">
        <f>ROUND(0.0,2)</f>
        <v/>
      </c>
      <c r="ER23" s="3">
        <f>ROUND(0.0,2)</f>
        <v/>
      </c>
      <c r="ES23" s="3">
        <f>ROUND(0.0,2)</f>
        <v/>
      </c>
      <c r="ET23" s="3">
        <f>ROUND(0.0,2)</f>
        <v/>
      </c>
      <c r="EU23" s="3">
        <f>ROUND(0.0,2)</f>
        <v/>
      </c>
      <c r="EV23" s="3">
        <f>ROUND(0.0,2)</f>
        <v/>
      </c>
      <c r="EW23" s="4">
        <f>IFERROR((EQ23/EP23),0)</f>
        <v/>
      </c>
      <c r="EX23" s="4">
        <f>IFERROR(((0+EO11+EO12+EO13+EO14+EO15+EO16+EO17+EO19+EO20+EO21+EO22+EO23)/T2),0)</f>
        <v/>
      </c>
      <c r="EY23" s="5">
        <f>IFERROR(ROUND(EO23/EQ23,2),0)</f>
        <v/>
      </c>
      <c r="EZ23" s="5">
        <f>IFERROR(ROUND(EO23/ER23,2),0)</f>
        <v/>
      </c>
      <c r="FA23" s="2" t="inlineStr">
        <is>
          <t>2023-10-01</t>
        </is>
      </c>
      <c r="FB23" s="5">
        <f>ROUND(0.0,2)</f>
        <v/>
      </c>
      <c r="FC23" s="3">
        <f>ROUND(0.0,2)</f>
        <v/>
      </c>
      <c r="FD23" s="3">
        <f>ROUND(0.0,2)</f>
        <v/>
      </c>
      <c r="FE23" s="3">
        <f>ROUND(0.0,2)</f>
        <v/>
      </c>
      <c r="FF23" s="3">
        <f>ROUND(0.0,2)</f>
        <v/>
      </c>
      <c r="FG23" s="3">
        <f>ROUND(0.0,2)</f>
        <v/>
      </c>
      <c r="FH23" s="3">
        <f>ROUND(0.0,2)</f>
        <v/>
      </c>
      <c r="FI23" s="3">
        <f>ROUND(0.0,2)</f>
        <v/>
      </c>
      <c r="FJ23" s="4">
        <f>IFERROR((FD23/FC23),0)</f>
        <v/>
      </c>
      <c r="FK23" s="4">
        <f>IFERROR(((0+FB11+FB12+FB13+FB14+FB15+FB16+FB17+FB19+FB20+FB21+FB22+FB23)/T2),0)</f>
        <v/>
      </c>
      <c r="FL23" s="5">
        <f>IFERROR(ROUND(FB23/FD23,2),0)</f>
        <v/>
      </c>
      <c r="FM23" s="5">
        <f>IFERROR(ROUND(FB23/FE23,2),0)</f>
        <v/>
      </c>
      <c r="FN23" s="2" t="inlineStr">
        <is>
          <t>2023-10-01</t>
        </is>
      </c>
      <c r="FO23" s="5">
        <f>ROUND(0.0,2)</f>
        <v/>
      </c>
      <c r="FP23" s="3">
        <f>ROUND(0.0,2)</f>
        <v/>
      </c>
      <c r="FQ23" s="3">
        <f>ROUND(0.0,2)</f>
        <v/>
      </c>
      <c r="FR23" s="3">
        <f>ROUND(0.0,2)</f>
        <v/>
      </c>
      <c r="FS23" s="3">
        <f>ROUND(0.0,2)</f>
        <v/>
      </c>
      <c r="FT23" s="3">
        <f>ROUND(0.0,2)</f>
        <v/>
      </c>
      <c r="FU23" s="3">
        <f>ROUND(0.0,2)</f>
        <v/>
      </c>
      <c r="FV23" s="3">
        <f>ROUND(0.0,2)</f>
        <v/>
      </c>
      <c r="FW23" s="4">
        <f>IFERROR((FQ23/FP23),0)</f>
        <v/>
      </c>
      <c r="FX23" s="4">
        <f>IFERROR(((0+FO11+FO12+FO13+FO14+FO15+FO16+FO17+FO19+FO20+FO21+FO22+FO23)/T2),0)</f>
        <v/>
      </c>
      <c r="FY23" s="5">
        <f>IFERROR(ROUND(FO23/FQ23,2),0)</f>
        <v/>
      </c>
      <c r="FZ23" s="5">
        <f>IFERROR(ROUND(FO23/FR23,2),0)</f>
        <v/>
      </c>
      <c r="GA23" s="2" t="inlineStr">
        <is>
          <t>2023-10-01</t>
        </is>
      </c>
      <c r="GB23" s="5">
        <f>ROUND(0.0,2)</f>
        <v/>
      </c>
      <c r="GC23" s="3">
        <f>ROUND(0.0,2)</f>
        <v/>
      </c>
      <c r="GD23" s="3">
        <f>ROUND(0.0,2)</f>
        <v/>
      </c>
      <c r="GE23" s="3">
        <f>ROUND(0.0,2)</f>
        <v/>
      </c>
      <c r="GF23" s="3">
        <f>ROUND(0.0,2)</f>
        <v/>
      </c>
      <c r="GG23" s="3">
        <f>ROUND(0.0,2)</f>
        <v/>
      </c>
      <c r="GH23" s="3">
        <f>ROUND(0.0,2)</f>
        <v/>
      </c>
      <c r="GI23" s="3">
        <f>ROUND(0.0,2)</f>
        <v/>
      </c>
      <c r="GJ23" s="4">
        <f>IFERROR((GD23/GC23),0)</f>
        <v/>
      </c>
      <c r="GK23" s="4">
        <f>IFERROR(((0+GB11+GB12+GB13+GB14+GB15+GB16+GB17+GB19+GB20+GB21+GB22+GB23)/T2),0)</f>
        <v/>
      </c>
      <c r="GL23" s="5">
        <f>IFERROR(ROUND(GB23/GD23,2),0)</f>
        <v/>
      </c>
      <c r="GM23" s="5">
        <f>IFERROR(ROUND(GB23/GE23,2),0)</f>
        <v/>
      </c>
    </row>
    <row r="24">
      <c r="A24" s="2" t="inlineStr">
        <is>
          <t>2023-10-02</t>
        </is>
      </c>
      <c r="B24" s="5">
        <f>ROUND(0.0,2)</f>
        <v/>
      </c>
      <c r="C24" s="3">
        <f>ROUND(0.0,2)</f>
        <v/>
      </c>
      <c r="D24" s="3">
        <f>ROUND(0.0,2)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IFERROR(((0+B11+B12+B13+B14+B15+B16+B17+B19+B20+B21+B22+B23+B24)/T2),0)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2023-10-02</t>
        </is>
      </c>
      <c r="O24" s="5">
        <f>ROUND(0.0,2)</f>
        <v/>
      </c>
      <c r="P24" s="3">
        <f>ROUND(0.0,2)</f>
        <v/>
      </c>
      <c r="Q24" s="3">
        <f>ROUND(0.0,2)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IFERROR(((0+O11+O12+O13+O14+O15+O16+O17+O19+O20+O21+O22+O23+O24)/T2),0)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2023-10-02</t>
        </is>
      </c>
      <c r="AB24" s="5">
        <f>ROUND(0.0,2)</f>
        <v/>
      </c>
      <c r="AC24" s="3">
        <f>ROUND(0.0,2)</f>
        <v/>
      </c>
      <c r="AD24" s="3">
        <f>ROUND(0.0,2)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IFERROR(((0+AB11+AB12+AB13+AB14+AB15+AB16+AB17+AB19+AB20+AB21+AB22+AB23+AB24)/T2),0)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2023-10-02</t>
        </is>
      </c>
      <c r="AO24" s="5">
        <f>ROUND(0.0,2)</f>
        <v/>
      </c>
      <c r="AP24" s="3">
        <f>ROUND(0.0,2)</f>
        <v/>
      </c>
      <c r="AQ24" s="3">
        <f>ROUND(0.0,2)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IFERROR(((0+AO11+AO12+AO13+AO14+AO15+AO16+AO17+AO19+AO20+AO21+AO22+AO23+AO24)/T2),0)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2023-10-02</t>
        </is>
      </c>
      <c r="BB24" s="5">
        <f>ROUND(0.0,2)</f>
        <v/>
      </c>
      <c r="BC24" s="3">
        <f>ROUND(0.0,2)</f>
        <v/>
      </c>
      <c r="BD24" s="3">
        <f>ROUND(0.0,2)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IFERROR(((0+BB11+BB12+BB13+BB14+BB15+BB16+BB17+BB19+BB20+BB21+BB22+BB23+BB24)/T2),0)</f>
        <v/>
      </c>
      <c r="BL24" s="5">
        <f>IFERROR(ROUND(BB24/BD24,2),0)</f>
        <v/>
      </c>
      <c r="BM24" s="5">
        <f>IFERROR(ROUND(BB24/BE24,2),0)</f>
        <v/>
      </c>
      <c r="BN24" s="2" t="inlineStr">
        <is>
          <t>2023-10-02</t>
        </is>
      </c>
      <c r="BO24" s="5">
        <f>ROUND(0.0,2)</f>
        <v/>
      </c>
      <c r="BP24" s="3">
        <f>ROUND(0.0,2)</f>
        <v/>
      </c>
      <c r="BQ24" s="3">
        <f>ROUND(0.0,2)</f>
        <v/>
      </c>
      <c r="BR24" s="3">
        <f>ROUND(0.0,2)</f>
        <v/>
      </c>
      <c r="BS24" s="3">
        <f>ROUND(0.0,2)</f>
        <v/>
      </c>
      <c r="BT24" s="3">
        <f>ROUND(0.0,2)</f>
        <v/>
      </c>
      <c r="BU24" s="3">
        <f>ROUND(0.0,2)</f>
        <v/>
      </c>
      <c r="BV24" s="3">
        <f>ROUND(0.0,2)</f>
        <v/>
      </c>
      <c r="BW24" s="4">
        <f>IFERROR((BQ24/BP24),0)</f>
        <v/>
      </c>
      <c r="BX24" s="4">
        <f>IFERROR(((0+BO11+BO12+BO13+BO14+BO15+BO16+BO17+BO19+BO20+BO21+BO22+BO23+BO24)/T2),0)</f>
        <v/>
      </c>
      <c r="BY24" s="5">
        <f>IFERROR(ROUND(BO24/BQ24,2),0)</f>
        <v/>
      </c>
      <c r="BZ24" s="5">
        <f>IFERROR(ROUND(BO24/BR24,2),0)</f>
        <v/>
      </c>
      <c r="CA24" s="2" t="inlineStr">
        <is>
          <t>2023-10-02</t>
        </is>
      </c>
      <c r="CB24" s="5">
        <f>ROUND(0.0,2)</f>
        <v/>
      </c>
      <c r="CC24" s="3">
        <f>ROUND(0.0,2)</f>
        <v/>
      </c>
      <c r="CD24" s="3">
        <f>ROUND(0.0,2)</f>
        <v/>
      </c>
      <c r="CE24" s="3">
        <f>ROUND(0.0,2)</f>
        <v/>
      </c>
      <c r="CF24" s="3">
        <f>ROUND(0.0,2)</f>
        <v/>
      </c>
      <c r="CG24" s="3">
        <f>ROUND(0.0,2)</f>
        <v/>
      </c>
      <c r="CH24" s="3">
        <f>ROUND(0.0,2)</f>
        <v/>
      </c>
      <c r="CI24" s="3">
        <f>ROUND(0.0,2)</f>
        <v/>
      </c>
      <c r="CJ24" s="4">
        <f>IFERROR((CD24/CC24),0)</f>
        <v/>
      </c>
      <c r="CK24" s="4">
        <f>IFERROR(((0+CB11+CB12+CB13+CB14+CB15+CB16+CB17+CB19+CB20+CB21+CB22+CB23+CB24)/T2),0)</f>
        <v/>
      </c>
      <c r="CL24" s="5">
        <f>IFERROR(ROUND(CB24/CD24,2),0)</f>
        <v/>
      </c>
      <c r="CM24" s="5">
        <f>IFERROR(ROUND(CB24/CE24,2),0)</f>
        <v/>
      </c>
      <c r="CN24" s="2" t="inlineStr">
        <is>
          <t>2023-10-02</t>
        </is>
      </c>
      <c r="CO24" s="5">
        <f>ROUND(0.0,2)</f>
        <v/>
      </c>
      <c r="CP24" s="3">
        <f>ROUND(0.0,2)</f>
        <v/>
      </c>
      <c r="CQ24" s="3">
        <f>ROUND(0.0,2)</f>
        <v/>
      </c>
      <c r="CR24" s="3">
        <f>ROUND(0.0,2)</f>
        <v/>
      </c>
      <c r="CS24" s="3">
        <f>ROUND(0.0,2)</f>
        <v/>
      </c>
      <c r="CT24" s="3">
        <f>ROUND(0.0,2)</f>
        <v/>
      </c>
      <c r="CU24" s="3">
        <f>ROUND(0.0,2)</f>
        <v/>
      </c>
      <c r="CV24" s="3">
        <f>ROUND(0.0,2)</f>
        <v/>
      </c>
      <c r="CW24" s="4">
        <f>IFERROR((CQ24/CP24),0)</f>
        <v/>
      </c>
      <c r="CX24" s="4">
        <f>IFERROR(((0+CO11+CO12+CO13+CO14+CO15+CO16+CO17+CO19+CO20+CO21+CO22+CO23+CO24)/T2),0)</f>
        <v/>
      </c>
      <c r="CY24" s="5">
        <f>IFERROR(ROUND(CO24/CQ24,2),0)</f>
        <v/>
      </c>
      <c r="CZ24" s="5">
        <f>IFERROR(ROUND(CO24/CR24,2),0)</f>
        <v/>
      </c>
      <c r="DA24" s="2" t="inlineStr">
        <is>
          <t>2023-10-02</t>
        </is>
      </c>
      <c r="DB24" s="5">
        <f>ROUND(0.0,2)</f>
        <v/>
      </c>
      <c r="DC24" s="3">
        <f>ROUND(0.0,2)</f>
        <v/>
      </c>
      <c r="DD24" s="3">
        <f>ROUND(0.0,2)</f>
        <v/>
      </c>
      <c r="DE24" s="3">
        <f>ROUND(0.0,2)</f>
        <v/>
      </c>
      <c r="DF24" s="3">
        <f>ROUND(0.0,2)</f>
        <v/>
      </c>
      <c r="DG24" s="3">
        <f>ROUND(0.0,2)</f>
        <v/>
      </c>
      <c r="DH24" s="3">
        <f>ROUND(0.0,2)</f>
        <v/>
      </c>
      <c r="DI24" s="3">
        <f>ROUND(0.0,2)</f>
        <v/>
      </c>
      <c r="DJ24" s="4">
        <f>IFERROR((DD24/DC24),0)</f>
        <v/>
      </c>
      <c r="DK24" s="4">
        <f>IFERROR(((0+DB11+DB12+DB13+DB14+DB15+DB16+DB17+DB19+DB20+DB21+DB22+DB23+DB24)/T2),0)</f>
        <v/>
      </c>
      <c r="DL24" s="5">
        <f>IFERROR(ROUND(DB24/DD24,2),0)</f>
        <v/>
      </c>
      <c r="DM24" s="5">
        <f>IFERROR(ROUND(DB24/DE24,2),0)</f>
        <v/>
      </c>
      <c r="DN24" s="2" t="inlineStr">
        <is>
          <t>2023-10-02</t>
        </is>
      </c>
      <c r="DO24" s="5">
        <f>ROUND(0.0,2)</f>
        <v/>
      </c>
      <c r="DP24" s="3">
        <f>ROUND(0.0,2)</f>
        <v/>
      </c>
      <c r="DQ24" s="3">
        <f>ROUND(0.0,2)</f>
        <v/>
      </c>
      <c r="DR24" s="3">
        <f>ROUND(0.0,2)</f>
        <v/>
      </c>
      <c r="DS24" s="3">
        <f>ROUND(0.0,2)</f>
        <v/>
      </c>
      <c r="DT24" s="3">
        <f>ROUND(0.0,2)</f>
        <v/>
      </c>
      <c r="DU24" s="3">
        <f>ROUND(0.0,2)</f>
        <v/>
      </c>
      <c r="DV24" s="3">
        <f>ROUND(0.0,2)</f>
        <v/>
      </c>
      <c r="DW24" s="4">
        <f>IFERROR((DQ24/DP24),0)</f>
        <v/>
      </c>
      <c r="DX24" s="4">
        <f>IFERROR(((0+DO11+DO12+DO13+DO14+DO15+DO16+DO17+DO19+DO20+DO21+DO22+DO23+DO24)/T2),0)</f>
        <v/>
      </c>
      <c r="DY24" s="5">
        <f>IFERROR(ROUND(DO24/DQ24,2),0)</f>
        <v/>
      </c>
      <c r="DZ24" s="5">
        <f>IFERROR(ROUND(DO24/DR24,2),0)</f>
        <v/>
      </c>
      <c r="EA24" s="2" t="inlineStr">
        <is>
          <t>2023-10-02</t>
        </is>
      </c>
      <c r="EB24" s="5">
        <f>ROUND(0.0,2)</f>
        <v/>
      </c>
      <c r="EC24" s="3">
        <f>ROUND(0.0,2)</f>
        <v/>
      </c>
      <c r="ED24" s="3">
        <f>ROUND(0.0,2)</f>
        <v/>
      </c>
      <c r="EE24" s="3">
        <f>ROUND(0.0,2)</f>
        <v/>
      </c>
      <c r="EF24" s="3">
        <f>ROUND(0.0,2)</f>
        <v/>
      </c>
      <c r="EG24" s="3">
        <f>ROUND(0.0,2)</f>
        <v/>
      </c>
      <c r="EH24" s="3">
        <f>ROUND(0.0,2)</f>
        <v/>
      </c>
      <c r="EI24" s="3">
        <f>ROUND(0.0,2)</f>
        <v/>
      </c>
      <c r="EJ24" s="4">
        <f>IFERROR((ED24/EC24),0)</f>
        <v/>
      </c>
      <c r="EK24" s="4">
        <f>IFERROR(((0+EB11+EB12+EB13+EB14+EB15+EB16+EB17+EB19+EB20+EB21+EB22+EB23+EB24)/T2),0)</f>
        <v/>
      </c>
      <c r="EL24" s="5">
        <f>IFERROR(ROUND(EB24/ED24,2),0)</f>
        <v/>
      </c>
      <c r="EM24" s="5">
        <f>IFERROR(ROUND(EB24/EE24,2),0)</f>
        <v/>
      </c>
      <c r="EN24" s="2" t="inlineStr">
        <is>
          <t>2023-10-02</t>
        </is>
      </c>
      <c r="EO24" s="5">
        <f>ROUND(0.0,2)</f>
        <v/>
      </c>
      <c r="EP24" s="3">
        <f>ROUND(0.0,2)</f>
        <v/>
      </c>
      <c r="EQ24" s="3">
        <f>ROUND(0.0,2)</f>
        <v/>
      </c>
      <c r="ER24" s="3">
        <f>ROUND(0.0,2)</f>
        <v/>
      </c>
      <c r="ES24" s="3">
        <f>ROUND(0.0,2)</f>
        <v/>
      </c>
      <c r="ET24" s="3">
        <f>ROUND(0.0,2)</f>
        <v/>
      </c>
      <c r="EU24" s="3">
        <f>ROUND(0.0,2)</f>
        <v/>
      </c>
      <c r="EV24" s="3">
        <f>ROUND(0.0,2)</f>
        <v/>
      </c>
      <c r="EW24" s="4">
        <f>IFERROR((EQ24/EP24),0)</f>
        <v/>
      </c>
      <c r="EX24" s="4">
        <f>IFERROR(((0+EO11+EO12+EO13+EO14+EO15+EO16+EO17+EO19+EO20+EO21+EO22+EO23+EO24)/T2),0)</f>
        <v/>
      </c>
      <c r="EY24" s="5">
        <f>IFERROR(ROUND(EO24/EQ24,2),0)</f>
        <v/>
      </c>
      <c r="EZ24" s="5">
        <f>IFERROR(ROUND(EO24/ER24,2),0)</f>
        <v/>
      </c>
      <c r="FA24" s="2" t="inlineStr">
        <is>
          <t>2023-10-02</t>
        </is>
      </c>
      <c r="FB24" s="5">
        <f>ROUND(0.0,2)</f>
        <v/>
      </c>
      <c r="FC24" s="3">
        <f>ROUND(0.0,2)</f>
        <v/>
      </c>
      <c r="FD24" s="3">
        <f>ROUND(0.0,2)</f>
        <v/>
      </c>
      <c r="FE24" s="3">
        <f>ROUND(0.0,2)</f>
        <v/>
      </c>
      <c r="FF24" s="3">
        <f>ROUND(0.0,2)</f>
        <v/>
      </c>
      <c r="FG24" s="3">
        <f>ROUND(0.0,2)</f>
        <v/>
      </c>
      <c r="FH24" s="3">
        <f>ROUND(0.0,2)</f>
        <v/>
      </c>
      <c r="FI24" s="3">
        <f>ROUND(0.0,2)</f>
        <v/>
      </c>
      <c r="FJ24" s="4">
        <f>IFERROR((FD24/FC24),0)</f>
        <v/>
      </c>
      <c r="FK24" s="4">
        <f>IFERROR(((0+FB11+FB12+FB13+FB14+FB15+FB16+FB17+FB19+FB20+FB21+FB22+FB23+FB24)/T2),0)</f>
        <v/>
      </c>
      <c r="FL24" s="5">
        <f>IFERROR(ROUND(FB24/FD24,2),0)</f>
        <v/>
      </c>
      <c r="FM24" s="5">
        <f>IFERROR(ROUND(FB24/FE24,2),0)</f>
        <v/>
      </c>
      <c r="FN24" s="2" t="inlineStr">
        <is>
          <t>2023-10-02</t>
        </is>
      </c>
      <c r="FO24" s="5">
        <f>ROUND(0.0,2)</f>
        <v/>
      </c>
      <c r="FP24" s="3">
        <f>ROUND(0.0,2)</f>
        <v/>
      </c>
      <c r="FQ24" s="3">
        <f>ROUND(0.0,2)</f>
        <v/>
      </c>
      <c r="FR24" s="3">
        <f>ROUND(0.0,2)</f>
        <v/>
      </c>
      <c r="FS24" s="3">
        <f>ROUND(0.0,2)</f>
        <v/>
      </c>
      <c r="FT24" s="3">
        <f>ROUND(0.0,2)</f>
        <v/>
      </c>
      <c r="FU24" s="3">
        <f>ROUND(0.0,2)</f>
        <v/>
      </c>
      <c r="FV24" s="3">
        <f>ROUND(0.0,2)</f>
        <v/>
      </c>
      <c r="FW24" s="4">
        <f>IFERROR((FQ24/FP24),0)</f>
        <v/>
      </c>
      <c r="FX24" s="4">
        <f>IFERROR(((0+FO11+FO12+FO13+FO14+FO15+FO16+FO17+FO19+FO20+FO21+FO22+FO23+FO24)/T2),0)</f>
        <v/>
      </c>
      <c r="FY24" s="5">
        <f>IFERROR(ROUND(FO24/FQ24,2),0)</f>
        <v/>
      </c>
      <c r="FZ24" s="5">
        <f>IFERROR(ROUND(FO24/FR24,2),0)</f>
        <v/>
      </c>
      <c r="GA24" s="2" t="inlineStr">
        <is>
          <t>2023-10-02</t>
        </is>
      </c>
      <c r="GB24" s="5">
        <f>ROUND(0.0,2)</f>
        <v/>
      </c>
      <c r="GC24" s="3">
        <f>ROUND(0.0,2)</f>
        <v/>
      </c>
      <c r="GD24" s="3">
        <f>ROUND(0.0,2)</f>
        <v/>
      </c>
      <c r="GE24" s="3">
        <f>ROUND(0.0,2)</f>
        <v/>
      </c>
      <c r="GF24" s="3">
        <f>ROUND(0.0,2)</f>
        <v/>
      </c>
      <c r="GG24" s="3">
        <f>ROUND(0.0,2)</f>
        <v/>
      </c>
      <c r="GH24" s="3">
        <f>ROUND(0.0,2)</f>
        <v/>
      </c>
      <c r="GI24" s="3">
        <f>ROUND(0.0,2)</f>
        <v/>
      </c>
      <c r="GJ24" s="4">
        <f>IFERROR((GD24/GC24),0)</f>
        <v/>
      </c>
      <c r="GK24" s="4">
        <f>IFERROR(((0+GB11+GB12+GB13+GB14+GB15+GB16+GB17+GB19+GB20+GB21+GB22+GB23+GB24)/T2),0)</f>
        <v/>
      </c>
      <c r="GL24" s="5">
        <f>IFERROR(ROUND(GB24/GD24,2),0)</f>
        <v/>
      </c>
      <c r="GM24" s="5">
        <f>IFERROR(ROUND(GB24/GE24,2),0)</f>
        <v/>
      </c>
    </row>
    <row r="25">
      <c r="A25" s="2" t="inlineStr">
        <is>
          <t>2023-10-03</t>
        </is>
      </c>
      <c r="B25" s="5">
        <f>ROUND(0.0,2)</f>
        <v/>
      </c>
      <c r="C25" s="3">
        <f>ROUND(0.0,2)</f>
        <v/>
      </c>
      <c r="D25" s="3">
        <f>ROUND(0.0,2)</f>
        <v/>
      </c>
      <c r="E25" s="3">
        <f>ROUND(0.0,2)</f>
        <v/>
      </c>
      <c r="F25" s="3">
        <f>ROUND(0.0,2)</f>
        <v/>
      </c>
      <c r="G25" s="3">
        <f>ROUND(0.0,2)</f>
        <v/>
      </c>
      <c r="H25" s="3">
        <f>ROUND(0.0,2)</f>
        <v/>
      </c>
      <c r="I25" s="3">
        <f>ROUND(0.0,2)</f>
        <v/>
      </c>
      <c r="J25" s="4">
        <f>IFERROR((D25/C25),0)</f>
        <v/>
      </c>
      <c r="K25" s="4">
        <f>IFERROR(((0+B11+B12+B13+B14+B15+B16+B17+B19+B20+B21+B22+B23+B24+B25)/T2),0)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2023-10-03</t>
        </is>
      </c>
      <c r="O25" s="5">
        <f>ROUND(0.0,2)</f>
        <v/>
      </c>
      <c r="P25" s="3">
        <f>ROUND(0.0,2)</f>
        <v/>
      </c>
      <c r="Q25" s="3">
        <f>ROUND(0.0,2)</f>
        <v/>
      </c>
      <c r="R25" s="3">
        <f>ROUND(0.0,2)</f>
        <v/>
      </c>
      <c r="S25" s="3">
        <f>ROUND(0.0,2)</f>
        <v/>
      </c>
      <c r="T25" s="3">
        <f>ROUND(0.0,2)</f>
        <v/>
      </c>
      <c r="U25" s="3">
        <f>ROUND(0.0,2)</f>
        <v/>
      </c>
      <c r="V25" s="3">
        <f>ROUND(0.0,2)</f>
        <v/>
      </c>
      <c r="W25" s="4">
        <f>IFERROR((Q25/P25),0)</f>
        <v/>
      </c>
      <c r="X25" s="4">
        <f>IFERROR(((0+O11+O12+O13+O14+O15+O16+O17+O19+O20+O21+O22+O23+O24+O25)/T2),0)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2023-10-03</t>
        </is>
      </c>
      <c r="AB25" s="5">
        <f>ROUND(0.0,2)</f>
        <v/>
      </c>
      <c r="AC25" s="3">
        <f>ROUND(0.0,2)</f>
        <v/>
      </c>
      <c r="AD25" s="3">
        <f>ROUND(0.0,2)</f>
        <v/>
      </c>
      <c r="AE25" s="3">
        <f>ROUND(0.0,2)</f>
        <v/>
      </c>
      <c r="AF25" s="3">
        <f>ROUND(0.0,2)</f>
        <v/>
      </c>
      <c r="AG25" s="3">
        <f>ROUND(0.0,2)</f>
        <v/>
      </c>
      <c r="AH25" s="3">
        <f>ROUND(0.0,2)</f>
        <v/>
      </c>
      <c r="AI25" s="3">
        <f>ROUND(0.0,2)</f>
        <v/>
      </c>
      <c r="AJ25" s="4">
        <f>IFERROR((AD25/AC25),0)</f>
        <v/>
      </c>
      <c r="AK25" s="4">
        <f>IFERROR(((0+AB11+AB12+AB13+AB14+AB15+AB16+AB17+AB19+AB20+AB21+AB22+AB23+AB24+AB25)/T2),0)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2023-10-03</t>
        </is>
      </c>
      <c r="AO25" s="5">
        <f>ROUND(0.0,2)</f>
        <v/>
      </c>
      <c r="AP25" s="3">
        <f>ROUND(0.0,2)</f>
        <v/>
      </c>
      <c r="AQ25" s="3">
        <f>ROUND(0.0,2)</f>
        <v/>
      </c>
      <c r="AR25" s="3">
        <f>ROUND(0.0,2)</f>
        <v/>
      </c>
      <c r="AS25" s="3">
        <f>ROUND(0.0,2)</f>
        <v/>
      </c>
      <c r="AT25" s="3">
        <f>ROUND(0.0,2)</f>
        <v/>
      </c>
      <c r="AU25" s="3">
        <f>ROUND(0.0,2)</f>
        <v/>
      </c>
      <c r="AV25" s="3">
        <f>ROUND(0.0,2)</f>
        <v/>
      </c>
      <c r="AW25" s="4">
        <f>IFERROR((AQ25/AP25),0)</f>
        <v/>
      </c>
      <c r="AX25" s="4">
        <f>IFERROR(((0+AO11+AO12+AO13+AO14+AO15+AO16+AO17+AO19+AO20+AO21+AO22+AO23+AO24+AO25)/T2),0)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2023-10-03</t>
        </is>
      </c>
      <c r="BB25" s="5">
        <f>ROUND(0.0,2)</f>
        <v/>
      </c>
      <c r="BC25" s="3">
        <f>ROUND(0.0,2)</f>
        <v/>
      </c>
      <c r="BD25" s="3">
        <f>ROUND(0.0,2)</f>
        <v/>
      </c>
      <c r="BE25" s="3">
        <f>ROUND(0.0,2)</f>
        <v/>
      </c>
      <c r="BF25" s="3">
        <f>ROUND(0.0,2)</f>
        <v/>
      </c>
      <c r="BG25" s="3">
        <f>ROUND(0.0,2)</f>
        <v/>
      </c>
      <c r="BH25" s="3">
        <f>ROUND(0.0,2)</f>
        <v/>
      </c>
      <c r="BI25" s="3">
        <f>ROUND(0.0,2)</f>
        <v/>
      </c>
      <c r="BJ25" s="4">
        <f>IFERROR((BD25/BC25),0)</f>
        <v/>
      </c>
      <c r="BK25" s="4">
        <f>IFERROR(((0+BB11+BB12+BB13+BB14+BB15+BB16+BB17+BB19+BB20+BB21+BB22+BB23+BB24+BB25)/T2),0)</f>
        <v/>
      </c>
      <c r="BL25" s="5">
        <f>IFERROR(ROUND(BB25/BD25,2),0)</f>
        <v/>
      </c>
      <c r="BM25" s="5">
        <f>IFERROR(ROUND(BB25/BE25,2),0)</f>
        <v/>
      </c>
      <c r="BN25" s="2" t="inlineStr">
        <is>
          <t>2023-10-03</t>
        </is>
      </c>
      <c r="BO25" s="5">
        <f>ROUND(0.0,2)</f>
        <v/>
      </c>
      <c r="BP25" s="3">
        <f>ROUND(0.0,2)</f>
        <v/>
      </c>
      <c r="BQ25" s="3">
        <f>ROUND(0.0,2)</f>
        <v/>
      </c>
      <c r="BR25" s="3">
        <f>ROUND(0.0,2)</f>
        <v/>
      </c>
      <c r="BS25" s="3">
        <f>ROUND(0.0,2)</f>
        <v/>
      </c>
      <c r="BT25" s="3">
        <f>ROUND(0.0,2)</f>
        <v/>
      </c>
      <c r="BU25" s="3">
        <f>ROUND(0.0,2)</f>
        <v/>
      </c>
      <c r="BV25" s="3">
        <f>ROUND(0.0,2)</f>
        <v/>
      </c>
      <c r="BW25" s="4">
        <f>IFERROR((BQ25/BP25),0)</f>
        <v/>
      </c>
      <c r="BX25" s="4">
        <f>IFERROR(((0+BO11+BO12+BO13+BO14+BO15+BO16+BO17+BO19+BO20+BO21+BO22+BO23+BO24+BO25)/T2),0)</f>
        <v/>
      </c>
      <c r="BY25" s="5">
        <f>IFERROR(ROUND(BO25/BQ25,2),0)</f>
        <v/>
      </c>
      <c r="BZ25" s="5">
        <f>IFERROR(ROUND(BO25/BR25,2),0)</f>
        <v/>
      </c>
      <c r="CA25" s="2" t="inlineStr">
        <is>
          <t>2023-10-03</t>
        </is>
      </c>
      <c r="CB25" s="5">
        <f>ROUND(0.0,2)</f>
        <v/>
      </c>
      <c r="CC25" s="3">
        <f>ROUND(0.0,2)</f>
        <v/>
      </c>
      <c r="CD25" s="3">
        <f>ROUND(0.0,2)</f>
        <v/>
      </c>
      <c r="CE25" s="3">
        <f>ROUND(0.0,2)</f>
        <v/>
      </c>
      <c r="CF25" s="3">
        <f>ROUND(0.0,2)</f>
        <v/>
      </c>
      <c r="CG25" s="3">
        <f>ROUND(0.0,2)</f>
        <v/>
      </c>
      <c r="CH25" s="3">
        <f>ROUND(0.0,2)</f>
        <v/>
      </c>
      <c r="CI25" s="3">
        <f>ROUND(0.0,2)</f>
        <v/>
      </c>
      <c r="CJ25" s="4">
        <f>IFERROR((CD25/CC25),0)</f>
        <v/>
      </c>
      <c r="CK25" s="4">
        <f>IFERROR(((0+CB11+CB12+CB13+CB14+CB15+CB16+CB17+CB19+CB20+CB21+CB22+CB23+CB24+CB25)/T2),0)</f>
        <v/>
      </c>
      <c r="CL25" s="5">
        <f>IFERROR(ROUND(CB25/CD25,2),0)</f>
        <v/>
      </c>
      <c r="CM25" s="5">
        <f>IFERROR(ROUND(CB25/CE25,2),0)</f>
        <v/>
      </c>
      <c r="CN25" s="2" t="inlineStr">
        <is>
          <t>2023-10-03</t>
        </is>
      </c>
      <c r="CO25" s="5">
        <f>ROUND(0.0,2)</f>
        <v/>
      </c>
      <c r="CP25" s="3">
        <f>ROUND(0.0,2)</f>
        <v/>
      </c>
      <c r="CQ25" s="3">
        <f>ROUND(0.0,2)</f>
        <v/>
      </c>
      <c r="CR25" s="3">
        <f>ROUND(0.0,2)</f>
        <v/>
      </c>
      <c r="CS25" s="3">
        <f>ROUND(0.0,2)</f>
        <v/>
      </c>
      <c r="CT25" s="3">
        <f>ROUND(0.0,2)</f>
        <v/>
      </c>
      <c r="CU25" s="3">
        <f>ROUND(0.0,2)</f>
        <v/>
      </c>
      <c r="CV25" s="3">
        <f>ROUND(0.0,2)</f>
        <v/>
      </c>
      <c r="CW25" s="4">
        <f>IFERROR((CQ25/CP25),0)</f>
        <v/>
      </c>
      <c r="CX25" s="4">
        <f>IFERROR(((0+CO11+CO12+CO13+CO14+CO15+CO16+CO17+CO19+CO20+CO21+CO22+CO23+CO24+CO25)/T2),0)</f>
        <v/>
      </c>
      <c r="CY25" s="5">
        <f>IFERROR(ROUND(CO25/CQ25,2),0)</f>
        <v/>
      </c>
      <c r="CZ25" s="5">
        <f>IFERROR(ROUND(CO25/CR25,2),0)</f>
        <v/>
      </c>
      <c r="DA25" s="2" t="inlineStr">
        <is>
          <t>2023-10-03</t>
        </is>
      </c>
      <c r="DB25" s="5">
        <f>ROUND(0.0,2)</f>
        <v/>
      </c>
      <c r="DC25" s="3">
        <f>ROUND(0.0,2)</f>
        <v/>
      </c>
      <c r="DD25" s="3">
        <f>ROUND(0.0,2)</f>
        <v/>
      </c>
      <c r="DE25" s="3">
        <f>ROUND(0.0,2)</f>
        <v/>
      </c>
      <c r="DF25" s="3">
        <f>ROUND(0.0,2)</f>
        <v/>
      </c>
      <c r="DG25" s="3">
        <f>ROUND(0.0,2)</f>
        <v/>
      </c>
      <c r="DH25" s="3">
        <f>ROUND(0.0,2)</f>
        <v/>
      </c>
      <c r="DI25" s="3">
        <f>ROUND(0.0,2)</f>
        <v/>
      </c>
      <c r="DJ25" s="4">
        <f>IFERROR((DD25/DC25),0)</f>
        <v/>
      </c>
      <c r="DK25" s="4">
        <f>IFERROR(((0+DB11+DB12+DB13+DB14+DB15+DB16+DB17+DB19+DB20+DB21+DB22+DB23+DB24+DB25)/T2),0)</f>
        <v/>
      </c>
      <c r="DL25" s="5">
        <f>IFERROR(ROUND(DB25/DD25,2),0)</f>
        <v/>
      </c>
      <c r="DM25" s="5">
        <f>IFERROR(ROUND(DB25/DE25,2),0)</f>
        <v/>
      </c>
      <c r="DN25" s="2" t="inlineStr">
        <is>
          <t>2023-10-03</t>
        </is>
      </c>
      <c r="DO25" s="5">
        <f>ROUND(0.0,2)</f>
        <v/>
      </c>
      <c r="DP25" s="3">
        <f>ROUND(0.0,2)</f>
        <v/>
      </c>
      <c r="DQ25" s="3">
        <f>ROUND(0.0,2)</f>
        <v/>
      </c>
      <c r="DR25" s="3">
        <f>ROUND(0.0,2)</f>
        <v/>
      </c>
      <c r="DS25" s="3">
        <f>ROUND(0.0,2)</f>
        <v/>
      </c>
      <c r="DT25" s="3">
        <f>ROUND(0.0,2)</f>
        <v/>
      </c>
      <c r="DU25" s="3">
        <f>ROUND(0.0,2)</f>
        <v/>
      </c>
      <c r="DV25" s="3">
        <f>ROUND(0.0,2)</f>
        <v/>
      </c>
      <c r="DW25" s="4">
        <f>IFERROR((DQ25/DP25),0)</f>
        <v/>
      </c>
      <c r="DX25" s="4">
        <f>IFERROR(((0+DO11+DO12+DO13+DO14+DO15+DO16+DO17+DO19+DO20+DO21+DO22+DO23+DO24+DO25)/T2),0)</f>
        <v/>
      </c>
      <c r="DY25" s="5">
        <f>IFERROR(ROUND(DO25/DQ25,2),0)</f>
        <v/>
      </c>
      <c r="DZ25" s="5">
        <f>IFERROR(ROUND(DO25/DR25,2),0)</f>
        <v/>
      </c>
      <c r="EA25" s="2" t="inlineStr">
        <is>
          <t>2023-10-03</t>
        </is>
      </c>
      <c r="EB25" s="5">
        <f>ROUND(0.0,2)</f>
        <v/>
      </c>
      <c r="EC25" s="3">
        <f>ROUND(0.0,2)</f>
        <v/>
      </c>
      <c r="ED25" s="3">
        <f>ROUND(0.0,2)</f>
        <v/>
      </c>
      <c r="EE25" s="3">
        <f>ROUND(0.0,2)</f>
        <v/>
      </c>
      <c r="EF25" s="3">
        <f>ROUND(0.0,2)</f>
        <v/>
      </c>
      <c r="EG25" s="3">
        <f>ROUND(0.0,2)</f>
        <v/>
      </c>
      <c r="EH25" s="3">
        <f>ROUND(0.0,2)</f>
        <v/>
      </c>
      <c r="EI25" s="3">
        <f>ROUND(0.0,2)</f>
        <v/>
      </c>
      <c r="EJ25" s="4">
        <f>IFERROR((ED25/EC25),0)</f>
        <v/>
      </c>
      <c r="EK25" s="4">
        <f>IFERROR(((0+EB11+EB12+EB13+EB14+EB15+EB16+EB17+EB19+EB20+EB21+EB22+EB23+EB24+EB25)/T2),0)</f>
        <v/>
      </c>
      <c r="EL25" s="5">
        <f>IFERROR(ROUND(EB25/ED25,2),0)</f>
        <v/>
      </c>
      <c r="EM25" s="5">
        <f>IFERROR(ROUND(EB25/EE25,2),0)</f>
        <v/>
      </c>
      <c r="EN25" s="2" t="inlineStr">
        <is>
          <t>2023-10-03</t>
        </is>
      </c>
      <c r="EO25" s="5">
        <f>ROUND(0.0,2)</f>
        <v/>
      </c>
      <c r="EP25" s="3">
        <f>ROUND(0.0,2)</f>
        <v/>
      </c>
      <c r="EQ25" s="3">
        <f>ROUND(0.0,2)</f>
        <v/>
      </c>
      <c r="ER25" s="3">
        <f>ROUND(0.0,2)</f>
        <v/>
      </c>
      <c r="ES25" s="3">
        <f>ROUND(0.0,2)</f>
        <v/>
      </c>
      <c r="ET25" s="3">
        <f>ROUND(0.0,2)</f>
        <v/>
      </c>
      <c r="EU25" s="3">
        <f>ROUND(0.0,2)</f>
        <v/>
      </c>
      <c r="EV25" s="3">
        <f>ROUND(0.0,2)</f>
        <v/>
      </c>
      <c r="EW25" s="4">
        <f>IFERROR((EQ25/EP25),0)</f>
        <v/>
      </c>
      <c r="EX25" s="4">
        <f>IFERROR(((0+EO11+EO12+EO13+EO14+EO15+EO16+EO17+EO19+EO20+EO21+EO22+EO23+EO24+EO25)/T2),0)</f>
        <v/>
      </c>
      <c r="EY25" s="5">
        <f>IFERROR(ROUND(EO25/EQ25,2),0)</f>
        <v/>
      </c>
      <c r="EZ25" s="5">
        <f>IFERROR(ROUND(EO25/ER25,2),0)</f>
        <v/>
      </c>
      <c r="FA25" s="2" t="inlineStr">
        <is>
          <t>2023-10-03</t>
        </is>
      </c>
      <c r="FB25" s="5">
        <f>ROUND(0.0,2)</f>
        <v/>
      </c>
      <c r="FC25" s="3">
        <f>ROUND(0.0,2)</f>
        <v/>
      </c>
      <c r="FD25" s="3">
        <f>ROUND(0.0,2)</f>
        <v/>
      </c>
      <c r="FE25" s="3">
        <f>ROUND(0.0,2)</f>
        <v/>
      </c>
      <c r="FF25" s="3">
        <f>ROUND(0.0,2)</f>
        <v/>
      </c>
      <c r="FG25" s="3">
        <f>ROUND(0.0,2)</f>
        <v/>
      </c>
      <c r="FH25" s="3">
        <f>ROUND(0.0,2)</f>
        <v/>
      </c>
      <c r="FI25" s="3">
        <f>ROUND(0.0,2)</f>
        <v/>
      </c>
      <c r="FJ25" s="4">
        <f>IFERROR((FD25/FC25),0)</f>
        <v/>
      </c>
      <c r="FK25" s="4">
        <f>IFERROR(((0+FB11+FB12+FB13+FB14+FB15+FB16+FB17+FB19+FB20+FB21+FB22+FB23+FB24+FB25)/T2),0)</f>
        <v/>
      </c>
      <c r="FL25" s="5">
        <f>IFERROR(ROUND(FB25/FD25,2),0)</f>
        <v/>
      </c>
      <c r="FM25" s="5">
        <f>IFERROR(ROUND(FB25/FE25,2),0)</f>
        <v/>
      </c>
      <c r="FN25" s="2" t="inlineStr">
        <is>
          <t>2023-10-03</t>
        </is>
      </c>
      <c r="FO25" s="5">
        <f>ROUND(0.0,2)</f>
        <v/>
      </c>
      <c r="FP25" s="3">
        <f>ROUND(0.0,2)</f>
        <v/>
      </c>
      <c r="FQ25" s="3">
        <f>ROUND(0.0,2)</f>
        <v/>
      </c>
      <c r="FR25" s="3">
        <f>ROUND(0.0,2)</f>
        <v/>
      </c>
      <c r="FS25" s="3">
        <f>ROUND(0.0,2)</f>
        <v/>
      </c>
      <c r="FT25" s="3">
        <f>ROUND(0.0,2)</f>
        <v/>
      </c>
      <c r="FU25" s="3">
        <f>ROUND(0.0,2)</f>
        <v/>
      </c>
      <c r="FV25" s="3">
        <f>ROUND(0.0,2)</f>
        <v/>
      </c>
      <c r="FW25" s="4">
        <f>IFERROR((FQ25/FP25),0)</f>
        <v/>
      </c>
      <c r="FX25" s="4">
        <f>IFERROR(((0+FO11+FO12+FO13+FO14+FO15+FO16+FO17+FO19+FO20+FO21+FO22+FO23+FO24+FO25)/T2),0)</f>
        <v/>
      </c>
      <c r="FY25" s="5">
        <f>IFERROR(ROUND(FO25/FQ25,2),0)</f>
        <v/>
      </c>
      <c r="FZ25" s="5">
        <f>IFERROR(ROUND(FO25/FR25,2),0)</f>
        <v/>
      </c>
      <c r="GA25" s="2" t="inlineStr">
        <is>
          <t>2023-10-03</t>
        </is>
      </c>
      <c r="GB25" s="5">
        <f>ROUND(0.0,2)</f>
        <v/>
      </c>
      <c r="GC25" s="3">
        <f>ROUND(0.0,2)</f>
        <v/>
      </c>
      <c r="GD25" s="3">
        <f>ROUND(0.0,2)</f>
        <v/>
      </c>
      <c r="GE25" s="3">
        <f>ROUND(0.0,2)</f>
        <v/>
      </c>
      <c r="GF25" s="3">
        <f>ROUND(0.0,2)</f>
        <v/>
      </c>
      <c r="GG25" s="3">
        <f>ROUND(0.0,2)</f>
        <v/>
      </c>
      <c r="GH25" s="3">
        <f>ROUND(0.0,2)</f>
        <v/>
      </c>
      <c r="GI25" s="3">
        <f>ROUND(0.0,2)</f>
        <v/>
      </c>
      <c r="GJ25" s="4">
        <f>IFERROR((GD25/GC25),0)</f>
        <v/>
      </c>
      <c r="GK25" s="4">
        <f>IFERROR(((0+GB11+GB12+GB13+GB14+GB15+GB16+GB17+GB19+GB20+GB21+GB22+GB23+GB24+GB25)/T2),0)</f>
        <v/>
      </c>
      <c r="GL25" s="5">
        <f>IFERROR(ROUND(GB25/GD25,2),0)</f>
        <v/>
      </c>
      <c r="GM25" s="5">
        <f>IFERROR(ROUND(GB25/GE25,2),0)</f>
        <v/>
      </c>
    </row>
    <row r="26">
      <c r="A26" s="2" t="inlineStr">
        <is>
          <t>2 Weekly Total</t>
        </is>
      </c>
      <c r="B26" s="5">
        <f>ROUND(0.0,2)</f>
        <v/>
      </c>
      <c r="C26" s="3">
        <f>ROUND(0.0,2)</f>
        <v/>
      </c>
      <c r="D26" s="3">
        <f>ROUND(0.0,2)</f>
        <v/>
      </c>
      <c r="E26" s="3">
        <f>ROUND(0.0,2)</f>
        <v/>
      </c>
      <c r="F26" s="3">
        <f>ROUND(0.0,2)</f>
        <v/>
      </c>
      <c r="G26" s="3">
        <f>ROUND(0.0,2)</f>
        <v/>
      </c>
      <c r="H26" s="3">
        <f>ROUND(0.0,2)</f>
        <v/>
      </c>
      <c r="I26" s="3">
        <f>ROUND(0.0,2)</f>
        <v/>
      </c>
      <c r="J26" s="4">
        <f>IFERROR((D26/C26),0)</f>
        <v/>
      </c>
      <c r="K26" s="4">
        <f>IFERROR(((0+B11+B12+B13+B14+B15+B16+B17+B19+B20+B21+B22+B23+B24+B25)/T2),0)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 Weekly Total</t>
        </is>
      </c>
      <c r="O26" s="5">
        <f>ROUND(0.0,2)</f>
        <v/>
      </c>
      <c r="P26" s="3">
        <f>ROUND(0.0,2)</f>
        <v/>
      </c>
      <c r="Q26" s="3">
        <f>ROUND(0.0,2)</f>
        <v/>
      </c>
      <c r="R26" s="3">
        <f>ROUND(0.0,2)</f>
        <v/>
      </c>
      <c r="S26" s="3">
        <f>ROUND(0.0,2)</f>
        <v/>
      </c>
      <c r="T26" s="3">
        <f>ROUND(0.0,2)</f>
        <v/>
      </c>
      <c r="U26" s="3">
        <f>ROUND(0.0,2)</f>
        <v/>
      </c>
      <c r="V26" s="3">
        <f>ROUND(0.0,2)</f>
        <v/>
      </c>
      <c r="W26" s="4">
        <f>IFERROR((Q26/P26),0)</f>
        <v/>
      </c>
      <c r="X26" s="4">
        <f>IFERROR(((0+O11+O12+O13+O14+O15+O16+O17+O19+O20+O21+O22+O23+O24+O25)/T2),0)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 Weekly Total</t>
        </is>
      </c>
      <c r="AB26" s="5">
        <f>ROUND(0.0,2)</f>
        <v/>
      </c>
      <c r="AC26" s="3">
        <f>ROUND(0.0,2)</f>
        <v/>
      </c>
      <c r="AD26" s="3">
        <f>ROUND(0.0,2)</f>
        <v/>
      </c>
      <c r="AE26" s="3">
        <f>ROUND(0.0,2)</f>
        <v/>
      </c>
      <c r="AF26" s="3">
        <f>ROUND(0.0,2)</f>
        <v/>
      </c>
      <c r="AG26" s="3">
        <f>ROUND(0.0,2)</f>
        <v/>
      </c>
      <c r="AH26" s="3">
        <f>ROUND(0.0,2)</f>
        <v/>
      </c>
      <c r="AI26" s="3">
        <f>ROUND(0.0,2)</f>
        <v/>
      </c>
      <c r="AJ26" s="4">
        <f>IFERROR((AD26/AC26),0)</f>
        <v/>
      </c>
      <c r="AK26" s="4">
        <f>IFERROR(((0+AB11+AB12+AB13+AB14+AB15+AB16+AB17+AB19+AB20+AB21+AB22+AB23+AB24+AB25)/T2),0)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 Weekly Total</t>
        </is>
      </c>
      <c r="AO26" s="5">
        <f>ROUND(0.0,2)</f>
        <v/>
      </c>
      <c r="AP26" s="3">
        <f>ROUND(0.0,2)</f>
        <v/>
      </c>
      <c r="AQ26" s="3">
        <f>ROUND(0.0,2)</f>
        <v/>
      </c>
      <c r="AR26" s="3">
        <f>ROUND(0.0,2)</f>
        <v/>
      </c>
      <c r="AS26" s="3">
        <f>ROUND(0.0,2)</f>
        <v/>
      </c>
      <c r="AT26" s="3">
        <f>ROUND(0.0,2)</f>
        <v/>
      </c>
      <c r="AU26" s="3">
        <f>ROUND(0.0,2)</f>
        <v/>
      </c>
      <c r="AV26" s="3">
        <f>ROUND(0.0,2)</f>
        <v/>
      </c>
      <c r="AW26" s="4">
        <f>IFERROR((AQ26/AP26),0)</f>
        <v/>
      </c>
      <c r="AX26" s="4">
        <f>IFERROR(((0+AO11+AO12+AO13+AO14+AO15+AO16+AO17+AO19+AO20+AO21+AO22+AO23+AO24+AO25)/T2),0)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 Weekly Total</t>
        </is>
      </c>
      <c r="BB26" s="5">
        <f>ROUND(0.0,2)</f>
        <v/>
      </c>
      <c r="BC26" s="3">
        <f>ROUND(0.0,2)</f>
        <v/>
      </c>
      <c r="BD26" s="3">
        <f>ROUND(0.0,2)</f>
        <v/>
      </c>
      <c r="BE26" s="3">
        <f>ROUND(0.0,2)</f>
        <v/>
      </c>
      <c r="BF26" s="3">
        <f>ROUND(0.0,2)</f>
        <v/>
      </c>
      <c r="BG26" s="3">
        <f>ROUND(0.0,2)</f>
        <v/>
      </c>
      <c r="BH26" s="3">
        <f>ROUND(0.0,2)</f>
        <v/>
      </c>
      <c r="BI26" s="3">
        <f>ROUND(0.0,2)</f>
        <v/>
      </c>
      <c r="BJ26" s="4">
        <f>IFERROR((BD26/BC26),0)</f>
        <v/>
      </c>
      <c r="BK26" s="4">
        <f>IFERROR(((0+BB11+BB12+BB13+BB14+BB15+BB16+BB17+BB19+BB20+BB21+BB22+BB23+BB24+BB25)/T2),0)</f>
        <v/>
      </c>
      <c r="BL26" s="5">
        <f>IFERROR(ROUND(BB26/BD26,2),0)</f>
        <v/>
      </c>
      <c r="BM26" s="5">
        <f>IFERROR(ROUND(BB26/BE26,2),0)</f>
        <v/>
      </c>
      <c r="BN26" s="2" t="inlineStr">
        <is>
          <t>2 Weekly Total</t>
        </is>
      </c>
      <c r="BO26" s="5">
        <f>ROUND(0.0,2)</f>
        <v/>
      </c>
      <c r="BP26" s="3">
        <f>ROUND(0.0,2)</f>
        <v/>
      </c>
      <c r="BQ26" s="3">
        <f>ROUND(0.0,2)</f>
        <v/>
      </c>
      <c r="BR26" s="3">
        <f>ROUND(0.0,2)</f>
        <v/>
      </c>
      <c r="BS26" s="3">
        <f>ROUND(0.0,2)</f>
        <v/>
      </c>
      <c r="BT26" s="3">
        <f>ROUND(0.0,2)</f>
        <v/>
      </c>
      <c r="BU26" s="3">
        <f>ROUND(0.0,2)</f>
        <v/>
      </c>
      <c r="BV26" s="3">
        <f>ROUND(0.0,2)</f>
        <v/>
      </c>
      <c r="BW26" s="4">
        <f>IFERROR((BQ26/BP26),0)</f>
        <v/>
      </c>
      <c r="BX26" s="4">
        <f>IFERROR(((0+BO11+BO12+BO13+BO14+BO15+BO16+BO17+BO19+BO20+BO21+BO22+BO23+BO24+BO25)/T2),0)</f>
        <v/>
      </c>
      <c r="BY26" s="5">
        <f>IFERROR(ROUND(BO26/BQ26,2),0)</f>
        <v/>
      </c>
      <c r="BZ26" s="5">
        <f>IFERROR(ROUND(BO26/BR26,2),0)</f>
        <v/>
      </c>
      <c r="CA26" s="2" t="inlineStr">
        <is>
          <t>2 Weekly Total</t>
        </is>
      </c>
      <c r="CB26" s="5">
        <f>ROUND(0.0,2)</f>
        <v/>
      </c>
      <c r="CC26" s="3">
        <f>ROUND(0.0,2)</f>
        <v/>
      </c>
      <c r="CD26" s="3">
        <f>ROUND(0.0,2)</f>
        <v/>
      </c>
      <c r="CE26" s="3">
        <f>ROUND(0.0,2)</f>
        <v/>
      </c>
      <c r="CF26" s="3">
        <f>ROUND(0.0,2)</f>
        <v/>
      </c>
      <c r="CG26" s="3">
        <f>ROUND(0.0,2)</f>
        <v/>
      </c>
      <c r="CH26" s="3">
        <f>ROUND(0.0,2)</f>
        <v/>
      </c>
      <c r="CI26" s="3">
        <f>ROUND(0.0,2)</f>
        <v/>
      </c>
      <c r="CJ26" s="4">
        <f>IFERROR((CD26/CC26),0)</f>
        <v/>
      </c>
      <c r="CK26" s="4">
        <f>IFERROR(((0+CB11+CB12+CB13+CB14+CB15+CB16+CB17+CB19+CB20+CB21+CB22+CB23+CB24+CB25)/T2),0)</f>
        <v/>
      </c>
      <c r="CL26" s="5">
        <f>IFERROR(ROUND(CB26/CD26,2),0)</f>
        <v/>
      </c>
      <c r="CM26" s="5">
        <f>IFERROR(ROUND(CB26/CE26,2),0)</f>
        <v/>
      </c>
      <c r="CN26" s="2" t="inlineStr">
        <is>
          <t>2 Weekly Total</t>
        </is>
      </c>
      <c r="CO26" s="5">
        <f>ROUND(0.0,2)</f>
        <v/>
      </c>
      <c r="CP26" s="3">
        <f>ROUND(0.0,2)</f>
        <v/>
      </c>
      <c r="CQ26" s="3">
        <f>ROUND(0.0,2)</f>
        <v/>
      </c>
      <c r="CR26" s="3">
        <f>ROUND(0.0,2)</f>
        <v/>
      </c>
      <c r="CS26" s="3">
        <f>ROUND(0.0,2)</f>
        <v/>
      </c>
      <c r="CT26" s="3">
        <f>ROUND(0.0,2)</f>
        <v/>
      </c>
      <c r="CU26" s="3">
        <f>ROUND(0.0,2)</f>
        <v/>
      </c>
      <c r="CV26" s="3">
        <f>ROUND(0.0,2)</f>
        <v/>
      </c>
      <c r="CW26" s="4">
        <f>IFERROR((CQ26/CP26),0)</f>
        <v/>
      </c>
      <c r="CX26" s="4">
        <f>IFERROR(((0+CO11+CO12+CO13+CO14+CO15+CO16+CO17+CO19+CO20+CO21+CO22+CO23+CO24+CO25)/T2),0)</f>
        <v/>
      </c>
      <c r="CY26" s="5">
        <f>IFERROR(ROUND(CO26/CQ26,2),0)</f>
        <v/>
      </c>
      <c r="CZ26" s="5">
        <f>IFERROR(ROUND(CO26/CR26,2),0)</f>
        <v/>
      </c>
      <c r="DA26" s="2" t="inlineStr">
        <is>
          <t>2 Weekly Total</t>
        </is>
      </c>
      <c r="DB26" s="5">
        <f>ROUND(0.0,2)</f>
        <v/>
      </c>
      <c r="DC26" s="3">
        <f>ROUND(0.0,2)</f>
        <v/>
      </c>
      <c r="DD26" s="3">
        <f>ROUND(0.0,2)</f>
        <v/>
      </c>
      <c r="DE26" s="3">
        <f>ROUND(0.0,2)</f>
        <v/>
      </c>
      <c r="DF26" s="3">
        <f>ROUND(0.0,2)</f>
        <v/>
      </c>
      <c r="DG26" s="3">
        <f>ROUND(0.0,2)</f>
        <v/>
      </c>
      <c r="DH26" s="3">
        <f>ROUND(0.0,2)</f>
        <v/>
      </c>
      <c r="DI26" s="3">
        <f>ROUND(0.0,2)</f>
        <v/>
      </c>
      <c r="DJ26" s="4">
        <f>IFERROR((DD26/DC26),0)</f>
        <v/>
      </c>
      <c r="DK26" s="4">
        <f>IFERROR(((0+DB11+DB12+DB13+DB14+DB15+DB16+DB17+DB19+DB20+DB21+DB22+DB23+DB24+DB25)/T2),0)</f>
        <v/>
      </c>
      <c r="DL26" s="5">
        <f>IFERROR(ROUND(DB26/DD26,2),0)</f>
        <v/>
      </c>
      <c r="DM26" s="5">
        <f>IFERROR(ROUND(DB26/DE26,2),0)</f>
        <v/>
      </c>
      <c r="DN26" s="2" t="inlineStr">
        <is>
          <t>2 Weekly Total</t>
        </is>
      </c>
      <c r="DO26" s="5">
        <f>ROUND(0.0,2)</f>
        <v/>
      </c>
      <c r="DP26" s="3">
        <f>ROUND(0.0,2)</f>
        <v/>
      </c>
      <c r="DQ26" s="3">
        <f>ROUND(0.0,2)</f>
        <v/>
      </c>
      <c r="DR26" s="3">
        <f>ROUND(0.0,2)</f>
        <v/>
      </c>
      <c r="DS26" s="3">
        <f>ROUND(0.0,2)</f>
        <v/>
      </c>
      <c r="DT26" s="3">
        <f>ROUND(0.0,2)</f>
        <v/>
      </c>
      <c r="DU26" s="3">
        <f>ROUND(0.0,2)</f>
        <v/>
      </c>
      <c r="DV26" s="3">
        <f>ROUND(0.0,2)</f>
        <v/>
      </c>
      <c r="DW26" s="4">
        <f>IFERROR((DQ26/DP26),0)</f>
        <v/>
      </c>
      <c r="DX26" s="4">
        <f>IFERROR(((0+DO11+DO12+DO13+DO14+DO15+DO16+DO17+DO19+DO20+DO21+DO22+DO23+DO24+DO25)/T2),0)</f>
        <v/>
      </c>
      <c r="DY26" s="5">
        <f>IFERROR(ROUND(DO26/DQ26,2),0)</f>
        <v/>
      </c>
      <c r="DZ26" s="5">
        <f>IFERROR(ROUND(DO26/DR26,2),0)</f>
        <v/>
      </c>
      <c r="EA26" s="2" t="inlineStr">
        <is>
          <t>2 Weekly Total</t>
        </is>
      </c>
      <c r="EB26" s="5">
        <f>ROUND(0.0,2)</f>
        <v/>
      </c>
      <c r="EC26" s="3">
        <f>ROUND(0.0,2)</f>
        <v/>
      </c>
      <c r="ED26" s="3">
        <f>ROUND(0.0,2)</f>
        <v/>
      </c>
      <c r="EE26" s="3">
        <f>ROUND(0.0,2)</f>
        <v/>
      </c>
      <c r="EF26" s="3">
        <f>ROUND(0.0,2)</f>
        <v/>
      </c>
      <c r="EG26" s="3">
        <f>ROUND(0.0,2)</f>
        <v/>
      </c>
      <c r="EH26" s="3">
        <f>ROUND(0.0,2)</f>
        <v/>
      </c>
      <c r="EI26" s="3">
        <f>ROUND(0.0,2)</f>
        <v/>
      </c>
      <c r="EJ26" s="4">
        <f>IFERROR((ED26/EC26),0)</f>
        <v/>
      </c>
      <c r="EK26" s="4">
        <f>IFERROR(((0+EB11+EB12+EB13+EB14+EB15+EB16+EB17+EB19+EB20+EB21+EB22+EB23+EB24+EB25)/T2),0)</f>
        <v/>
      </c>
      <c r="EL26" s="5">
        <f>IFERROR(ROUND(EB26/ED26,2),0)</f>
        <v/>
      </c>
      <c r="EM26" s="5">
        <f>IFERROR(ROUND(EB26/EE26,2),0)</f>
        <v/>
      </c>
      <c r="EN26" s="2" t="inlineStr">
        <is>
          <t>2 Weekly Total</t>
        </is>
      </c>
      <c r="EO26" s="5">
        <f>ROUND(0.0,2)</f>
        <v/>
      </c>
      <c r="EP26" s="3">
        <f>ROUND(0.0,2)</f>
        <v/>
      </c>
      <c r="EQ26" s="3">
        <f>ROUND(0.0,2)</f>
        <v/>
      </c>
      <c r="ER26" s="3">
        <f>ROUND(0.0,2)</f>
        <v/>
      </c>
      <c r="ES26" s="3">
        <f>ROUND(0.0,2)</f>
        <v/>
      </c>
      <c r="ET26" s="3">
        <f>ROUND(0.0,2)</f>
        <v/>
      </c>
      <c r="EU26" s="3">
        <f>ROUND(0.0,2)</f>
        <v/>
      </c>
      <c r="EV26" s="3">
        <f>ROUND(0.0,2)</f>
        <v/>
      </c>
      <c r="EW26" s="4">
        <f>IFERROR((EQ26/EP26),0)</f>
        <v/>
      </c>
      <c r="EX26" s="4">
        <f>IFERROR(((0+EO11+EO12+EO13+EO14+EO15+EO16+EO17+EO19+EO20+EO21+EO22+EO23+EO24+EO25)/T2),0)</f>
        <v/>
      </c>
      <c r="EY26" s="5">
        <f>IFERROR(ROUND(EO26/EQ26,2),0)</f>
        <v/>
      </c>
      <c r="EZ26" s="5">
        <f>IFERROR(ROUND(EO26/ER26,2),0)</f>
        <v/>
      </c>
      <c r="FA26" s="2" t="inlineStr">
        <is>
          <t>2 Weekly Total</t>
        </is>
      </c>
      <c r="FB26" s="5">
        <f>ROUND(0.0,2)</f>
        <v/>
      </c>
      <c r="FC26" s="3">
        <f>ROUND(0.0,2)</f>
        <v/>
      </c>
      <c r="FD26" s="3">
        <f>ROUND(0.0,2)</f>
        <v/>
      </c>
      <c r="FE26" s="3">
        <f>ROUND(0.0,2)</f>
        <v/>
      </c>
      <c r="FF26" s="3">
        <f>ROUND(0.0,2)</f>
        <v/>
      </c>
      <c r="FG26" s="3">
        <f>ROUND(0.0,2)</f>
        <v/>
      </c>
      <c r="FH26" s="3">
        <f>ROUND(0.0,2)</f>
        <v/>
      </c>
      <c r="FI26" s="3">
        <f>ROUND(0.0,2)</f>
        <v/>
      </c>
      <c r="FJ26" s="4">
        <f>IFERROR((FD26/FC26),0)</f>
        <v/>
      </c>
      <c r="FK26" s="4">
        <f>IFERROR(((0+FB11+FB12+FB13+FB14+FB15+FB16+FB17+FB19+FB20+FB21+FB22+FB23+FB24+FB25)/T2),0)</f>
        <v/>
      </c>
      <c r="FL26" s="5">
        <f>IFERROR(ROUND(FB26/FD26,2),0)</f>
        <v/>
      </c>
      <c r="FM26" s="5">
        <f>IFERROR(ROUND(FB26/FE26,2),0)</f>
        <v/>
      </c>
      <c r="FN26" s="2" t="inlineStr">
        <is>
          <t>2 Weekly Total</t>
        </is>
      </c>
      <c r="FO26" s="5">
        <f>ROUND(0.0,2)</f>
        <v/>
      </c>
      <c r="FP26" s="3">
        <f>ROUND(0.0,2)</f>
        <v/>
      </c>
      <c r="FQ26" s="3">
        <f>ROUND(0.0,2)</f>
        <v/>
      </c>
      <c r="FR26" s="3">
        <f>ROUND(0.0,2)</f>
        <v/>
      </c>
      <c r="FS26" s="3">
        <f>ROUND(0.0,2)</f>
        <v/>
      </c>
      <c r="FT26" s="3">
        <f>ROUND(0.0,2)</f>
        <v/>
      </c>
      <c r="FU26" s="3">
        <f>ROUND(0.0,2)</f>
        <v/>
      </c>
      <c r="FV26" s="3">
        <f>ROUND(0.0,2)</f>
        <v/>
      </c>
      <c r="FW26" s="4">
        <f>IFERROR((FQ26/FP26),0)</f>
        <v/>
      </c>
      <c r="FX26" s="4">
        <f>IFERROR(((0+FO11+FO12+FO13+FO14+FO15+FO16+FO17+FO19+FO20+FO21+FO22+FO23+FO24+FO25)/T2),0)</f>
        <v/>
      </c>
      <c r="FY26" s="5">
        <f>IFERROR(ROUND(FO26/FQ26,2),0)</f>
        <v/>
      </c>
      <c r="FZ26" s="5">
        <f>IFERROR(ROUND(FO26/FR26,2),0)</f>
        <v/>
      </c>
      <c r="GA26" s="2" t="inlineStr">
        <is>
          <t>2 Weekly Total</t>
        </is>
      </c>
      <c r="GB26" s="5">
        <f>ROUND(0.0,2)</f>
        <v/>
      </c>
      <c r="GC26" s="3">
        <f>ROUND(0.0,2)</f>
        <v/>
      </c>
      <c r="GD26" s="3">
        <f>ROUND(0.0,2)</f>
        <v/>
      </c>
      <c r="GE26" s="3">
        <f>ROUND(0.0,2)</f>
        <v/>
      </c>
      <c r="GF26" s="3">
        <f>ROUND(0.0,2)</f>
        <v/>
      </c>
      <c r="GG26" s="3">
        <f>ROUND(0.0,2)</f>
        <v/>
      </c>
      <c r="GH26" s="3">
        <f>ROUND(0.0,2)</f>
        <v/>
      </c>
      <c r="GI26" s="3">
        <f>ROUND(0.0,2)</f>
        <v/>
      </c>
      <c r="GJ26" s="4">
        <f>IFERROR((GD26/GC26),0)</f>
        <v/>
      </c>
      <c r="GK26" s="4">
        <f>IFERROR(((0+GB11+GB12+GB13+GB14+GB15+GB16+GB17+GB19+GB20+GB21+GB22+GB23+GB24+GB25)/T2),0)</f>
        <v/>
      </c>
      <c r="GL26" s="5">
        <f>IFERROR(ROUND(GB26/GD26,2),0)</f>
        <v/>
      </c>
      <c r="GM26" s="5">
        <f>IFERROR(ROUND(GB26/GE26,2),0)</f>
        <v/>
      </c>
    </row>
    <row r="27">
      <c r="A27" s="2" t="inlineStr">
        <is>
          <t>2023-10-04</t>
        </is>
      </c>
      <c r="B27" s="5">
        <f>ROUND(0.0,2)</f>
        <v/>
      </c>
      <c r="C27" s="3">
        <f>ROUND(0.0,2)</f>
        <v/>
      </c>
      <c r="D27" s="3">
        <f>ROUND(0.0,2)</f>
        <v/>
      </c>
      <c r="E27" s="3">
        <f>ROUND(0.0,2)</f>
        <v/>
      </c>
      <c r="F27" s="3">
        <f>ROUND(0.0,2)</f>
        <v/>
      </c>
      <c r="G27" s="3">
        <f>ROUND(0.0,2)</f>
        <v/>
      </c>
      <c r="H27" s="3">
        <f>ROUND(0.0,2)</f>
        <v/>
      </c>
      <c r="I27" s="3">
        <f>ROUND(0.0,2)</f>
        <v/>
      </c>
      <c r="J27" s="4">
        <f>IFERROR((D27/C27),0)</f>
        <v/>
      </c>
      <c r="K27" s="4">
        <f>IFERROR(((0+B11+B12+B13+B14+B15+B16+B17+B19+B20+B21+B22+B23+B24+B25+B27)/T2),0)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2023-10-04</t>
        </is>
      </c>
      <c r="O27" s="5">
        <f>ROUND(0.0,2)</f>
        <v/>
      </c>
      <c r="P27" s="3">
        <f>ROUND(0.0,2)</f>
        <v/>
      </c>
      <c r="Q27" s="3">
        <f>ROUND(0.0,2)</f>
        <v/>
      </c>
      <c r="R27" s="3">
        <f>ROUND(0.0,2)</f>
        <v/>
      </c>
      <c r="S27" s="3">
        <f>ROUND(0.0,2)</f>
        <v/>
      </c>
      <c r="T27" s="3">
        <f>ROUND(0.0,2)</f>
        <v/>
      </c>
      <c r="U27" s="3">
        <f>ROUND(0.0,2)</f>
        <v/>
      </c>
      <c r="V27" s="3">
        <f>ROUND(0.0,2)</f>
        <v/>
      </c>
      <c r="W27" s="4">
        <f>IFERROR((Q27/P27),0)</f>
        <v/>
      </c>
      <c r="X27" s="4">
        <f>IFERROR(((0+O11+O12+O13+O14+O15+O16+O17+O19+O20+O21+O22+O23+O24+O25+O27)/T2),0)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2023-10-04</t>
        </is>
      </c>
      <c r="AB27" s="5">
        <f>ROUND(0.0,2)</f>
        <v/>
      </c>
      <c r="AC27" s="3">
        <f>ROUND(0.0,2)</f>
        <v/>
      </c>
      <c r="AD27" s="3">
        <f>ROUND(0.0,2)</f>
        <v/>
      </c>
      <c r="AE27" s="3">
        <f>ROUND(0.0,2)</f>
        <v/>
      </c>
      <c r="AF27" s="3">
        <f>ROUND(0.0,2)</f>
        <v/>
      </c>
      <c r="AG27" s="3">
        <f>ROUND(0.0,2)</f>
        <v/>
      </c>
      <c r="AH27" s="3">
        <f>ROUND(0.0,2)</f>
        <v/>
      </c>
      <c r="AI27" s="3">
        <f>ROUND(0.0,2)</f>
        <v/>
      </c>
      <c r="AJ27" s="4">
        <f>IFERROR((AD27/AC27),0)</f>
        <v/>
      </c>
      <c r="AK27" s="4">
        <f>IFERROR(((0+AB11+AB12+AB13+AB14+AB15+AB16+AB17+AB19+AB20+AB21+AB22+AB23+AB24+AB25+AB27)/T2),0)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2023-10-04</t>
        </is>
      </c>
      <c r="AO27" s="5">
        <f>ROUND(0.0,2)</f>
        <v/>
      </c>
      <c r="AP27" s="3">
        <f>ROUND(0.0,2)</f>
        <v/>
      </c>
      <c r="AQ27" s="3">
        <f>ROUND(0.0,2)</f>
        <v/>
      </c>
      <c r="AR27" s="3">
        <f>ROUND(0.0,2)</f>
        <v/>
      </c>
      <c r="AS27" s="3">
        <f>ROUND(0.0,2)</f>
        <v/>
      </c>
      <c r="AT27" s="3">
        <f>ROUND(0.0,2)</f>
        <v/>
      </c>
      <c r="AU27" s="3">
        <f>ROUND(0.0,2)</f>
        <v/>
      </c>
      <c r="AV27" s="3">
        <f>ROUND(0.0,2)</f>
        <v/>
      </c>
      <c r="AW27" s="4">
        <f>IFERROR((AQ27/AP27),0)</f>
        <v/>
      </c>
      <c r="AX27" s="4">
        <f>IFERROR(((0+AO11+AO12+AO13+AO14+AO15+AO16+AO17+AO19+AO20+AO21+AO22+AO23+AO24+AO25+AO27)/T2),0)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2023-10-04</t>
        </is>
      </c>
      <c r="BB27" s="5">
        <f>ROUND(0.0,2)</f>
        <v/>
      </c>
      <c r="BC27" s="3">
        <f>ROUND(0.0,2)</f>
        <v/>
      </c>
      <c r="BD27" s="3">
        <f>ROUND(0.0,2)</f>
        <v/>
      </c>
      <c r="BE27" s="3">
        <f>ROUND(0.0,2)</f>
        <v/>
      </c>
      <c r="BF27" s="3">
        <f>ROUND(0.0,2)</f>
        <v/>
      </c>
      <c r="BG27" s="3">
        <f>ROUND(0.0,2)</f>
        <v/>
      </c>
      <c r="BH27" s="3">
        <f>ROUND(0.0,2)</f>
        <v/>
      </c>
      <c r="BI27" s="3">
        <f>ROUND(0.0,2)</f>
        <v/>
      </c>
      <c r="BJ27" s="4">
        <f>IFERROR((BD27/BC27),0)</f>
        <v/>
      </c>
      <c r="BK27" s="4">
        <f>IFERROR(((0+BB11+BB12+BB13+BB14+BB15+BB16+BB17+BB19+BB20+BB21+BB22+BB23+BB24+BB25+BB27)/T2),0)</f>
        <v/>
      </c>
      <c r="BL27" s="5">
        <f>IFERROR(ROUND(BB27/BD27,2),0)</f>
        <v/>
      </c>
      <c r="BM27" s="5">
        <f>IFERROR(ROUND(BB27/BE27,2),0)</f>
        <v/>
      </c>
      <c r="BN27" s="2" t="inlineStr">
        <is>
          <t>2023-10-04</t>
        </is>
      </c>
      <c r="BO27" s="5">
        <f>ROUND(0.0,2)</f>
        <v/>
      </c>
      <c r="BP27" s="3">
        <f>ROUND(0.0,2)</f>
        <v/>
      </c>
      <c r="BQ27" s="3">
        <f>ROUND(0.0,2)</f>
        <v/>
      </c>
      <c r="BR27" s="3">
        <f>ROUND(0.0,2)</f>
        <v/>
      </c>
      <c r="BS27" s="3">
        <f>ROUND(0.0,2)</f>
        <v/>
      </c>
      <c r="BT27" s="3">
        <f>ROUND(0.0,2)</f>
        <v/>
      </c>
      <c r="BU27" s="3">
        <f>ROUND(0.0,2)</f>
        <v/>
      </c>
      <c r="BV27" s="3">
        <f>ROUND(0.0,2)</f>
        <v/>
      </c>
      <c r="BW27" s="4">
        <f>IFERROR((BQ27/BP27),0)</f>
        <v/>
      </c>
      <c r="BX27" s="4">
        <f>IFERROR(((0+BO11+BO12+BO13+BO14+BO15+BO16+BO17+BO19+BO20+BO21+BO22+BO23+BO24+BO25+BO27)/T2),0)</f>
        <v/>
      </c>
      <c r="BY27" s="5">
        <f>IFERROR(ROUND(BO27/BQ27,2),0)</f>
        <v/>
      </c>
      <c r="BZ27" s="5">
        <f>IFERROR(ROUND(BO27/BR27,2),0)</f>
        <v/>
      </c>
      <c r="CA27" s="2" t="inlineStr">
        <is>
          <t>2023-10-04</t>
        </is>
      </c>
      <c r="CB27" s="5">
        <f>ROUND(0.0,2)</f>
        <v/>
      </c>
      <c r="CC27" s="3">
        <f>ROUND(0.0,2)</f>
        <v/>
      </c>
      <c r="CD27" s="3">
        <f>ROUND(0.0,2)</f>
        <v/>
      </c>
      <c r="CE27" s="3">
        <f>ROUND(0.0,2)</f>
        <v/>
      </c>
      <c r="CF27" s="3">
        <f>ROUND(0.0,2)</f>
        <v/>
      </c>
      <c r="CG27" s="3">
        <f>ROUND(0.0,2)</f>
        <v/>
      </c>
      <c r="CH27" s="3">
        <f>ROUND(0.0,2)</f>
        <v/>
      </c>
      <c r="CI27" s="3">
        <f>ROUND(0.0,2)</f>
        <v/>
      </c>
      <c r="CJ27" s="4">
        <f>IFERROR((CD27/CC27),0)</f>
        <v/>
      </c>
      <c r="CK27" s="4">
        <f>IFERROR(((0+CB11+CB12+CB13+CB14+CB15+CB16+CB17+CB19+CB20+CB21+CB22+CB23+CB24+CB25+CB27)/T2),0)</f>
        <v/>
      </c>
      <c r="CL27" s="5">
        <f>IFERROR(ROUND(CB27/CD27,2),0)</f>
        <v/>
      </c>
      <c r="CM27" s="5">
        <f>IFERROR(ROUND(CB27/CE27,2),0)</f>
        <v/>
      </c>
      <c r="CN27" s="2" t="inlineStr">
        <is>
          <t>2023-10-04</t>
        </is>
      </c>
      <c r="CO27" s="5">
        <f>ROUND(0.0,2)</f>
        <v/>
      </c>
      <c r="CP27" s="3">
        <f>ROUND(0.0,2)</f>
        <v/>
      </c>
      <c r="CQ27" s="3">
        <f>ROUND(0.0,2)</f>
        <v/>
      </c>
      <c r="CR27" s="3">
        <f>ROUND(0.0,2)</f>
        <v/>
      </c>
      <c r="CS27" s="3">
        <f>ROUND(0.0,2)</f>
        <v/>
      </c>
      <c r="CT27" s="3">
        <f>ROUND(0.0,2)</f>
        <v/>
      </c>
      <c r="CU27" s="3">
        <f>ROUND(0.0,2)</f>
        <v/>
      </c>
      <c r="CV27" s="3">
        <f>ROUND(0.0,2)</f>
        <v/>
      </c>
      <c r="CW27" s="4">
        <f>IFERROR((CQ27/CP27),0)</f>
        <v/>
      </c>
      <c r="CX27" s="4">
        <f>IFERROR(((0+CO11+CO12+CO13+CO14+CO15+CO16+CO17+CO19+CO20+CO21+CO22+CO23+CO24+CO25+CO27)/T2),0)</f>
        <v/>
      </c>
      <c r="CY27" s="5">
        <f>IFERROR(ROUND(CO27/CQ27,2),0)</f>
        <v/>
      </c>
      <c r="CZ27" s="5">
        <f>IFERROR(ROUND(CO27/CR27,2),0)</f>
        <v/>
      </c>
      <c r="DA27" s="2" t="inlineStr">
        <is>
          <t>2023-10-04</t>
        </is>
      </c>
      <c r="DB27" s="5">
        <f>ROUND(0.0,2)</f>
        <v/>
      </c>
      <c r="DC27" s="3">
        <f>ROUND(0.0,2)</f>
        <v/>
      </c>
      <c r="DD27" s="3">
        <f>ROUND(0.0,2)</f>
        <v/>
      </c>
      <c r="DE27" s="3">
        <f>ROUND(0.0,2)</f>
        <v/>
      </c>
      <c r="DF27" s="3">
        <f>ROUND(0.0,2)</f>
        <v/>
      </c>
      <c r="DG27" s="3">
        <f>ROUND(0.0,2)</f>
        <v/>
      </c>
      <c r="DH27" s="3">
        <f>ROUND(0.0,2)</f>
        <v/>
      </c>
      <c r="DI27" s="3">
        <f>ROUND(0.0,2)</f>
        <v/>
      </c>
      <c r="DJ27" s="4">
        <f>IFERROR((DD27/DC27),0)</f>
        <v/>
      </c>
      <c r="DK27" s="4">
        <f>IFERROR(((0+DB11+DB12+DB13+DB14+DB15+DB16+DB17+DB19+DB20+DB21+DB22+DB23+DB24+DB25+DB27)/T2),0)</f>
        <v/>
      </c>
      <c r="DL27" s="5">
        <f>IFERROR(ROUND(DB27/DD27,2),0)</f>
        <v/>
      </c>
      <c r="DM27" s="5">
        <f>IFERROR(ROUND(DB27/DE27,2),0)</f>
        <v/>
      </c>
      <c r="DN27" s="2" t="inlineStr">
        <is>
          <t>2023-10-04</t>
        </is>
      </c>
      <c r="DO27" s="5">
        <f>ROUND(0.0,2)</f>
        <v/>
      </c>
      <c r="DP27" s="3">
        <f>ROUND(0.0,2)</f>
        <v/>
      </c>
      <c r="DQ27" s="3">
        <f>ROUND(0.0,2)</f>
        <v/>
      </c>
      <c r="DR27" s="3">
        <f>ROUND(0.0,2)</f>
        <v/>
      </c>
      <c r="DS27" s="3">
        <f>ROUND(0.0,2)</f>
        <v/>
      </c>
      <c r="DT27" s="3">
        <f>ROUND(0.0,2)</f>
        <v/>
      </c>
      <c r="DU27" s="3">
        <f>ROUND(0.0,2)</f>
        <v/>
      </c>
      <c r="DV27" s="3">
        <f>ROUND(0.0,2)</f>
        <v/>
      </c>
      <c r="DW27" s="4">
        <f>IFERROR((DQ27/DP27),0)</f>
        <v/>
      </c>
      <c r="DX27" s="4">
        <f>IFERROR(((0+DO11+DO12+DO13+DO14+DO15+DO16+DO17+DO19+DO20+DO21+DO22+DO23+DO24+DO25+DO27)/T2),0)</f>
        <v/>
      </c>
      <c r="DY27" s="5">
        <f>IFERROR(ROUND(DO27/DQ27,2),0)</f>
        <v/>
      </c>
      <c r="DZ27" s="5">
        <f>IFERROR(ROUND(DO27/DR27,2),0)</f>
        <v/>
      </c>
      <c r="EA27" s="2" t="inlineStr">
        <is>
          <t>2023-10-04</t>
        </is>
      </c>
      <c r="EB27" s="5">
        <f>ROUND(0.0,2)</f>
        <v/>
      </c>
      <c r="EC27" s="3">
        <f>ROUND(0.0,2)</f>
        <v/>
      </c>
      <c r="ED27" s="3">
        <f>ROUND(0.0,2)</f>
        <v/>
      </c>
      <c r="EE27" s="3">
        <f>ROUND(0.0,2)</f>
        <v/>
      </c>
      <c r="EF27" s="3">
        <f>ROUND(0.0,2)</f>
        <v/>
      </c>
      <c r="EG27" s="3">
        <f>ROUND(0.0,2)</f>
        <v/>
      </c>
      <c r="EH27" s="3">
        <f>ROUND(0.0,2)</f>
        <v/>
      </c>
      <c r="EI27" s="3">
        <f>ROUND(0.0,2)</f>
        <v/>
      </c>
      <c r="EJ27" s="4">
        <f>IFERROR((ED27/EC27),0)</f>
        <v/>
      </c>
      <c r="EK27" s="4">
        <f>IFERROR(((0+EB11+EB12+EB13+EB14+EB15+EB16+EB17+EB19+EB20+EB21+EB22+EB23+EB24+EB25+EB27)/T2),0)</f>
        <v/>
      </c>
      <c r="EL27" s="5">
        <f>IFERROR(ROUND(EB27/ED27,2),0)</f>
        <v/>
      </c>
      <c r="EM27" s="5">
        <f>IFERROR(ROUND(EB27/EE27,2),0)</f>
        <v/>
      </c>
      <c r="EN27" s="2" t="inlineStr">
        <is>
          <t>2023-10-04</t>
        </is>
      </c>
      <c r="EO27" s="5">
        <f>ROUND(0.0,2)</f>
        <v/>
      </c>
      <c r="EP27" s="3">
        <f>ROUND(0.0,2)</f>
        <v/>
      </c>
      <c r="EQ27" s="3">
        <f>ROUND(0.0,2)</f>
        <v/>
      </c>
      <c r="ER27" s="3">
        <f>ROUND(0.0,2)</f>
        <v/>
      </c>
      <c r="ES27" s="3">
        <f>ROUND(0.0,2)</f>
        <v/>
      </c>
      <c r="ET27" s="3">
        <f>ROUND(0.0,2)</f>
        <v/>
      </c>
      <c r="EU27" s="3">
        <f>ROUND(0.0,2)</f>
        <v/>
      </c>
      <c r="EV27" s="3">
        <f>ROUND(0.0,2)</f>
        <v/>
      </c>
      <c r="EW27" s="4">
        <f>IFERROR((EQ27/EP27),0)</f>
        <v/>
      </c>
      <c r="EX27" s="4">
        <f>IFERROR(((0+EO11+EO12+EO13+EO14+EO15+EO16+EO17+EO19+EO20+EO21+EO22+EO23+EO24+EO25+EO27)/T2),0)</f>
        <v/>
      </c>
      <c r="EY27" s="5">
        <f>IFERROR(ROUND(EO27/EQ27,2),0)</f>
        <v/>
      </c>
      <c r="EZ27" s="5">
        <f>IFERROR(ROUND(EO27/ER27,2),0)</f>
        <v/>
      </c>
      <c r="FA27" s="2" t="inlineStr">
        <is>
          <t>2023-10-04</t>
        </is>
      </c>
      <c r="FB27" s="5">
        <f>ROUND(0.0,2)</f>
        <v/>
      </c>
      <c r="FC27" s="3">
        <f>ROUND(0.0,2)</f>
        <v/>
      </c>
      <c r="FD27" s="3">
        <f>ROUND(0.0,2)</f>
        <v/>
      </c>
      <c r="FE27" s="3">
        <f>ROUND(0.0,2)</f>
        <v/>
      </c>
      <c r="FF27" s="3">
        <f>ROUND(0.0,2)</f>
        <v/>
      </c>
      <c r="FG27" s="3">
        <f>ROUND(0.0,2)</f>
        <v/>
      </c>
      <c r="FH27" s="3">
        <f>ROUND(0.0,2)</f>
        <v/>
      </c>
      <c r="FI27" s="3">
        <f>ROUND(0.0,2)</f>
        <v/>
      </c>
      <c r="FJ27" s="4">
        <f>IFERROR((FD27/FC27),0)</f>
        <v/>
      </c>
      <c r="FK27" s="4">
        <f>IFERROR(((0+FB11+FB12+FB13+FB14+FB15+FB16+FB17+FB19+FB20+FB21+FB22+FB23+FB24+FB25+FB27)/T2),0)</f>
        <v/>
      </c>
      <c r="FL27" s="5">
        <f>IFERROR(ROUND(FB27/FD27,2),0)</f>
        <v/>
      </c>
      <c r="FM27" s="5">
        <f>IFERROR(ROUND(FB27/FE27,2),0)</f>
        <v/>
      </c>
      <c r="FN27" s="2" t="inlineStr">
        <is>
          <t>2023-10-04</t>
        </is>
      </c>
      <c r="FO27" s="5">
        <f>ROUND(0.0,2)</f>
        <v/>
      </c>
      <c r="FP27" s="3">
        <f>ROUND(0.0,2)</f>
        <v/>
      </c>
      <c r="FQ27" s="3">
        <f>ROUND(0.0,2)</f>
        <v/>
      </c>
      <c r="FR27" s="3">
        <f>ROUND(0.0,2)</f>
        <v/>
      </c>
      <c r="FS27" s="3">
        <f>ROUND(0.0,2)</f>
        <v/>
      </c>
      <c r="FT27" s="3">
        <f>ROUND(0.0,2)</f>
        <v/>
      </c>
      <c r="FU27" s="3">
        <f>ROUND(0.0,2)</f>
        <v/>
      </c>
      <c r="FV27" s="3">
        <f>ROUND(0.0,2)</f>
        <v/>
      </c>
      <c r="FW27" s="4">
        <f>IFERROR((FQ27/FP27),0)</f>
        <v/>
      </c>
      <c r="FX27" s="4">
        <f>IFERROR(((0+FO11+FO12+FO13+FO14+FO15+FO16+FO17+FO19+FO20+FO21+FO22+FO23+FO24+FO25+FO27)/T2),0)</f>
        <v/>
      </c>
      <c r="FY27" s="5">
        <f>IFERROR(ROUND(FO27/FQ27,2),0)</f>
        <v/>
      </c>
      <c r="FZ27" s="5">
        <f>IFERROR(ROUND(FO27/FR27,2),0)</f>
        <v/>
      </c>
      <c r="GA27" s="2" t="inlineStr">
        <is>
          <t>2023-10-04</t>
        </is>
      </c>
      <c r="GB27" s="5">
        <f>ROUND(0.0,2)</f>
        <v/>
      </c>
      <c r="GC27" s="3">
        <f>ROUND(0.0,2)</f>
        <v/>
      </c>
      <c r="GD27" s="3">
        <f>ROUND(0.0,2)</f>
        <v/>
      </c>
      <c r="GE27" s="3">
        <f>ROUND(0.0,2)</f>
        <v/>
      </c>
      <c r="GF27" s="3">
        <f>ROUND(0.0,2)</f>
        <v/>
      </c>
      <c r="GG27" s="3">
        <f>ROUND(0.0,2)</f>
        <v/>
      </c>
      <c r="GH27" s="3">
        <f>ROUND(0.0,2)</f>
        <v/>
      </c>
      <c r="GI27" s="3">
        <f>ROUND(0.0,2)</f>
        <v/>
      </c>
      <c r="GJ27" s="4">
        <f>IFERROR((GD27/GC27),0)</f>
        <v/>
      </c>
      <c r="GK27" s="4">
        <f>IFERROR(((0+GB11+GB12+GB13+GB14+GB15+GB16+GB17+GB19+GB20+GB21+GB22+GB23+GB24+GB25+GB27)/T2),0)</f>
        <v/>
      </c>
      <c r="GL27" s="5">
        <f>IFERROR(ROUND(GB27/GD27,2),0)</f>
        <v/>
      </c>
      <c r="GM27" s="5">
        <f>IFERROR(ROUND(GB27/GE27,2),0)</f>
        <v/>
      </c>
    </row>
    <row r="28">
      <c r="A28" s="2" t="inlineStr">
        <is>
          <t>2023-10-05</t>
        </is>
      </c>
      <c r="B28" s="5">
        <f>ROUND(0.0,2)</f>
        <v/>
      </c>
      <c r="C28" s="3">
        <f>ROUND(0.0,2)</f>
        <v/>
      </c>
      <c r="D28" s="3">
        <f>ROUND(0.0,2)</f>
        <v/>
      </c>
      <c r="E28" s="3">
        <f>ROUND(0.0,2)</f>
        <v/>
      </c>
      <c r="F28" s="3">
        <f>ROUND(0.0,2)</f>
        <v/>
      </c>
      <c r="G28" s="3">
        <f>ROUND(0.0,2)</f>
        <v/>
      </c>
      <c r="H28" s="3">
        <f>ROUND(0.0,2)</f>
        <v/>
      </c>
      <c r="I28" s="3">
        <f>ROUND(0.0,2)</f>
        <v/>
      </c>
      <c r="J28" s="4">
        <f>IFERROR((D28/C28),0)</f>
        <v/>
      </c>
      <c r="K28" s="4">
        <f>IFERROR(((0+B11+B12+B13+B14+B15+B16+B17+B19+B20+B21+B22+B23+B24+B25+B27+B28)/T2),0)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2023-10-05</t>
        </is>
      </c>
      <c r="O28" s="5">
        <f>ROUND(0.0,2)</f>
        <v/>
      </c>
      <c r="P28" s="3">
        <f>ROUND(0.0,2)</f>
        <v/>
      </c>
      <c r="Q28" s="3">
        <f>ROUND(0.0,2)</f>
        <v/>
      </c>
      <c r="R28" s="3">
        <f>ROUND(0.0,2)</f>
        <v/>
      </c>
      <c r="S28" s="3">
        <f>ROUND(0.0,2)</f>
        <v/>
      </c>
      <c r="T28" s="3">
        <f>ROUND(0.0,2)</f>
        <v/>
      </c>
      <c r="U28" s="3">
        <f>ROUND(0.0,2)</f>
        <v/>
      </c>
      <c r="V28" s="3">
        <f>ROUND(0.0,2)</f>
        <v/>
      </c>
      <c r="W28" s="4">
        <f>IFERROR((Q28/P28),0)</f>
        <v/>
      </c>
      <c r="X28" s="4">
        <f>IFERROR(((0+O11+O12+O13+O14+O15+O16+O17+O19+O20+O21+O22+O23+O24+O25+O27+O28)/T2),0)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2023-10-05</t>
        </is>
      </c>
      <c r="AB28" s="5">
        <f>ROUND(0.0,2)</f>
        <v/>
      </c>
      <c r="AC28" s="3">
        <f>ROUND(0.0,2)</f>
        <v/>
      </c>
      <c r="AD28" s="3">
        <f>ROUND(0.0,2)</f>
        <v/>
      </c>
      <c r="AE28" s="3">
        <f>ROUND(0.0,2)</f>
        <v/>
      </c>
      <c r="AF28" s="3">
        <f>ROUND(0.0,2)</f>
        <v/>
      </c>
      <c r="AG28" s="3">
        <f>ROUND(0.0,2)</f>
        <v/>
      </c>
      <c r="AH28" s="3">
        <f>ROUND(0.0,2)</f>
        <v/>
      </c>
      <c r="AI28" s="3">
        <f>ROUND(0.0,2)</f>
        <v/>
      </c>
      <c r="AJ28" s="4">
        <f>IFERROR((AD28/AC28),0)</f>
        <v/>
      </c>
      <c r="AK28" s="4">
        <f>IFERROR(((0+AB11+AB12+AB13+AB14+AB15+AB16+AB17+AB19+AB20+AB21+AB22+AB23+AB24+AB25+AB27+AB28)/T2),0)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2023-10-05</t>
        </is>
      </c>
      <c r="AO28" s="5">
        <f>ROUND(0.0,2)</f>
        <v/>
      </c>
      <c r="AP28" s="3">
        <f>ROUND(0.0,2)</f>
        <v/>
      </c>
      <c r="AQ28" s="3">
        <f>ROUND(0.0,2)</f>
        <v/>
      </c>
      <c r="AR28" s="3">
        <f>ROUND(0.0,2)</f>
        <v/>
      </c>
      <c r="AS28" s="3">
        <f>ROUND(0.0,2)</f>
        <v/>
      </c>
      <c r="AT28" s="3">
        <f>ROUND(0.0,2)</f>
        <v/>
      </c>
      <c r="AU28" s="3">
        <f>ROUND(0.0,2)</f>
        <v/>
      </c>
      <c r="AV28" s="3">
        <f>ROUND(0.0,2)</f>
        <v/>
      </c>
      <c r="AW28" s="4">
        <f>IFERROR((AQ28/AP28),0)</f>
        <v/>
      </c>
      <c r="AX28" s="4">
        <f>IFERROR(((0+AO11+AO12+AO13+AO14+AO15+AO16+AO17+AO19+AO20+AO21+AO22+AO23+AO24+AO25+AO27+AO28)/T2),0)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2023-10-05</t>
        </is>
      </c>
      <c r="BB28" s="5">
        <f>ROUND(0.0,2)</f>
        <v/>
      </c>
      <c r="BC28" s="3">
        <f>ROUND(0.0,2)</f>
        <v/>
      </c>
      <c r="BD28" s="3">
        <f>ROUND(0.0,2)</f>
        <v/>
      </c>
      <c r="BE28" s="3">
        <f>ROUND(0.0,2)</f>
        <v/>
      </c>
      <c r="BF28" s="3">
        <f>ROUND(0.0,2)</f>
        <v/>
      </c>
      <c r="BG28" s="3">
        <f>ROUND(0.0,2)</f>
        <v/>
      </c>
      <c r="BH28" s="3">
        <f>ROUND(0.0,2)</f>
        <v/>
      </c>
      <c r="BI28" s="3">
        <f>ROUND(0.0,2)</f>
        <v/>
      </c>
      <c r="BJ28" s="4">
        <f>IFERROR((BD28/BC28),0)</f>
        <v/>
      </c>
      <c r="BK28" s="4">
        <f>IFERROR(((0+BB11+BB12+BB13+BB14+BB15+BB16+BB17+BB19+BB20+BB21+BB22+BB23+BB24+BB25+BB27+BB28)/T2),0)</f>
        <v/>
      </c>
      <c r="BL28" s="5">
        <f>IFERROR(ROUND(BB28/BD28,2),0)</f>
        <v/>
      </c>
      <c r="BM28" s="5">
        <f>IFERROR(ROUND(BB28/BE28,2),0)</f>
        <v/>
      </c>
      <c r="BN28" s="2" t="inlineStr">
        <is>
          <t>2023-10-05</t>
        </is>
      </c>
      <c r="BO28" s="5">
        <f>ROUND(0.0,2)</f>
        <v/>
      </c>
      <c r="BP28" s="3">
        <f>ROUND(0.0,2)</f>
        <v/>
      </c>
      <c r="BQ28" s="3">
        <f>ROUND(0.0,2)</f>
        <v/>
      </c>
      <c r="BR28" s="3">
        <f>ROUND(0.0,2)</f>
        <v/>
      </c>
      <c r="BS28" s="3">
        <f>ROUND(0.0,2)</f>
        <v/>
      </c>
      <c r="BT28" s="3">
        <f>ROUND(0.0,2)</f>
        <v/>
      </c>
      <c r="BU28" s="3">
        <f>ROUND(0.0,2)</f>
        <v/>
      </c>
      <c r="BV28" s="3">
        <f>ROUND(0.0,2)</f>
        <v/>
      </c>
      <c r="BW28" s="4">
        <f>IFERROR((BQ28/BP28),0)</f>
        <v/>
      </c>
      <c r="BX28" s="4">
        <f>IFERROR(((0+BO11+BO12+BO13+BO14+BO15+BO16+BO17+BO19+BO20+BO21+BO22+BO23+BO24+BO25+BO27+BO28)/T2),0)</f>
        <v/>
      </c>
      <c r="BY28" s="5">
        <f>IFERROR(ROUND(BO28/BQ28,2),0)</f>
        <v/>
      </c>
      <c r="BZ28" s="5">
        <f>IFERROR(ROUND(BO28/BR28,2),0)</f>
        <v/>
      </c>
      <c r="CA28" s="2" t="inlineStr">
        <is>
          <t>2023-10-05</t>
        </is>
      </c>
      <c r="CB28" s="5">
        <f>ROUND(0.0,2)</f>
        <v/>
      </c>
      <c r="CC28" s="3">
        <f>ROUND(0.0,2)</f>
        <v/>
      </c>
      <c r="CD28" s="3">
        <f>ROUND(0.0,2)</f>
        <v/>
      </c>
      <c r="CE28" s="3">
        <f>ROUND(0.0,2)</f>
        <v/>
      </c>
      <c r="CF28" s="3">
        <f>ROUND(0.0,2)</f>
        <v/>
      </c>
      <c r="CG28" s="3">
        <f>ROUND(0.0,2)</f>
        <v/>
      </c>
      <c r="CH28" s="3">
        <f>ROUND(0.0,2)</f>
        <v/>
      </c>
      <c r="CI28" s="3">
        <f>ROUND(0.0,2)</f>
        <v/>
      </c>
      <c r="CJ28" s="4">
        <f>IFERROR((CD28/CC28),0)</f>
        <v/>
      </c>
      <c r="CK28" s="4">
        <f>IFERROR(((0+CB11+CB12+CB13+CB14+CB15+CB16+CB17+CB19+CB20+CB21+CB22+CB23+CB24+CB25+CB27+CB28)/T2),0)</f>
        <v/>
      </c>
      <c r="CL28" s="5">
        <f>IFERROR(ROUND(CB28/CD28,2),0)</f>
        <v/>
      </c>
      <c r="CM28" s="5">
        <f>IFERROR(ROUND(CB28/CE28,2),0)</f>
        <v/>
      </c>
      <c r="CN28" s="2" t="inlineStr">
        <is>
          <t>2023-10-05</t>
        </is>
      </c>
      <c r="CO28" s="5">
        <f>ROUND(0.0,2)</f>
        <v/>
      </c>
      <c r="CP28" s="3">
        <f>ROUND(0.0,2)</f>
        <v/>
      </c>
      <c r="CQ28" s="3">
        <f>ROUND(0.0,2)</f>
        <v/>
      </c>
      <c r="CR28" s="3">
        <f>ROUND(0.0,2)</f>
        <v/>
      </c>
      <c r="CS28" s="3">
        <f>ROUND(0.0,2)</f>
        <v/>
      </c>
      <c r="CT28" s="3">
        <f>ROUND(0.0,2)</f>
        <v/>
      </c>
      <c r="CU28" s="3">
        <f>ROUND(0.0,2)</f>
        <v/>
      </c>
      <c r="CV28" s="3">
        <f>ROUND(0.0,2)</f>
        <v/>
      </c>
      <c r="CW28" s="4">
        <f>IFERROR((CQ28/CP28),0)</f>
        <v/>
      </c>
      <c r="CX28" s="4">
        <f>IFERROR(((0+CO11+CO12+CO13+CO14+CO15+CO16+CO17+CO19+CO20+CO21+CO22+CO23+CO24+CO25+CO27+CO28)/T2),0)</f>
        <v/>
      </c>
      <c r="CY28" s="5">
        <f>IFERROR(ROUND(CO28/CQ28,2),0)</f>
        <v/>
      </c>
      <c r="CZ28" s="5">
        <f>IFERROR(ROUND(CO28/CR28,2),0)</f>
        <v/>
      </c>
      <c r="DA28" s="2" t="inlineStr">
        <is>
          <t>2023-10-05</t>
        </is>
      </c>
      <c r="DB28" s="5">
        <f>ROUND(0.0,2)</f>
        <v/>
      </c>
      <c r="DC28" s="3">
        <f>ROUND(0.0,2)</f>
        <v/>
      </c>
      <c r="DD28" s="3">
        <f>ROUND(0.0,2)</f>
        <v/>
      </c>
      <c r="DE28" s="3">
        <f>ROUND(0.0,2)</f>
        <v/>
      </c>
      <c r="DF28" s="3">
        <f>ROUND(0.0,2)</f>
        <v/>
      </c>
      <c r="DG28" s="3">
        <f>ROUND(0.0,2)</f>
        <v/>
      </c>
      <c r="DH28" s="3">
        <f>ROUND(0.0,2)</f>
        <v/>
      </c>
      <c r="DI28" s="3">
        <f>ROUND(0.0,2)</f>
        <v/>
      </c>
      <c r="DJ28" s="4">
        <f>IFERROR((DD28/DC28),0)</f>
        <v/>
      </c>
      <c r="DK28" s="4">
        <f>IFERROR(((0+DB11+DB12+DB13+DB14+DB15+DB16+DB17+DB19+DB20+DB21+DB22+DB23+DB24+DB25+DB27+DB28)/T2),0)</f>
        <v/>
      </c>
      <c r="DL28" s="5">
        <f>IFERROR(ROUND(DB28/DD28,2),0)</f>
        <v/>
      </c>
      <c r="DM28" s="5">
        <f>IFERROR(ROUND(DB28/DE28,2),0)</f>
        <v/>
      </c>
      <c r="DN28" s="2" t="inlineStr">
        <is>
          <t>2023-10-05</t>
        </is>
      </c>
      <c r="DO28" s="5">
        <f>ROUND(0.0,2)</f>
        <v/>
      </c>
      <c r="DP28" s="3">
        <f>ROUND(0.0,2)</f>
        <v/>
      </c>
      <c r="DQ28" s="3">
        <f>ROUND(0.0,2)</f>
        <v/>
      </c>
      <c r="DR28" s="3">
        <f>ROUND(0.0,2)</f>
        <v/>
      </c>
      <c r="DS28" s="3">
        <f>ROUND(0.0,2)</f>
        <v/>
      </c>
      <c r="DT28" s="3">
        <f>ROUND(0.0,2)</f>
        <v/>
      </c>
      <c r="DU28" s="3">
        <f>ROUND(0.0,2)</f>
        <v/>
      </c>
      <c r="DV28" s="3">
        <f>ROUND(0.0,2)</f>
        <v/>
      </c>
      <c r="DW28" s="4">
        <f>IFERROR((DQ28/DP28),0)</f>
        <v/>
      </c>
      <c r="DX28" s="4">
        <f>IFERROR(((0+DO11+DO12+DO13+DO14+DO15+DO16+DO17+DO19+DO20+DO21+DO22+DO23+DO24+DO25+DO27+DO28)/T2),0)</f>
        <v/>
      </c>
      <c r="DY28" s="5">
        <f>IFERROR(ROUND(DO28/DQ28,2),0)</f>
        <v/>
      </c>
      <c r="DZ28" s="5">
        <f>IFERROR(ROUND(DO28/DR28,2),0)</f>
        <v/>
      </c>
      <c r="EA28" s="2" t="inlineStr">
        <is>
          <t>2023-10-05</t>
        </is>
      </c>
      <c r="EB28" s="5">
        <f>ROUND(0.0,2)</f>
        <v/>
      </c>
      <c r="EC28" s="3">
        <f>ROUND(0.0,2)</f>
        <v/>
      </c>
      <c r="ED28" s="3">
        <f>ROUND(0.0,2)</f>
        <v/>
      </c>
      <c r="EE28" s="3">
        <f>ROUND(0.0,2)</f>
        <v/>
      </c>
      <c r="EF28" s="3">
        <f>ROUND(0.0,2)</f>
        <v/>
      </c>
      <c r="EG28" s="3">
        <f>ROUND(0.0,2)</f>
        <v/>
      </c>
      <c r="EH28" s="3">
        <f>ROUND(0.0,2)</f>
        <v/>
      </c>
      <c r="EI28" s="3">
        <f>ROUND(0.0,2)</f>
        <v/>
      </c>
      <c r="EJ28" s="4">
        <f>IFERROR((ED28/EC28),0)</f>
        <v/>
      </c>
      <c r="EK28" s="4">
        <f>IFERROR(((0+EB11+EB12+EB13+EB14+EB15+EB16+EB17+EB19+EB20+EB21+EB22+EB23+EB24+EB25+EB27+EB28)/T2),0)</f>
        <v/>
      </c>
      <c r="EL28" s="5">
        <f>IFERROR(ROUND(EB28/ED28,2),0)</f>
        <v/>
      </c>
      <c r="EM28" s="5">
        <f>IFERROR(ROUND(EB28/EE28,2),0)</f>
        <v/>
      </c>
      <c r="EN28" s="2" t="inlineStr">
        <is>
          <t>2023-10-05</t>
        </is>
      </c>
      <c r="EO28" s="5">
        <f>ROUND(0.0,2)</f>
        <v/>
      </c>
      <c r="EP28" s="3">
        <f>ROUND(0.0,2)</f>
        <v/>
      </c>
      <c r="EQ28" s="3">
        <f>ROUND(0.0,2)</f>
        <v/>
      </c>
      <c r="ER28" s="3">
        <f>ROUND(0.0,2)</f>
        <v/>
      </c>
      <c r="ES28" s="3">
        <f>ROUND(0.0,2)</f>
        <v/>
      </c>
      <c r="ET28" s="3">
        <f>ROUND(0.0,2)</f>
        <v/>
      </c>
      <c r="EU28" s="3">
        <f>ROUND(0.0,2)</f>
        <v/>
      </c>
      <c r="EV28" s="3">
        <f>ROUND(0.0,2)</f>
        <v/>
      </c>
      <c r="EW28" s="4">
        <f>IFERROR((EQ28/EP28),0)</f>
        <v/>
      </c>
      <c r="EX28" s="4">
        <f>IFERROR(((0+EO11+EO12+EO13+EO14+EO15+EO16+EO17+EO19+EO20+EO21+EO22+EO23+EO24+EO25+EO27+EO28)/T2),0)</f>
        <v/>
      </c>
      <c r="EY28" s="5">
        <f>IFERROR(ROUND(EO28/EQ28,2),0)</f>
        <v/>
      </c>
      <c r="EZ28" s="5">
        <f>IFERROR(ROUND(EO28/ER28,2),0)</f>
        <v/>
      </c>
      <c r="FA28" s="2" t="inlineStr">
        <is>
          <t>2023-10-05</t>
        </is>
      </c>
      <c r="FB28" s="5">
        <f>ROUND(0.0,2)</f>
        <v/>
      </c>
      <c r="FC28" s="3">
        <f>ROUND(0.0,2)</f>
        <v/>
      </c>
      <c r="FD28" s="3">
        <f>ROUND(0.0,2)</f>
        <v/>
      </c>
      <c r="FE28" s="3">
        <f>ROUND(0.0,2)</f>
        <v/>
      </c>
      <c r="FF28" s="3">
        <f>ROUND(0.0,2)</f>
        <v/>
      </c>
      <c r="FG28" s="3">
        <f>ROUND(0.0,2)</f>
        <v/>
      </c>
      <c r="FH28" s="3">
        <f>ROUND(0.0,2)</f>
        <v/>
      </c>
      <c r="FI28" s="3">
        <f>ROUND(0.0,2)</f>
        <v/>
      </c>
      <c r="FJ28" s="4">
        <f>IFERROR((FD28/FC28),0)</f>
        <v/>
      </c>
      <c r="FK28" s="4">
        <f>IFERROR(((0+FB11+FB12+FB13+FB14+FB15+FB16+FB17+FB19+FB20+FB21+FB22+FB23+FB24+FB25+FB27+FB28)/T2),0)</f>
        <v/>
      </c>
      <c r="FL28" s="5">
        <f>IFERROR(ROUND(FB28/FD28,2),0)</f>
        <v/>
      </c>
      <c r="FM28" s="5">
        <f>IFERROR(ROUND(FB28/FE28,2),0)</f>
        <v/>
      </c>
      <c r="FN28" s="2" t="inlineStr">
        <is>
          <t>2023-10-05</t>
        </is>
      </c>
      <c r="FO28" s="5">
        <f>ROUND(0.0,2)</f>
        <v/>
      </c>
      <c r="FP28" s="3">
        <f>ROUND(0.0,2)</f>
        <v/>
      </c>
      <c r="FQ28" s="3">
        <f>ROUND(0.0,2)</f>
        <v/>
      </c>
      <c r="FR28" s="3">
        <f>ROUND(0.0,2)</f>
        <v/>
      </c>
      <c r="FS28" s="3">
        <f>ROUND(0.0,2)</f>
        <v/>
      </c>
      <c r="FT28" s="3">
        <f>ROUND(0.0,2)</f>
        <v/>
      </c>
      <c r="FU28" s="3">
        <f>ROUND(0.0,2)</f>
        <v/>
      </c>
      <c r="FV28" s="3">
        <f>ROUND(0.0,2)</f>
        <v/>
      </c>
      <c r="FW28" s="4">
        <f>IFERROR((FQ28/FP28),0)</f>
        <v/>
      </c>
      <c r="FX28" s="4">
        <f>IFERROR(((0+FO11+FO12+FO13+FO14+FO15+FO16+FO17+FO19+FO20+FO21+FO22+FO23+FO24+FO25+FO27+FO28)/T2),0)</f>
        <v/>
      </c>
      <c r="FY28" s="5">
        <f>IFERROR(ROUND(FO28/FQ28,2),0)</f>
        <v/>
      </c>
      <c r="FZ28" s="5">
        <f>IFERROR(ROUND(FO28/FR28,2),0)</f>
        <v/>
      </c>
      <c r="GA28" s="2" t="inlineStr">
        <is>
          <t>2023-10-05</t>
        </is>
      </c>
      <c r="GB28" s="5">
        <f>ROUND(0.0,2)</f>
        <v/>
      </c>
      <c r="GC28" s="3">
        <f>ROUND(0.0,2)</f>
        <v/>
      </c>
      <c r="GD28" s="3">
        <f>ROUND(0.0,2)</f>
        <v/>
      </c>
      <c r="GE28" s="3">
        <f>ROUND(0.0,2)</f>
        <v/>
      </c>
      <c r="GF28" s="3">
        <f>ROUND(0.0,2)</f>
        <v/>
      </c>
      <c r="GG28" s="3">
        <f>ROUND(0.0,2)</f>
        <v/>
      </c>
      <c r="GH28" s="3">
        <f>ROUND(0.0,2)</f>
        <v/>
      </c>
      <c r="GI28" s="3">
        <f>ROUND(0.0,2)</f>
        <v/>
      </c>
      <c r="GJ28" s="4">
        <f>IFERROR((GD28/GC28),0)</f>
        <v/>
      </c>
      <c r="GK28" s="4">
        <f>IFERROR(((0+GB11+GB12+GB13+GB14+GB15+GB16+GB17+GB19+GB20+GB21+GB22+GB23+GB24+GB25+GB27+GB28)/T2),0)</f>
        <v/>
      </c>
      <c r="GL28" s="5">
        <f>IFERROR(ROUND(GB28/GD28,2),0)</f>
        <v/>
      </c>
      <c r="GM28" s="5">
        <f>IFERROR(ROUND(GB28/GE28,2),0)</f>
        <v/>
      </c>
    </row>
    <row r="29">
      <c r="A29" s="2" t="inlineStr">
        <is>
          <t>2023-10-06</t>
        </is>
      </c>
      <c r="B29" s="5">
        <f>ROUND(0.0,2)</f>
        <v/>
      </c>
      <c r="C29" s="3">
        <f>ROUND(0.0,2)</f>
        <v/>
      </c>
      <c r="D29" s="3">
        <f>ROUND(0.0,2)</f>
        <v/>
      </c>
      <c r="E29" s="3">
        <f>ROUND(0.0,2)</f>
        <v/>
      </c>
      <c r="F29" s="3">
        <f>ROUND(0.0,2)</f>
        <v/>
      </c>
      <c r="G29" s="3">
        <f>ROUND(0.0,2)</f>
        <v/>
      </c>
      <c r="H29" s="3">
        <f>ROUND(0.0,2)</f>
        <v/>
      </c>
      <c r="I29" s="3">
        <f>ROUND(0.0,2)</f>
        <v/>
      </c>
      <c r="J29" s="4">
        <f>IFERROR((D29/C29),0)</f>
        <v/>
      </c>
      <c r="K29" s="4">
        <f>IFERROR(((0+B11+B12+B13+B14+B15+B16+B17+B19+B20+B21+B22+B23+B24+B25+B27+B28+B29)/T2),0)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2023-10-06</t>
        </is>
      </c>
      <c r="O29" s="5">
        <f>ROUND(0.0,2)</f>
        <v/>
      </c>
      <c r="P29" s="3">
        <f>ROUND(0.0,2)</f>
        <v/>
      </c>
      <c r="Q29" s="3">
        <f>ROUND(0.0,2)</f>
        <v/>
      </c>
      <c r="R29" s="3">
        <f>ROUND(0.0,2)</f>
        <v/>
      </c>
      <c r="S29" s="3">
        <f>ROUND(0.0,2)</f>
        <v/>
      </c>
      <c r="T29" s="3">
        <f>ROUND(0.0,2)</f>
        <v/>
      </c>
      <c r="U29" s="3">
        <f>ROUND(0.0,2)</f>
        <v/>
      </c>
      <c r="V29" s="3">
        <f>ROUND(0.0,2)</f>
        <v/>
      </c>
      <c r="W29" s="4">
        <f>IFERROR((Q29/P29),0)</f>
        <v/>
      </c>
      <c r="X29" s="4">
        <f>IFERROR(((0+O11+O12+O13+O14+O15+O16+O17+O19+O20+O21+O22+O23+O24+O25+O27+O28+O29)/T2),0)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2023-10-06</t>
        </is>
      </c>
      <c r="AB29" s="5">
        <f>ROUND(0.0,2)</f>
        <v/>
      </c>
      <c r="AC29" s="3">
        <f>ROUND(0.0,2)</f>
        <v/>
      </c>
      <c r="AD29" s="3">
        <f>ROUND(0.0,2)</f>
        <v/>
      </c>
      <c r="AE29" s="3">
        <f>ROUND(0.0,2)</f>
        <v/>
      </c>
      <c r="AF29" s="3">
        <f>ROUND(0.0,2)</f>
        <v/>
      </c>
      <c r="AG29" s="3">
        <f>ROUND(0.0,2)</f>
        <v/>
      </c>
      <c r="AH29" s="3">
        <f>ROUND(0.0,2)</f>
        <v/>
      </c>
      <c r="AI29" s="3">
        <f>ROUND(0.0,2)</f>
        <v/>
      </c>
      <c r="AJ29" s="4">
        <f>IFERROR((AD29/AC29),0)</f>
        <v/>
      </c>
      <c r="AK29" s="4">
        <f>IFERROR(((0+AB11+AB12+AB13+AB14+AB15+AB16+AB17+AB19+AB20+AB21+AB22+AB23+AB24+AB25+AB27+AB28+AB29)/T2),0)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2023-10-06</t>
        </is>
      </c>
      <c r="AO29" s="5">
        <f>ROUND(0.0,2)</f>
        <v/>
      </c>
      <c r="AP29" s="3">
        <f>ROUND(0.0,2)</f>
        <v/>
      </c>
      <c r="AQ29" s="3">
        <f>ROUND(0.0,2)</f>
        <v/>
      </c>
      <c r="AR29" s="3">
        <f>ROUND(0.0,2)</f>
        <v/>
      </c>
      <c r="AS29" s="3">
        <f>ROUND(0.0,2)</f>
        <v/>
      </c>
      <c r="AT29" s="3">
        <f>ROUND(0.0,2)</f>
        <v/>
      </c>
      <c r="AU29" s="3">
        <f>ROUND(0.0,2)</f>
        <v/>
      </c>
      <c r="AV29" s="3">
        <f>ROUND(0.0,2)</f>
        <v/>
      </c>
      <c r="AW29" s="4">
        <f>IFERROR((AQ29/AP29),0)</f>
        <v/>
      </c>
      <c r="AX29" s="4">
        <f>IFERROR(((0+AO11+AO12+AO13+AO14+AO15+AO16+AO17+AO19+AO20+AO21+AO22+AO23+AO24+AO25+AO27+AO28+AO29)/T2),0)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2023-10-06</t>
        </is>
      </c>
      <c r="BB29" s="5">
        <f>ROUND(0.0,2)</f>
        <v/>
      </c>
      <c r="BC29" s="3">
        <f>ROUND(0.0,2)</f>
        <v/>
      </c>
      <c r="BD29" s="3">
        <f>ROUND(0.0,2)</f>
        <v/>
      </c>
      <c r="BE29" s="3">
        <f>ROUND(0.0,2)</f>
        <v/>
      </c>
      <c r="BF29" s="3">
        <f>ROUND(0.0,2)</f>
        <v/>
      </c>
      <c r="BG29" s="3">
        <f>ROUND(0.0,2)</f>
        <v/>
      </c>
      <c r="BH29" s="3">
        <f>ROUND(0.0,2)</f>
        <v/>
      </c>
      <c r="BI29" s="3">
        <f>ROUND(0.0,2)</f>
        <v/>
      </c>
      <c r="BJ29" s="4">
        <f>IFERROR((BD29/BC29),0)</f>
        <v/>
      </c>
      <c r="BK29" s="4">
        <f>IFERROR(((0+BB11+BB12+BB13+BB14+BB15+BB16+BB17+BB19+BB20+BB21+BB22+BB23+BB24+BB25+BB27+BB28+BB29)/T2),0)</f>
        <v/>
      </c>
      <c r="BL29" s="5">
        <f>IFERROR(ROUND(BB29/BD29,2),0)</f>
        <v/>
      </c>
      <c r="BM29" s="5">
        <f>IFERROR(ROUND(BB29/BE29,2),0)</f>
        <v/>
      </c>
      <c r="BN29" s="2" t="inlineStr">
        <is>
          <t>2023-10-06</t>
        </is>
      </c>
      <c r="BO29" s="5">
        <f>ROUND(0.0,2)</f>
        <v/>
      </c>
      <c r="BP29" s="3">
        <f>ROUND(0.0,2)</f>
        <v/>
      </c>
      <c r="BQ29" s="3">
        <f>ROUND(0.0,2)</f>
        <v/>
      </c>
      <c r="BR29" s="3">
        <f>ROUND(0.0,2)</f>
        <v/>
      </c>
      <c r="BS29" s="3">
        <f>ROUND(0.0,2)</f>
        <v/>
      </c>
      <c r="BT29" s="3">
        <f>ROUND(0.0,2)</f>
        <v/>
      </c>
      <c r="BU29" s="3">
        <f>ROUND(0.0,2)</f>
        <v/>
      </c>
      <c r="BV29" s="3">
        <f>ROUND(0.0,2)</f>
        <v/>
      </c>
      <c r="BW29" s="4">
        <f>IFERROR((BQ29/BP29),0)</f>
        <v/>
      </c>
      <c r="BX29" s="4">
        <f>IFERROR(((0+BO11+BO12+BO13+BO14+BO15+BO16+BO17+BO19+BO20+BO21+BO22+BO23+BO24+BO25+BO27+BO28+BO29)/T2),0)</f>
        <v/>
      </c>
      <c r="BY29" s="5">
        <f>IFERROR(ROUND(BO29/BQ29,2),0)</f>
        <v/>
      </c>
      <c r="BZ29" s="5">
        <f>IFERROR(ROUND(BO29/BR29,2),0)</f>
        <v/>
      </c>
      <c r="CA29" s="2" t="inlineStr">
        <is>
          <t>2023-10-06</t>
        </is>
      </c>
      <c r="CB29" s="5">
        <f>ROUND(0.0,2)</f>
        <v/>
      </c>
      <c r="CC29" s="3">
        <f>ROUND(0.0,2)</f>
        <v/>
      </c>
      <c r="CD29" s="3">
        <f>ROUND(0.0,2)</f>
        <v/>
      </c>
      <c r="CE29" s="3">
        <f>ROUND(0.0,2)</f>
        <v/>
      </c>
      <c r="CF29" s="3">
        <f>ROUND(0.0,2)</f>
        <v/>
      </c>
      <c r="CG29" s="3">
        <f>ROUND(0.0,2)</f>
        <v/>
      </c>
      <c r="CH29" s="3">
        <f>ROUND(0.0,2)</f>
        <v/>
      </c>
      <c r="CI29" s="3">
        <f>ROUND(0.0,2)</f>
        <v/>
      </c>
      <c r="CJ29" s="4">
        <f>IFERROR((CD29/CC29),0)</f>
        <v/>
      </c>
      <c r="CK29" s="4">
        <f>IFERROR(((0+CB11+CB12+CB13+CB14+CB15+CB16+CB17+CB19+CB20+CB21+CB22+CB23+CB24+CB25+CB27+CB28+CB29)/T2),0)</f>
        <v/>
      </c>
      <c r="CL29" s="5">
        <f>IFERROR(ROUND(CB29/CD29,2),0)</f>
        <v/>
      </c>
      <c r="CM29" s="5">
        <f>IFERROR(ROUND(CB29/CE29,2),0)</f>
        <v/>
      </c>
      <c r="CN29" s="2" t="inlineStr">
        <is>
          <t>2023-10-06</t>
        </is>
      </c>
      <c r="CO29" s="5">
        <f>ROUND(0.0,2)</f>
        <v/>
      </c>
      <c r="CP29" s="3">
        <f>ROUND(0.0,2)</f>
        <v/>
      </c>
      <c r="CQ29" s="3">
        <f>ROUND(0.0,2)</f>
        <v/>
      </c>
      <c r="CR29" s="3">
        <f>ROUND(0.0,2)</f>
        <v/>
      </c>
      <c r="CS29" s="3">
        <f>ROUND(0.0,2)</f>
        <v/>
      </c>
      <c r="CT29" s="3">
        <f>ROUND(0.0,2)</f>
        <v/>
      </c>
      <c r="CU29" s="3">
        <f>ROUND(0.0,2)</f>
        <v/>
      </c>
      <c r="CV29" s="3">
        <f>ROUND(0.0,2)</f>
        <v/>
      </c>
      <c r="CW29" s="4">
        <f>IFERROR((CQ29/CP29),0)</f>
        <v/>
      </c>
      <c r="CX29" s="4">
        <f>IFERROR(((0+CO11+CO12+CO13+CO14+CO15+CO16+CO17+CO19+CO20+CO21+CO22+CO23+CO24+CO25+CO27+CO28+CO29)/T2),0)</f>
        <v/>
      </c>
      <c r="CY29" s="5">
        <f>IFERROR(ROUND(CO29/CQ29,2),0)</f>
        <v/>
      </c>
      <c r="CZ29" s="5">
        <f>IFERROR(ROUND(CO29/CR29,2),0)</f>
        <v/>
      </c>
      <c r="DA29" s="2" t="inlineStr">
        <is>
          <t>2023-10-06</t>
        </is>
      </c>
      <c r="DB29" s="5">
        <f>ROUND(0.0,2)</f>
        <v/>
      </c>
      <c r="DC29" s="3">
        <f>ROUND(0.0,2)</f>
        <v/>
      </c>
      <c r="DD29" s="3">
        <f>ROUND(0.0,2)</f>
        <v/>
      </c>
      <c r="DE29" s="3">
        <f>ROUND(0.0,2)</f>
        <v/>
      </c>
      <c r="DF29" s="3">
        <f>ROUND(0.0,2)</f>
        <v/>
      </c>
      <c r="DG29" s="3">
        <f>ROUND(0.0,2)</f>
        <v/>
      </c>
      <c r="DH29" s="3">
        <f>ROUND(0.0,2)</f>
        <v/>
      </c>
      <c r="DI29" s="3">
        <f>ROUND(0.0,2)</f>
        <v/>
      </c>
      <c r="DJ29" s="4">
        <f>IFERROR((DD29/DC29),0)</f>
        <v/>
      </c>
      <c r="DK29" s="4">
        <f>IFERROR(((0+DB11+DB12+DB13+DB14+DB15+DB16+DB17+DB19+DB20+DB21+DB22+DB23+DB24+DB25+DB27+DB28+DB29)/T2),0)</f>
        <v/>
      </c>
      <c r="DL29" s="5">
        <f>IFERROR(ROUND(DB29/DD29,2),0)</f>
        <v/>
      </c>
      <c r="DM29" s="5">
        <f>IFERROR(ROUND(DB29/DE29,2),0)</f>
        <v/>
      </c>
      <c r="DN29" s="2" t="inlineStr">
        <is>
          <t>2023-10-06</t>
        </is>
      </c>
      <c r="DO29" s="5">
        <f>ROUND(0.0,2)</f>
        <v/>
      </c>
      <c r="DP29" s="3">
        <f>ROUND(0.0,2)</f>
        <v/>
      </c>
      <c r="DQ29" s="3">
        <f>ROUND(0.0,2)</f>
        <v/>
      </c>
      <c r="DR29" s="3">
        <f>ROUND(0.0,2)</f>
        <v/>
      </c>
      <c r="DS29" s="3">
        <f>ROUND(0.0,2)</f>
        <v/>
      </c>
      <c r="DT29" s="3">
        <f>ROUND(0.0,2)</f>
        <v/>
      </c>
      <c r="DU29" s="3">
        <f>ROUND(0.0,2)</f>
        <v/>
      </c>
      <c r="DV29" s="3">
        <f>ROUND(0.0,2)</f>
        <v/>
      </c>
      <c r="DW29" s="4">
        <f>IFERROR((DQ29/DP29),0)</f>
        <v/>
      </c>
      <c r="DX29" s="4">
        <f>IFERROR(((0+DO11+DO12+DO13+DO14+DO15+DO16+DO17+DO19+DO20+DO21+DO22+DO23+DO24+DO25+DO27+DO28+DO29)/T2),0)</f>
        <v/>
      </c>
      <c r="DY29" s="5">
        <f>IFERROR(ROUND(DO29/DQ29,2),0)</f>
        <v/>
      </c>
      <c r="DZ29" s="5">
        <f>IFERROR(ROUND(DO29/DR29,2),0)</f>
        <v/>
      </c>
      <c r="EA29" s="2" t="inlineStr">
        <is>
          <t>2023-10-06</t>
        </is>
      </c>
      <c r="EB29" s="5">
        <f>ROUND(0.0,2)</f>
        <v/>
      </c>
      <c r="EC29" s="3">
        <f>ROUND(0.0,2)</f>
        <v/>
      </c>
      <c r="ED29" s="3">
        <f>ROUND(0.0,2)</f>
        <v/>
      </c>
      <c r="EE29" s="3">
        <f>ROUND(0.0,2)</f>
        <v/>
      </c>
      <c r="EF29" s="3">
        <f>ROUND(0.0,2)</f>
        <v/>
      </c>
      <c r="EG29" s="3">
        <f>ROUND(0.0,2)</f>
        <v/>
      </c>
      <c r="EH29" s="3">
        <f>ROUND(0.0,2)</f>
        <v/>
      </c>
      <c r="EI29" s="3">
        <f>ROUND(0.0,2)</f>
        <v/>
      </c>
      <c r="EJ29" s="4">
        <f>IFERROR((ED29/EC29),0)</f>
        <v/>
      </c>
      <c r="EK29" s="4">
        <f>IFERROR(((0+EB11+EB12+EB13+EB14+EB15+EB16+EB17+EB19+EB20+EB21+EB22+EB23+EB24+EB25+EB27+EB28+EB29)/T2),0)</f>
        <v/>
      </c>
      <c r="EL29" s="5">
        <f>IFERROR(ROUND(EB29/ED29,2),0)</f>
        <v/>
      </c>
      <c r="EM29" s="5">
        <f>IFERROR(ROUND(EB29/EE29,2),0)</f>
        <v/>
      </c>
      <c r="EN29" s="2" t="inlineStr">
        <is>
          <t>2023-10-06</t>
        </is>
      </c>
      <c r="EO29" s="5">
        <f>ROUND(0.0,2)</f>
        <v/>
      </c>
      <c r="EP29" s="3">
        <f>ROUND(0.0,2)</f>
        <v/>
      </c>
      <c r="EQ29" s="3">
        <f>ROUND(0.0,2)</f>
        <v/>
      </c>
      <c r="ER29" s="3">
        <f>ROUND(0.0,2)</f>
        <v/>
      </c>
      <c r="ES29" s="3">
        <f>ROUND(0.0,2)</f>
        <v/>
      </c>
      <c r="ET29" s="3">
        <f>ROUND(0.0,2)</f>
        <v/>
      </c>
      <c r="EU29" s="3">
        <f>ROUND(0.0,2)</f>
        <v/>
      </c>
      <c r="EV29" s="3">
        <f>ROUND(0.0,2)</f>
        <v/>
      </c>
      <c r="EW29" s="4">
        <f>IFERROR((EQ29/EP29),0)</f>
        <v/>
      </c>
      <c r="EX29" s="4">
        <f>IFERROR(((0+EO11+EO12+EO13+EO14+EO15+EO16+EO17+EO19+EO20+EO21+EO22+EO23+EO24+EO25+EO27+EO28+EO29)/T2),0)</f>
        <v/>
      </c>
      <c r="EY29" s="5">
        <f>IFERROR(ROUND(EO29/EQ29,2),0)</f>
        <v/>
      </c>
      <c r="EZ29" s="5">
        <f>IFERROR(ROUND(EO29/ER29,2),0)</f>
        <v/>
      </c>
      <c r="FA29" s="2" t="inlineStr">
        <is>
          <t>2023-10-06</t>
        </is>
      </c>
      <c r="FB29" s="5">
        <f>ROUND(0.0,2)</f>
        <v/>
      </c>
      <c r="FC29" s="3">
        <f>ROUND(0.0,2)</f>
        <v/>
      </c>
      <c r="FD29" s="3">
        <f>ROUND(0.0,2)</f>
        <v/>
      </c>
      <c r="FE29" s="3">
        <f>ROUND(0.0,2)</f>
        <v/>
      </c>
      <c r="FF29" s="3">
        <f>ROUND(0.0,2)</f>
        <v/>
      </c>
      <c r="FG29" s="3">
        <f>ROUND(0.0,2)</f>
        <v/>
      </c>
      <c r="FH29" s="3">
        <f>ROUND(0.0,2)</f>
        <v/>
      </c>
      <c r="FI29" s="3">
        <f>ROUND(0.0,2)</f>
        <v/>
      </c>
      <c r="FJ29" s="4">
        <f>IFERROR((FD29/FC29),0)</f>
        <v/>
      </c>
      <c r="FK29" s="4">
        <f>IFERROR(((0+FB11+FB12+FB13+FB14+FB15+FB16+FB17+FB19+FB20+FB21+FB22+FB23+FB24+FB25+FB27+FB28+FB29)/T2),0)</f>
        <v/>
      </c>
      <c r="FL29" s="5">
        <f>IFERROR(ROUND(FB29/FD29,2),0)</f>
        <v/>
      </c>
      <c r="FM29" s="5">
        <f>IFERROR(ROUND(FB29/FE29,2),0)</f>
        <v/>
      </c>
      <c r="FN29" s="2" t="inlineStr">
        <is>
          <t>2023-10-06</t>
        </is>
      </c>
      <c r="FO29" s="5">
        <f>ROUND(0.0,2)</f>
        <v/>
      </c>
      <c r="FP29" s="3">
        <f>ROUND(0.0,2)</f>
        <v/>
      </c>
      <c r="FQ29" s="3">
        <f>ROUND(0.0,2)</f>
        <v/>
      </c>
      <c r="FR29" s="3">
        <f>ROUND(0.0,2)</f>
        <v/>
      </c>
      <c r="FS29" s="3">
        <f>ROUND(0.0,2)</f>
        <v/>
      </c>
      <c r="FT29" s="3">
        <f>ROUND(0.0,2)</f>
        <v/>
      </c>
      <c r="FU29" s="3">
        <f>ROUND(0.0,2)</f>
        <v/>
      </c>
      <c r="FV29" s="3">
        <f>ROUND(0.0,2)</f>
        <v/>
      </c>
      <c r="FW29" s="4">
        <f>IFERROR((FQ29/FP29),0)</f>
        <v/>
      </c>
      <c r="FX29" s="4">
        <f>IFERROR(((0+FO11+FO12+FO13+FO14+FO15+FO16+FO17+FO19+FO20+FO21+FO22+FO23+FO24+FO25+FO27+FO28+FO29)/T2),0)</f>
        <v/>
      </c>
      <c r="FY29" s="5">
        <f>IFERROR(ROUND(FO29/FQ29,2),0)</f>
        <v/>
      </c>
      <c r="FZ29" s="5">
        <f>IFERROR(ROUND(FO29/FR29,2),0)</f>
        <v/>
      </c>
      <c r="GA29" s="2" t="inlineStr">
        <is>
          <t>2023-10-06</t>
        </is>
      </c>
      <c r="GB29" s="5">
        <f>ROUND(0.0,2)</f>
        <v/>
      </c>
      <c r="GC29" s="3">
        <f>ROUND(0.0,2)</f>
        <v/>
      </c>
      <c r="GD29" s="3">
        <f>ROUND(0.0,2)</f>
        <v/>
      </c>
      <c r="GE29" s="3">
        <f>ROUND(0.0,2)</f>
        <v/>
      </c>
      <c r="GF29" s="3">
        <f>ROUND(0.0,2)</f>
        <v/>
      </c>
      <c r="GG29" s="3">
        <f>ROUND(0.0,2)</f>
        <v/>
      </c>
      <c r="GH29" s="3">
        <f>ROUND(0.0,2)</f>
        <v/>
      </c>
      <c r="GI29" s="3">
        <f>ROUND(0.0,2)</f>
        <v/>
      </c>
      <c r="GJ29" s="4">
        <f>IFERROR((GD29/GC29),0)</f>
        <v/>
      </c>
      <c r="GK29" s="4">
        <f>IFERROR(((0+GB11+GB12+GB13+GB14+GB15+GB16+GB17+GB19+GB20+GB21+GB22+GB23+GB24+GB25+GB27+GB28+GB29)/T2),0)</f>
        <v/>
      </c>
      <c r="GL29" s="5">
        <f>IFERROR(ROUND(GB29/GD29,2),0)</f>
        <v/>
      </c>
      <c r="GM29" s="5">
        <f>IFERROR(ROUND(GB29/GE29,2),0)</f>
        <v/>
      </c>
    </row>
    <row r="30">
      <c r="A30" s="2" t="inlineStr">
        <is>
          <t>2023-10-07</t>
        </is>
      </c>
      <c r="B30" s="5">
        <f>ROUND(0.0,2)</f>
        <v/>
      </c>
      <c r="C30" s="3">
        <f>ROUND(0.0,2)</f>
        <v/>
      </c>
      <c r="D30" s="3">
        <f>ROUND(0.0,2)</f>
        <v/>
      </c>
      <c r="E30" s="3">
        <f>ROUND(0.0,2)</f>
        <v/>
      </c>
      <c r="F30" s="3">
        <f>ROUND(0.0,2)</f>
        <v/>
      </c>
      <c r="G30" s="3">
        <f>ROUND(0.0,2)</f>
        <v/>
      </c>
      <c r="H30" s="3">
        <f>ROUND(0.0,2)</f>
        <v/>
      </c>
      <c r="I30" s="3">
        <f>ROUND(0.0,2)</f>
        <v/>
      </c>
      <c r="J30" s="4">
        <f>IFERROR((D30/C30),0)</f>
        <v/>
      </c>
      <c r="K30" s="4">
        <f>IFERROR(((0+B11+B12+B13+B14+B15+B16+B17+B19+B20+B21+B22+B23+B24+B25+B27+B28+B29+B30)/T2),0)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2023-10-07</t>
        </is>
      </c>
      <c r="O30" s="5">
        <f>ROUND(0.0,2)</f>
        <v/>
      </c>
      <c r="P30" s="3">
        <f>ROUND(0.0,2)</f>
        <v/>
      </c>
      <c r="Q30" s="3">
        <f>ROUND(0.0,2)</f>
        <v/>
      </c>
      <c r="R30" s="3">
        <f>ROUND(0.0,2)</f>
        <v/>
      </c>
      <c r="S30" s="3">
        <f>ROUND(0.0,2)</f>
        <v/>
      </c>
      <c r="T30" s="3">
        <f>ROUND(0.0,2)</f>
        <v/>
      </c>
      <c r="U30" s="3">
        <f>ROUND(0.0,2)</f>
        <v/>
      </c>
      <c r="V30" s="3">
        <f>ROUND(0.0,2)</f>
        <v/>
      </c>
      <c r="W30" s="4">
        <f>IFERROR((Q30/P30),0)</f>
        <v/>
      </c>
      <c r="X30" s="4">
        <f>IFERROR(((0+O11+O12+O13+O14+O15+O16+O17+O19+O20+O21+O22+O23+O24+O25+O27+O28+O29+O30)/T2),0)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2023-10-07</t>
        </is>
      </c>
      <c r="AB30" s="5">
        <f>ROUND(0.0,2)</f>
        <v/>
      </c>
      <c r="AC30" s="3">
        <f>ROUND(0.0,2)</f>
        <v/>
      </c>
      <c r="AD30" s="3">
        <f>ROUND(0.0,2)</f>
        <v/>
      </c>
      <c r="AE30" s="3">
        <f>ROUND(0.0,2)</f>
        <v/>
      </c>
      <c r="AF30" s="3">
        <f>ROUND(0.0,2)</f>
        <v/>
      </c>
      <c r="AG30" s="3">
        <f>ROUND(0.0,2)</f>
        <v/>
      </c>
      <c r="AH30" s="3">
        <f>ROUND(0.0,2)</f>
        <v/>
      </c>
      <c r="AI30" s="3">
        <f>ROUND(0.0,2)</f>
        <v/>
      </c>
      <c r="AJ30" s="4">
        <f>IFERROR((AD30/AC30),0)</f>
        <v/>
      </c>
      <c r="AK30" s="4">
        <f>IFERROR(((0+AB11+AB12+AB13+AB14+AB15+AB16+AB17+AB19+AB20+AB21+AB22+AB23+AB24+AB25+AB27+AB28+AB29+AB30)/T2),0)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2023-10-07</t>
        </is>
      </c>
      <c r="AO30" s="5">
        <f>ROUND(0.0,2)</f>
        <v/>
      </c>
      <c r="AP30" s="3">
        <f>ROUND(0.0,2)</f>
        <v/>
      </c>
      <c r="AQ30" s="3">
        <f>ROUND(0.0,2)</f>
        <v/>
      </c>
      <c r="AR30" s="3">
        <f>ROUND(0.0,2)</f>
        <v/>
      </c>
      <c r="AS30" s="3">
        <f>ROUND(0.0,2)</f>
        <v/>
      </c>
      <c r="AT30" s="3">
        <f>ROUND(0.0,2)</f>
        <v/>
      </c>
      <c r="AU30" s="3">
        <f>ROUND(0.0,2)</f>
        <v/>
      </c>
      <c r="AV30" s="3">
        <f>ROUND(0.0,2)</f>
        <v/>
      </c>
      <c r="AW30" s="4">
        <f>IFERROR((AQ30/AP30),0)</f>
        <v/>
      </c>
      <c r="AX30" s="4">
        <f>IFERROR(((0+AO11+AO12+AO13+AO14+AO15+AO16+AO17+AO19+AO20+AO21+AO22+AO23+AO24+AO25+AO27+AO28+AO29+AO30)/T2),0)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2023-10-07</t>
        </is>
      </c>
      <c r="BB30" s="5">
        <f>ROUND(0.0,2)</f>
        <v/>
      </c>
      <c r="BC30" s="3">
        <f>ROUND(0.0,2)</f>
        <v/>
      </c>
      <c r="BD30" s="3">
        <f>ROUND(0.0,2)</f>
        <v/>
      </c>
      <c r="BE30" s="3">
        <f>ROUND(0.0,2)</f>
        <v/>
      </c>
      <c r="BF30" s="3">
        <f>ROUND(0.0,2)</f>
        <v/>
      </c>
      <c r="BG30" s="3">
        <f>ROUND(0.0,2)</f>
        <v/>
      </c>
      <c r="BH30" s="3">
        <f>ROUND(0.0,2)</f>
        <v/>
      </c>
      <c r="BI30" s="3">
        <f>ROUND(0.0,2)</f>
        <v/>
      </c>
      <c r="BJ30" s="4">
        <f>IFERROR((BD30/BC30),0)</f>
        <v/>
      </c>
      <c r="BK30" s="4">
        <f>IFERROR(((0+BB11+BB12+BB13+BB14+BB15+BB16+BB17+BB19+BB20+BB21+BB22+BB23+BB24+BB25+BB27+BB28+BB29+BB30)/T2),0)</f>
        <v/>
      </c>
      <c r="BL30" s="5">
        <f>IFERROR(ROUND(BB30/BD30,2),0)</f>
        <v/>
      </c>
      <c r="BM30" s="5">
        <f>IFERROR(ROUND(BB30/BE30,2),0)</f>
        <v/>
      </c>
      <c r="BN30" s="2" t="inlineStr">
        <is>
          <t>2023-10-07</t>
        </is>
      </c>
      <c r="BO30" s="5">
        <f>ROUND(0.0,2)</f>
        <v/>
      </c>
      <c r="BP30" s="3">
        <f>ROUND(0.0,2)</f>
        <v/>
      </c>
      <c r="BQ30" s="3">
        <f>ROUND(0.0,2)</f>
        <v/>
      </c>
      <c r="BR30" s="3">
        <f>ROUND(0.0,2)</f>
        <v/>
      </c>
      <c r="BS30" s="3">
        <f>ROUND(0.0,2)</f>
        <v/>
      </c>
      <c r="BT30" s="3">
        <f>ROUND(0.0,2)</f>
        <v/>
      </c>
      <c r="BU30" s="3">
        <f>ROUND(0.0,2)</f>
        <v/>
      </c>
      <c r="BV30" s="3">
        <f>ROUND(0.0,2)</f>
        <v/>
      </c>
      <c r="BW30" s="4">
        <f>IFERROR((BQ30/BP30),0)</f>
        <v/>
      </c>
      <c r="BX30" s="4">
        <f>IFERROR(((0+BO11+BO12+BO13+BO14+BO15+BO16+BO17+BO19+BO20+BO21+BO22+BO23+BO24+BO25+BO27+BO28+BO29+BO30)/T2),0)</f>
        <v/>
      </c>
      <c r="BY30" s="5">
        <f>IFERROR(ROUND(BO30/BQ30,2),0)</f>
        <v/>
      </c>
      <c r="BZ30" s="5">
        <f>IFERROR(ROUND(BO30/BR30,2),0)</f>
        <v/>
      </c>
      <c r="CA30" s="2" t="inlineStr">
        <is>
          <t>2023-10-07</t>
        </is>
      </c>
      <c r="CB30" s="5">
        <f>ROUND(0.0,2)</f>
        <v/>
      </c>
      <c r="CC30" s="3">
        <f>ROUND(0.0,2)</f>
        <v/>
      </c>
      <c r="CD30" s="3">
        <f>ROUND(0.0,2)</f>
        <v/>
      </c>
      <c r="CE30" s="3">
        <f>ROUND(0.0,2)</f>
        <v/>
      </c>
      <c r="CF30" s="3">
        <f>ROUND(0.0,2)</f>
        <v/>
      </c>
      <c r="CG30" s="3">
        <f>ROUND(0.0,2)</f>
        <v/>
      </c>
      <c r="CH30" s="3">
        <f>ROUND(0.0,2)</f>
        <v/>
      </c>
      <c r="CI30" s="3">
        <f>ROUND(0.0,2)</f>
        <v/>
      </c>
      <c r="CJ30" s="4">
        <f>IFERROR((CD30/CC30),0)</f>
        <v/>
      </c>
      <c r="CK30" s="4">
        <f>IFERROR(((0+CB11+CB12+CB13+CB14+CB15+CB16+CB17+CB19+CB20+CB21+CB22+CB23+CB24+CB25+CB27+CB28+CB29+CB30)/T2),0)</f>
        <v/>
      </c>
      <c r="CL30" s="5">
        <f>IFERROR(ROUND(CB30/CD30,2),0)</f>
        <v/>
      </c>
      <c r="CM30" s="5">
        <f>IFERROR(ROUND(CB30/CE30,2),0)</f>
        <v/>
      </c>
      <c r="CN30" s="2" t="inlineStr">
        <is>
          <t>2023-10-07</t>
        </is>
      </c>
      <c r="CO30" s="5">
        <f>ROUND(0.0,2)</f>
        <v/>
      </c>
      <c r="CP30" s="3">
        <f>ROUND(0.0,2)</f>
        <v/>
      </c>
      <c r="CQ30" s="3">
        <f>ROUND(0.0,2)</f>
        <v/>
      </c>
      <c r="CR30" s="3">
        <f>ROUND(0.0,2)</f>
        <v/>
      </c>
      <c r="CS30" s="3">
        <f>ROUND(0.0,2)</f>
        <v/>
      </c>
      <c r="CT30" s="3">
        <f>ROUND(0.0,2)</f>
        <v/>
      </c>
      <c r="CU30" s="3">
        <f>ROUND(0.0,2)</f>
        <v/>
      </c>
      <c r="CV30" s="3">
        <f>ROUND(0.0,2)</f>
        <v/>
      </c>
      <c r="CW30" s="4">
        <f>IFERROR((CQ30/CP30),0)</f>
        <v/>
      </c>
      <c r="CX30" s="4">
        <f>IFERROR(((0+CO11+CO12+CO13+CO14+CO15+CO16+CO17+CO19+CO20+CO21+CO22+CO23+CO24+CO25+CO27+CO28+CO29+CO30)/T2),0)</f>
        <v/>
      </c>
      <c r="CY30" s="5">
        <f>IFERROR(ROUND(CO30/CQ30,2),0)</f>
        <v/>
      </c>
      <c r="CZ30" s="5">
        <f>IFERROR(ROUND(CO30/CR30,2),0)</f>
        <v/>
      </c>
      <c r="DA30" s="2" t="inlineStr">
        <is>
          <t>2023-10-07</t>
        </is>
      </c>
      <c r="DB30" s="5">
        <f>ROUND(0.0,2)</f>
        <v/>
      </c>
      <c r="DC30" s="3">
        <f>ROUND(0.0,2)</f>
        <v/>
      </c>
      <c r="DD30" s="3">
        <f>ROUND(0.0,2)</f>
        <v/>
      </c>
      <c r="DE30" s="3">
        <f>ROUND(0.0,2)</f>
        <v/>
      </c>
      <c r="DF30" s="3">
        <f>ROUND(0.0,2)</f>
        <v/>
      </c>
      <c r="DG30" s="3">
        <f>ROUND(0.0,2)</f>
        <v/>
      </c>
      <c r="DH30" s="3">
        <f>ROUND(0.0,2)</f>
        <v/>
      </c>
      <c r="DI30" s="3">
        <f>ROUND(0.0,2)</f>
        <v/>
      </c>
      <c r="DJ30" s="4">
        <f>IFERROR((DD30/DC30),0)</f>
        <v/>
      </c>
      <c r="DK30" s="4">
        <f>IFERROR(((0+DB11+DB12+DB13+DB14+DB15+DB16+DB17+DB19+DB20+DB21+DB22+DB23+DB24+DB25+DB27+DB28+DB29+DB30)/T2),0)</f>
        <v/>
      </c>
      <c r="DL30" s="5">
        <f>IFERROR(ROUND(DB30/DD30,2),0)</f>
        <v/>
      </c>
      <c r="DM30" s="5">
        <f>IFERROR(ROUND(DB30/DE30,2),0)</f>
        <v/>
      </c>
      <c r="DN30" s="2" t="inlineStr">
        <is>
          <t>2023-10-07</t>
        </is>
      </c>
      <c r="DO30" s="5">
        <f>ROUND(0.0,2)</f>
        <v/>
      </c>
      <c r="DP30" s="3">
        <f>ROUND(0.0,2)</f>
        <v/>
      </c>
      <c r="DQ30" s="3">
        <f>ROUND(0.0,2)</f>
        <v/>
      </c>
      <c r="DR30" s="3">
        <f>ROUND(0.0,2)</f>
        <v/>
      </c>
      <c r="DS30" s="3">
        <f>ROUND(0.0,2)</f>
        <v/>
      </c>
      <c r="DT30" s="3">
        <f>ROUND(0.0,2)</f>
        <v/>
      </c>
      <c r="DU30" s="3">
        <f>ROUND(0.0,2)</f>
        <v/>
      </c>
      <c r="DV30" s="3">
        <f>ROUND(0.0,2)</f>
        <v/>
      </c>
      <c r="DW30" s="4">
        <f>IFERROR((DQ30/DP30),0)</f>
        <v/>
      </c>
      <c r="DX30" s="4">
        <f>IFERROR(((0+DO11+DO12+DO13+DO14+DO15+DO16+DO17+DO19+DO20+DO21+DO22+DO23+DO24+DO25+DO27+DO28+DO29+DO30)/T2),0)</f>
        <v/>
      </c>
      <c r="DY30" s="5">
        <f>IFERROR(ROUND(DO30/DQ30,2),0)</f>
        <v/>
      </c>
      <c r="DZ30" s="5">
        <f>IFERROR(ROUND(DO30/DR30,2),0)</f>
        <v/>
      </c>
      <c r="EA30" s="2" t="inlineStr">
        <is>
          <t>2023-10-07</t>
        </is>
      </c>
      <c r="EB30" s="5">
        <f>ROUND(0.0,2)</f>
        <v/>
      </c>
      <c r="EC30" s="3">
        <f>ROUND(0.0,2)</f>
        <v/>
      </c>
      <c r="ED30" s="3">
        <f>ROUND(0.0,2)</f>
        <v/>
      </c>
      <c r="EE30" s="3">
        <f>ROUND(0.0,2)</f>
        <v/>
      </c>
      <c r="EF30" s="3">
        <f>ROUND(0.0,2)</f>
        <v/>
      </c>
      <c r="EG30" s="3">
        <f>ROUND(0.0,2)</f>
        <v/>
      </c>
      <c r="EH30" s="3">
        <f>ROUND(0.0,2)</f>
        <v/>
      </c>
      <c r="EI30" s="3">
        <f>ROUND(0.0,2)</f>
        <v/>
      </c>
      <c r="EJ30" s="4">
        <f>IFERROR((ED30/EC30),0)</f>
        <v/>
      </c>
      <c r="EK30" s="4">
        <f>IFERROR(((0+EB11+EB12+EB13+EB14+EB15+EB16+EB17+EB19+EB20+EB21+EB22+EB23+EB24+EB25+EB27+EB28+EB29+EB30)/T2),0)</f>
        <v/>
      </c>
      <c r="EL30" s="5">
        <f>IFERROR(ROUND(EB30/ED30,2),0)</f>
        <v/>
      </c>
      <c r="EM30" s="5">
        <f>IFERROR(ROUND(EB30/EE30,2),0)</f>
        <v/>
      </c>
      <c r="EN30" s="2" t="inlineStr">
        <is>
          <t>2023-10-07</t>
        </is>
      </c>
      <c r="EO30" s="5">
        <f>ROUND(0.0,2)</f>
        <v/>
      </c>
      <c r="EP30" s="3">
        <f>ROUND(0.0,2)</f>
        <v/>
      </c>
      <c r="EQ30" s="3">
        <f>ROUND(0.0,2)</f>
        <v/>
      </c>
      <c r="ER30" s="3">
        <f>ROUND(0.0,2)</f>
        <v/>
      </c>
      <c r="ES30" s="3">
        <f>ROUND(0.0,2)</f>
        <v/>
      </c>
      <c r="ET30" s="3">
        <f>ROUND(0.0,2)</f>
        <v/>
      </c>
      <c r="EU30" s="3">
        <f>ROUND(0.0,2)</f>
        <v/>
      </c>
      <c r="EV30" s="3">
        <f>ROUND(0.0,2)</f>
        <v/>
      </c>
      <c r="EW30" s="4">
        <f>IFERROR((EQ30/EP30),0)</f>
        <v/>
      </c>
      <c r="EX30" s="4">
        <f>IFERROR(((0+EO11+EO12+EO13+EO14+EO15+EO16+EO17+EO19+EO20+EO21+EO22+EO23+EO24+EO25+EO27+EO28+EO29+EO30)/T2),0)</f>
        <v/>
      </c>
      <c r="EY30" s="5">
        <f>IFERROR(ROUND(EO30/EQ30,2),0)</f>
        <v/>
      </c>
      <c r="EZ30" s="5">
        <f>IFERROR(ROUND(EO30/ER30,2),0)</f>
        <v/>
      </c>
      <c r="FA30" s="2" t="inlineStr">
        <is>
          <t>2023-10-07</t>
        </is>
      </c>
      <c r="FB30" s="5">
        <f>ROUND(0.0,2)</f>
        <v/>
      </c>
      <c r="FC30" s="3">
        <f>ROUND(0.0,2)</f>
        <v/>
      </c>
      <c r="FD30" s="3">
        <f>ROUND(0.0,2)</f>
        <v/>
      </c>
      <c r="FE30" s="3">
        <f>ROUND(0.0,2)</f>
        <v/>
      </c>
      <c r="FF30" s="3">
        <f>ROUND(0.0,2)</f>
        <v/>
      </c>
      <c r="FG30" s="3">
        <f>ROUND(0.0,2)</f>
        <v/>
      </c>
      <c r="FH30" s="3">
        <f>ROUND(0.0,2)</f>
        <v/>
      </c>
      <c r="FI30" s="3">
        <f>ROUND(0.0,2)</f>
        <v/>
      </c>
      <c r="FJ30" s="4">
        <f>IFERROR((FD30/FC30),0)</f>
        <v/>
      </c>
      <c r="FK30" s="4">
        <f>IFERROR(((0+FB11+FB12+FB13+FB14+FB15+FB16+FB17+FB19+FB20+FB21+FB22+FB23+FB24+FB25+FB27+FB28+FB29+FB30)/T2),0)</f>
        <v/>
      </c>
      <c r="FL30" s="5">
        <f>IFERROR(ROUND(FB30/FD30,2),0)</f>
        <v/>
      </c>
      <c r="FM30" s="5">
        <f>IFERROR(ROUND(FB30/FE30,2),0)</f>
        <v/>
      </c>
      <c r="FN30" s="2" t="inlineStr">
        <is>
          <t>2023-10-07</t>
        </is>
      </c>
      <c r="FO30" s="5">
        <f>ROUND(0.0,2)</f>
        <v/>
      </c>
      <c r="FP30" s="3">
        <f>ROUND(0.0,2)</f>
        <v/>
      </c>
      <c r="FQ30" s="3">
        <f>ROUND(0.0,2)</f>
        <v/>
      </c>
      <c r="FR30" s="3">
        <f>ROUND(0.0,2)</f>
        <v/>
      </c>
      <c r="FS30" s="3">
        <f>ROUND(0.0,2)</f>
        <v/>
      </c>
      <c r="FT30" s="3">
        <f>ROUND(0.0,2)</f>
        <v/>
      </c>
      <c r="FU30" s="3">
        <f>ROUND(0.0,2)</f>
        <v/>
      </c>
      <c r="FV30" s="3">
        <f>ROUND(0.0,2)</f>
        <v/>
      </c>
      <c r="FW30" s="4">
        <f>IFERROR((FQ30/FP30),0)</f>
        <v/>
      </c>
      <c r="FX30" s="4">
        <f>IFERROR(((0+FO11+FO12+FO13+FO14+FO15+FO16+FO17+FO19+FO20+FO21+FO22+FO23+FO24+FO25+FO27+FO28+FO29+FO30)/T2),0)</f>
        <v/>
      </c>
      <c r="FY30" s="5">
        <f>IFERROR(ROUND(FO30/FQ30,2),0)</f>
        <v/>
      </c>
      <c r="FZ30" s="5">
        <f>IFERROR(ROUND(FO30/FR30,2),0)</f>
        <v/>
      </c>
      <c r="GA30" s="2" t="inlineStr">
        <is>
          <t>2023-10-07</t>
        </is>
      </c>
      <c r="GB30" s="5">
        <f>ROUND(0.0,2)</f>
        <v/>
      </c>
      <c r="GC30" s="3">
        <f>ROUND(0.0,2)</f>
        <v/>
      </c>
      <c r="GD30" s="3">
        <f>ROUND(0.0,2)</f>
        <v/>
      </c>
      <c r="GE30" s="3">
        <f>ROUND(0.0,2)</f>
        <v/>
      </c>
      <c r="GF30" s="3">
        <f>ROUND(0.0,2)</f>
        <v/>
      </c>
      <c r="GG30" s="3">
        <f>ROUND(0.0,2)</f>
        <v/>
      </c>
      <c r="GH30" s="3">
        <f>ROUND(0.0,2)</f>
        <v/>
      </c>
      <c r="GI30" s="3">
        <f>ROUND(0.0,2)</f>
        <v/>
      </c>
      <c r="GJ30" s="4">
        <f>IFERROR((GD30/GC30),0)</f>
        <v/>
      </c>
      <c r="GK30" s="4">
        <f>IFERROR(((0+GB11+GB12+GB13+GB14+GB15+GB16+GB17+GB19+GB20+GB21+GB22+GB23+GB24+GB25+GB27+GB28+GB29+GB30)/T2),0)</f>
        <v/>
      </c>
      <c r="GL30" s="5">
        <f>IFERROR(ROUND(GB30/GD30,2),0)</f>
        <v/>
      </c>
      <c r="GM30" s="5">
        <f>IFERROR(ROUND(GB30/GE30,2),0)</f>
        <v/>
      </c>
    </row>
    <row r="31">
      <c r="A31" s="2" t="inlineStr">
        <is>
          <t>2023-10-08</t>
        </is>
      </c>
      <c r="B31" s="5">
        <f>ROUND(0.0,2)</f>
        <v/>
      </c>
      <c r="C31" s="3">
        <f>ROUND(0.0,2)</f>
        <v/>
      </c>
      <c r="D31" s="3">
        <f>ROUND(0.0,2)</f>
        <v/>
      </c>
      <c r="E31" s="3">
        <f>ROUND(0.0,2)</f>
        <v/>
      </c>
      <c r="F31" s="3">
        <f>ROUND(0.0,2)</f>
        <v/>
      </c>
      <c r="G31" s="3">
        <f>ROUND(0.0,2)</f>
        <v/>
      </c>
      <c r="H31" s="3">
        <f>ROUND(0.0,2)</f>
        <v/>
      </c>
      <c r="I31" s="3">
        <f>ROUND(0.0,2)</f>
        <v/>
      </c>
      <c r="J31" s="4">
        <f>IFERROR((D31/C31),0)</f>
        <v/>
      </c>
      <c r="K31" s="4">
        <f>IFERROR(((0+B11+B12+B13+B14+B15+B16+B17+B19+B20+B21+B22+B23+B24+B25+B27+B28+B29+B30+B31)/T2),0)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2023-10-08</t>
        </is>
      </c>
      <c r="O31" s="5">
        <f>ROUND(0.0,2)</f>
        <v/>
      </c>
      <c r="P31" s="3">
        <f>ROUND(0.0,2)</f>
        <v/>
      </c>
      <c r="Q31" s="3">
        <f>ROUND(0.0,2)</f>
        <v/>
      </c>
      <c r="R31" s="3">
        <f>ROUND(0.0,2)</f>
        <v/>
      </c>
      <c r="S31" s="3">
        <f>ROUND(0.0,2)</f>
        <v/>
      </c>
      <c r="T31" s="3">
        <f>ROUND(0.0,2)</f>
        <v/>
      </c>
      <c r="U31" s="3">
        <f>ROUND(0.0,2)</f>
        <v/>
      </c>
      <c r="V31" s="3">
        <f>ROUND(0.0,2)</f>
        <v/>
      </c>
      <c r="W31" s="4">
        <f>IFERROR((Q31/P31),0)</f>
        <v/>
      </c>
      <c r="X31" s="4">
        <f>IFERROR(((0+O11+O12+O13+O14+O15+O16+O17+O19+O20+O21+O22+O23+O24+O25+O27+O28+O29+O30+O31)/T2),0)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2023-10-08</t>
        </is>
      </c>
      <c r="AB31" s="5">
        <f>ROUND(0.0,2)</f>
        <v/>
      </c>
      <c r="AC31" s="3">
        <f>ROUND(0.0,2)</f>
        <v/>
      </c>
      <c r="AD31" s="3">
        <f>ROUND(0.0,2)</f>
        <v/>
      </c>
      <c r="AE31" s="3">
        <f>ROUND(0.0,2)</f>
        <v/>
      </c>
      <c r="AF31" s="3">
        <f>ROUND(0.0,2)</f>
        <v/>
      </c>
      <c r="AG31" s="3">
        <f>ROUND(0.0,2)</f>
        <v/>
      </c>
      <c r="AH31" s="3">
        <f>ROUND(0.0,2)</f>
        <v/>
      </c>
      <c r="AI31" s="3">
        <f>ROUND(0.0,2)</f>
        <v/>
      </c>
      <c r="AJ31" s="4">
        <f>IFERROR((AD31/AC31),0)</f>
        <v/>
      </c>
      <c r="AK31" s="4">
        <f>IFERROR(((0+AB11+AB12+AB13+AB14+AB15+AB16+AB17+AB19+AB20+AB21+AB22+AB23+AB24+AB25+AB27+AB28+AB29+AB30+AB31)/T2),0)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2023-10-08</t>
        </is>
      </c>
      <c r="AO31" s="5">
        <f>ROUND(0.0,2)</f>
        <v/>
      </c>
      <c r="AP31" s="3">
        <f>ROUND(0.0,2)</f>
        <v/>
      </c>
      <c r="AQ31" s="3">
        <f>ROUND(0.0,2)</f>
        <v/>
      </c>
      <c r="AR31" s="3">
        <f>ROUND(0.0,2)</f>
        <v/>
      </c>
      <c r="AS31" s="3">
        <f>ROUND(0.0,2)</f>
        <v/>
      </c>
      <c r="AT31" s="3">
        <f>ROUND(0.0,2)</f>
        <v/>
      </c>
      <c r="AU31" s="3">
        <f>ROUND(0.0,2)</f>
        <v/>
      </c>
      <c r="AV31" s="3">
        <f>ROUND(0.0,2)</f>
        <v/>
      </c>
      <c r="AW31" s="4">
        <f>IFERROR((AQ31/AP31),0)</f>
        <v/>
      </c>
      <c r="AX31" s="4">
        <f>IFERROR(((0+AO11+AO12+AO13+AO14+AO15+AO16+AO17+AO19+AO20+AO21+AO22+AO23+AO24+AO25+AO27+AO28+AO29+AO30+AO31)/T2),0)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2023-10-08</t>
        </is>
      </c>
      <c r="BB31" s="5">
        <f>ROUND(0.0,2)</f>
        <v/>
      </c>
      <c r="BC31" s="3">
        <f>ROUND(0.0,2)</f>
        <v/>
      </c>
      <c r="BD31" s="3">
        <f>ROUND(0.0,2)</f>
        <v/>
      </c>
      <c r="BE31" s="3">
        <f>ROUND(0.0,2)</f>
        <v/>
      </c>
      <c r="BF31" s="3">
        <f>ROUND(0.0,2)</f>
        <v/>
      </c>
      <c r="BG31" s="3">
        <f>ROUND(0.0,2)</f>
        <v/>
      </c>
      <c r="BH31" s="3">
        <f>ROUND(0.0,2)</f>
        <v/>
      </c>
      <c r="BI31" s="3">
        <f>ROUND(0.0,2)</f>
        <v/>
      </c>
      <c r="BJ31" s="4">
        <f>IFERROR((BD31/BC31),0)</f>
        <v/>
      </c>
      <c r="BK31" s="4">
        <f>IFERROR(((0+BB11+BB12+BB13+BB14+BB15+BB16+BB17+BB19+BB20+BB21+BB22+BB23+BB24+BB25+BB27+BB28+BB29+BB30+BB31)/T2),0)</f>
        <v/>
      </c>
      <c r="BL31" s="5">
        <f>IFERROR(ROUND(BB31/BD31,2),0)</f>
        <v/>
      </c>
      <c r="BM31" s="5">
        <f>IFERROR(ROUND(BB31/BE31,2),0)</f>
        <v/>
      </c>
      <c r="BN31" s="2" t="inlineStr">
        <is>
          <t>2023-10-08</t>
        </is>
      </c>
      <c r="BO31" s="5">
        <f>ROUND(0.0,2)</f>
        <v/>
      </c>
      <c r="BP31" s="3">
        <f>ROUND(0.0,2)</f>
        <v/>
      </c>
      <c r="BQ31" s="3">
        <f>ROUND(0.0,2)</f>
        <v/>
      </c>
      <c r="BR31" s="3">
        <f>ROUND(0.0,2)</f>
        <v/>
      </c>
      <c r="BS31" s="3">
        <f>ROUND(0.0,2)</f>
        <v/>
      </c>
      <c r="BT31" s="3">
        <f>ROUND(0.0,2)</f>
        <v/>
      </c>
      <c r="BU31" s="3">
        <f>ROUND(0.0,2)</f>
        <v/>
      </c>
      <c r="BV31" s="3">
        <f>ROUND(0.0,2)</f>
        <v/>
      </c>
      <c r="BW31" s="4">
        <f>IFERROR((BQ31/BP31),0)</f>
        <v/>
      </c>
      <c r="BX31" s="4">
        <f>IFERROR(((0+BO11+BO12+BO13+BO14+BO15+BO16+BO17+BO19+BO20+BO21+BO22+BO23+BO24+BO25+BO27+BO28+BO29+BO30+BO31)/T2),0)</f>
        <v/>
      </c>
      <c r="BY31" s="5">
        <f>IFERROR(ROUND(BO31/BQ31,2),0)</f>
        <v/>
      </c>
      <c r="BZ31" s="5">
        <f>IFERROR(ROUND(BO31/BR31,2),0)</f>
        <v/>
      </c>
      <c r="CA31" s="2" t="inlineStr">
        <is>
          <t>2023-10-08</t>
        </is>
      </c>
      <c r="CB31" s="5">
        <f>ROUND(0.0,2)</f>
        <v/>
      </c>
      <c r="CC31" s="3">
        <f>ROUND(0.0,2)</f>
        <v/>
      </c>
      <c r="CD31" s="3">
        <f>ROUND(0.0,2)</f>
        <v/>
      </c>
      <c r="CE31" s="3">
        <f>ROUND(0.0,2)</f>
        <v/>
      </c>
      <c r="CF31" s="3">
        <f>ROUND(0.0,2)</f>
        <v/>
      </c>
      <c r="CG31" s="3">
        <f>ROUND(0.0,2)</f>
        <v/>
      </c>
      <c r="CH31" s="3">
        <f>ROUND(0.0,2)</f>
        <v/>
      </c>
      <c r="CI31" s="3">
        <f>ROUND(0.0,2)</f>
        <v/>
      </c>
      <c r="CJ31" s="4">
        <f>IFERROR((CD31/CC31),0)</f>
        <v/>
      </c>
      <c r="CK31" s="4">
        <f>IFERROR(((0+CB11+CB12+CB13+CB14+CB15+CB16+CB17+CB19+CB20+CB21+CB22+CB23+CB24+CB25+CB27+CB28+CB29+CB30+CB31)/T2),0)</f>
        <v/>
      </c>
      <c r="CL31" s="5">
        <f>IFERROR(ROUND(CB31/CD31,2),0)</f>
        <v/>
      </c>
      <c r="CM31" s="5">
        <f>IFERROR(ROUND(CB31/CE31,2),0)</f>
        <v/>
      </c>
      <c r="CN31" s="2" t="inlineStr">
        <is>
          <t>2023-10-08</t>
        </is>
      </c>
      <c r="CO31" s="5">
        <f>ROUND(0.0,2)</f>
        <v/>
      </c>
      <c r="CP31" s="3">
        <f>ROUND(0.0,2)</f>
        <v/>
      </c>
      <c r="CQ31" s="3">
        <f>ROUND(0.0,2)</f>
        <v/>
      </c>
      <c r="CR31" s="3">
        <f>ROUND(0.0,2)</f>
        <v/>
      </c>
      <c r="CS31" s="3">
        <f>ROUND(0.0,2)</f>
        <v/>
      </c>
      <c r="CT31" s="3">
        <f>ROUND(0.0,2)</f>
        <v/>
      </c>
      <c r="CU31" s="3">
        <f>ROUND(0.0,2)</f>
        <v/>
      </c>
      <c r="CV31" s="3">
        <f>ROUND(0.0,2)</f>
        <v/>
      </c>
      <c r="CW31" s="4">
        <f>IFERROR((CQ31/CP31),0)</f>
        <v/>
      </c>
      <c r="CX31" s="4">
        <f>IFERROR(((0+CO11+CO12+CO13+CO14+CO15+CO16+CO17+CO19+CO20+CO21+CO22+CO23+CO24+CO25+CO27+CO28+CO29+CO30+CO31)/T2),0)</f>
        <v/>
      </c>
      <c r="CY31" s="5">
        <f>IFERROR(ROUND(CO31/CQ31,2),0)</f>
        <v/>
      </c>
      <c r="CZ31" s="5">
        <f>IFERROR(ROUND(CO31/CR31,2),0)</f>
        <v/>
      </c>
      <c r="DA31" s="2" t="inlineStr">
        <is>
          <t>2023-10-08</t>
        </is>
      </c>
      <c r="DB31" s="5">
        <f>ROUND(0.0,2)</f>
        <v/>
      </c>
      <c r="DC31" s="3">
        <f>ROUND(0.0,2)</f>
        <v/>
      </c>
      <c r="DD31" s="3">
        <f>ROUND(0.0,2)</f>
        <v/>
      </c>
      <c r="DE31" s="3">
        <f>ROUND(0.0,2)</f>
        <v/>
      </c>
      <c r="DF31" s="3">
        <f>ROUND(0.0,2)</f>
        <v/>
      </c>
      <c r="DG31" s="3">
        <f>ROUND(0.0,2)</f>
        <v/>
      </c>
      <c r="DH31" s="3">
        <f>ROUND(0.0,2)</f>
        <v/>
      </c>
      <c r="DI31" s="3">
        <f>ROUND(0.0,2)</f>
        <v/>
      </c>
      <c r="DJ31" s="4">
        <f>IFERROR((DD31/DC31),0)</f>
        <v/>
      </c>
      <c r="DK31" s="4">
        <f>IFERROR(((0+DB11+DB12+DB13+DB14+DB15+DB16+DB17+DB19+DB20+DB21+DB22+DB23+DB24+DB25+DB27+DB28+DB29+DB30+DB31)/T2),0)</f>
        <v/>
      </c>
      <c r="DL31" s="5">
        <f>IFERROR(ROUND(DB31/DD31,2),0)</f>
        <v/>
      </c>
      <c r="DM31" s="5">
        <f>IFERROR(ROUND(DB31/DE31,2),0)</f>
        <v/>
      </c>
      <c r="DN31" s="2" t="inlineStr">
        <is>
          <t>2023-10-08</t>
        </is>
      </c>
      <c r="DO31" s="5">
        <f>ROUND(0.0,2)</f>
        <v/>
      </c>
      <c r="DP31" s="3">
        <f>ROUND(0.0,2)</f>
        <v/>
      </c>
      <c r="DQ31" s="3">
        <f>ROUND(0.0,2)</f>
        <v/>
      </c>
      <c r="DR31" s="3">
        <f>ROUND(0.0,2)</f>
        <v/>
      </c>
      <c r="DS31" s="3">
        <f>ROUND(0.0,2)</f>
        <v/>
      </c>
      <c r="DT31" s="3">
        <f>ROUND(0.0,2)</f>
        <v/>
      </c>
      <c r="DU31" s="3">
        <f>ROUND(0.0,2)</f>
        <v/>
      </c>
      <c r="DV31" s="3">
        <f>ROUND(0.0,2)</f>
        <v/>
      </c>
      <c r="DW31" s="4">
        <f>IFERROR((DQ31/DP31),0)</f>
        <v/>
      </c>
      <c r="DX31" s="4">
        <f>IFERROR(((0+DO11+DO12+DO13+DO14+DO15+DO16+DO17+DO19+DO20+DO21+DO22+DO23+DO24+DO25+DO27+DO28+DO29+DO30+DO31)/T2),0)</f>
        <v/>
      </c>
      <c r="DY31" s="5">
        <f>IFERROR(ROUND(DO31/DQ31,2),0)</f>
        <v/>
      </c>
      <c r="DZ31" s="5">
        <f>IFERROR(ROUND(DO31/DR31,2),0)</f>
        <v/>
      </c>
      <c r="EA31" s="2" t="inlineStr">
        <is>
          <t>2023-10-08</t>
        </is>
      </c>
      <c r="EB31" s="5">
        <f>ROUND(0.0,2)</f>
        <v/>
      </c>
      <c r="EC31" s="3">
        <f>ROUND(0.0,2)</f>
        <v/>
      </c>
      <c r="ED31" s="3">
        <f>ROUND(0.0,2)</f>
        <v/>
      </c>
      <c r="EE31" s="3">
        <f>ROUND(0.0,2)</f>
        <v/>
      </c>
      <c r="EF31" s="3">
        <f>ROUND(0.0,2)</f>
        <v/>
      </c>
      <c r="EG31" s="3">
        <f>ROUND(0.0,2)</f>
        <v/>
      </c>
      <c r="EH31" s="3">
        <f>ROUND(0.0,2)</f>
        <v/>
      </c>
      <c r="EI31" s="3">
        <f>ROUND(0.0,2)</f>
        <v/>
      </c>
      <c r="EJ31" s="4">
        <f>IFERROR((ED31/EC31),0)</f>
        <v/>
      </c>
      <c r="EK31" s="4">
        <f>IFERROR(((0+EB11+EB12+EB13+EB14+EB15+EB16+EB17+EB19+EB20+EB21+EB22+EB23+EB24+EB25+EB27+EB28+EB29+EB30+EB31)/T2),0)</f>
        <v/>
      </c>
      <c r="EL31" s="5">
        <f>IFERROR(ROUND(EB31/ED31,2),0)</f>
        <v/>
      </c>
      <c r="EM31" s="5">
        <f>IFERROR(ROUND(EB31/EE31,2),0)</f>
        <v/>
      </c>
      <c r="EN31" s="2" t="inlineStr">
        <is>
          <t>2023-10-08</t>
        </is>
      </c>
      <c r="EO31" s="5">
        <f>ROUND(0.0,2)</f>
        <v/>
      </c>
      <c r="EP31" s="3">
        <f>ROUND(0.0,2)</f>
        <v/>
      </c>
      <c r="EQ31" s="3">
        <f>ROUND(0.0,2)</f>
        <v/>
      </c>
      <c r="ER31" s="3">
        <f>ROUND(0.0,2)</f>
        <v/>
      </c>
      <c r="ES31" s="3">
        <f>ROUND(0.0,2)</f>
        <v/>
      </c>
      <c r="ET31" s="3">
        <f>ROUND(0.0,2)</f>
        <v/>
      </c>
      <c r="EU31" s="3">
        <f>ROUND(0.0,2)</f>
        <v/>
      </c>
      <c r="EV31" s="3">
        <f>ROUND(0.0,2)</f>
        <v/>
      </c>
      <c r="EW31" s="4">
        <f>IFERROR((EQ31/EP31),0)</f>
        <v/>
      </c>
      <c r="EX31" s="4">
        <f>IFERROR(((0+EO11+EO12+EO13+EO14+EO15+EO16+EO17+EO19+EO20+EO21+EO22+EO23+EO24+EO25+EO27+EO28+EO29+EO30+EO31)/T2),0)</f>
        <v/>
      </c>
      <c r="EY31" s="5">
        <f>IFERROR(ROUND(EO31/EQ31,2),0)</f>
        <v/>
      </c>
      <c r="EZ31" s="5">
        <f>IFERROR(ROUND(EO31/ER31,2),0)</f>
        <v/>
      </c>
      <c r="FA31" s="2" t="inlineStr">
        <is>
          <t>2023-10-08</t>
        </is>
      </c>
      <c r="FB31" s="5">
        <f>ROUND(0.0,2)</f>
        <v/>
      </c>
      <c r="FC31" s="3">
        <f>ROUND(0.0,2)</f>
        <v/>
      </c>
      <c r="FD31" s="3">
        <f>ROUND(0.0,2)</f>
        <v/>
      </c>
      <c r="FE31" s="3">
        <f>ROUND(0.0,2)</f>
        <v/>
      </c>
      <c r="FF31" s="3">
        <f>ROUND(0.0,2)</f>
        <v/>
      </c>
      <c r="FG31" s="3">
        <f>ROUND(0.0,2)</f>
        <v/>
      </c>
      <c r="FH31" s="3">
        <f>ROUND(0.0,2)</f>
        <v/>
      </c>
      <c r="FI31" s="3">
        <f>ROUND(0.0,2)</f>
        <v/>
      </c>
      <c r="FJ31" s="4">
        <f>IFERROR((FD31/FC31),0)</f>
        <v/>
      </c>
      <c r="FK31" s="4">
        <f>IFERROR(((0+FB11+FB12+FB13+FB14+FB15+FB16+FB17+FB19+FB20+FB21+FB22+FB23+FB24+FB25+FB27+FB28+FB29+FB30+FB31)/T2),0)</f>
        <v/>
      </c>
      <c r="FL31" s="5">
        <f>IFERROR(ROUND(FB31/FD31,2),0)</f>
        <v/>
      </c>
      <c r="FM31" s="5">
        <f>IFERROR(ROUND(FB31/FE31,2),0)</f>
        <v/>
      </c>
      <c r="FN31" s="2" t="inlineStr">
        <is>
          <t>2023-10-08</t>
        </is>
      </c>
      <c r="FO31" s="5">
        <f>ROUND(0.0,2)</f>
        <v/>
      </c>
      <c r="FP31" s="3">
        <f>ROUND(0.0,2)</f>
        <v/>
      </c>
      <c r="FQ31" s="3">
        <f>ROUND(0.0,2)</f>
        <v/>
      </c>
      <c r="FR31" s="3">
        <f>ROUND(0.0,2)</f>
        <v/>
      </c>
      <c r="FS31" s="3">
        <f>ROUND(0.0,2)</f>
        <v/>
      </c>
      <c r="FT31" s="3">
        <f>ROUND(0.0,2)</f>
        <v/>
      </c>
      <c r="FU31" s="3">
        <f>ROUND(0.0,2)</f>
        <v/>
      </c>
      <c r="FV31" s="3">
        <f>ROUND(0.0,2)</f>
        <v/>
      </c>
      <c r="FW31" s="4">
        <f>IFERROR((FQ31/FP31),0)</f>
        <v/>
      </c>
      <c r="FX31" s="4">
        <f>IFERROR(((0+FO11+FO12+FO13+FO14+FO15+FO16+FO17+FO19+FO20+FO21+FO22+FO23+FO24+FO25+FO27+FO28+FO29+FO30+FO31)/T2),0)</f>
        <v/>
      </c>
      <c r="FY31" s="5">
        <f>IFERROR(ROUND(FO31/FQ31,2),0)</f>
        <v/>
      </c>
      <c r="FZ31" s="5">
        <f>IFERROR(ROUND(FO31/FR31,2),0)</f>
        <v/>
      </c>
      <c r="GA31" s="2" t="inlineStr">
        <is>
          <t>2023-10-08</t>
        </is>
      </c>
      <c r="GB31" s="5">
        <f>ROUND(0.0,2)</f>
        <v/>
      </c>
      <c r="GC31" s="3">
        <f>ROUND(0.0,2)</f>
        <v/>
      </c>
      <c r="GD31" s="3">
        <f>ROUND(0.0,2)</f>
        <v/>
      </c>
      <c r="GE31" s="3">
        <f>ROUND(0.0,2)</f>
        <v/>
      </c>
      <c r="GF31" s="3">
        <f>ROUND(0.0,2)</f>
        <v/>
      </c>
      <c r="GG31" s="3">
        <f>ROUND(0.0,2)</f>
        <v/>
      </c>
      <c r="GH31" s="3">
        <f>ROUND(0.0,2)</f>
        <v/>
      </c>
      <c r="GI31" s="3">
        <f>ROUND(0.0,2)</f>
        <v/>
      </c>
      <c r="GJ31" s="4">
        <f>IFERROR((GD31/GC31),0)</f>
        <v/>
      </c>
      <c r="GK31" s="4">
        <f>IFERROR(((0+GB11+GB12+GB13+GB14+GB15+GB16+GB17+GB19+GB20+GB21+GB22+GB23+GB24+GB25+GB27+GB28+GB29+GB30+GB31)/T2),0)</f>
        <v/>
      </c>
      <c r="GL31" s="5">
        <f>IFERROR(ROUND(GB31/GD31,2),0)</f>
        <v/>
      </c>
      <c r="GM31" s="5">
        <f>IFERROR(ROUND(GB31/GE31,2),0)</f>
        <v/>
      </c>
    </row>
    <row r="32">
      <c r="A32" s="2" t="inlineStr">
        <is>
          <t>2023-10-09</t>
        </is>
      </c>
      <c r="B32" s="5">
        <f>ROUND(0.0,2)</f>
        <v/>
      </c>
      <c r="C32" s="3">
        <f>ROUND(0.0,2)</f>
        <v/>
      </c>
      <c r="D32" s="3">
        <f>ROUND(0.0,2)</f>
        <v/>
      </c>
      <c r="E32" s="3">
        <f>ROUND(0.0,2)</f>
        <v/>
      </c>
      <c r="F32" s="3">
        <f>ROUND(0.0,2)</f>
        <v/>
      </c>
      <c r="G32" s="3">
        <f>ROUND(0.0,2)</f>
        <v/>
      </c>
      <c r="H32" s="3">
        <f>ROUND(0.0,2)</f>
        <v/>
      </c>
      <c r="I32" s="3">
        <f>ROUND(0.0,2)</f>
        <v/>
      </c>
      <c r="J32" s="4">
        <f>IFERROR((D32/C32),0)</f>
        <v/>
      </c>
      <c r="K32" s="4">
        <f>IFERROR(((0+B11+B12+B13+B14+B15+B16+B17+B19+B20+B21+B22+B23+B24+B25+B27+B28+B29+B30+B31+B32)/T2),0)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2023-10-09</t>
        </is>
      </c>
      <c r="O32" s="5">
        <f>ROUND(0.0,2)</f>
        <v/>
      </c>
      <c r="P32" s="3">
        <f>ROUND(0.0,2)</f>
        <v/>
      </c>
      <c r="Q32" s="3">
        <f>ROUND(0.0,2)</f>
        <v/>
      </c>
      <c r="R32" s="3">
        <f>ROUND(0.0,2)</f>
        <v/>
      </c>
      <c r="S32" s="3">
        <f>ROUND(0.0,2)</f>
        <v/>
      </c>
      <c r="T32" s="3">
        <f>ROUND(0.0,2)</f>
        <v/>
      </c>
      <c r="U32" s="3">
        <f>ROUND(0.0,2)</f>
        <v/>
      </c>
      <c r="V32" s="3">
        <f>ROUND(0.0,2)</f>
        <v/>
      </c>
      <c r="W32" s="4">
        <f>IFERROR((Q32/P32),0)</f>
        <v/>
      </c>
      <c r="X32" s="4">
        <f>IFERROR(((0+O11+O12+O13+O14+O15+O16+O17+O19+O20+O21+O22+O23+O24+O25+O27+O28+O29+O30+O31+O32)/T2),0)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2023-10-09</t>
        </is>
      </c>
      <c r="AB32" s="5">
        <f>ROUND(0.0,2)</f>
        <v/>
      </c>
      <c r="AC32" s="3">
        <f>ROUND(0.0,2)</f>
        <v/>
      </c>
      <c r="AD32" s="3">
        <f>ROUND(0.0,2)</f>
        <v/>
      </c>
      <c r="AE32" s="3">
        <f>ROUND(0.0,2)</f>
        <v/>
      </c>
      <c r="AF32" s="3">
        <f>ROUND(0.0,2)</f>
        <v/>
      </c>
      <c r="AG32" s="3">
        <f>ROUND(0.0,2)</f>
        <v/>
      </c>
      <c r="AH32" s="3">
        <f>ROUND(0.0,2)</f>
        <v/>
      </c>
      <c r="AI32" s="3">
        <f>ROUND(0.0,2)</f>
        <v/>
      </c>
      <c r="AJ32" s="4">
        <f>IFERROR((AD32/AC32),0)</f>
        <v/>
      </c>
      <c r="AK32" s="4">
        <f>IFERROR(((0+AB11+AB12+AB13+AB14+AB15+AB16+AB17+AB19+AB20+AB21+AB22+AB23+AB24+AB25+AB27+AB28+AB29+AB30+AB31+AB32)/T2),0)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2023-10-09</t>
        </is>
      </c>
      <c r="AO32" s="5">
        <f>ROUND(0.0,2)</f>
        <v/>
      </c>
      <c r="AP32" s="3">
        <f>ROUND(0.0,2)</f>
        <v/>
      </c>
      <c r="AQ32" s="3">
        <f>ROUND(0.0,2)</f>
        <v/>
      </c>
      <c r="AR32" s="3">
        <f>ROUND(0.0,2)</f>
        <v/>
      </c>
      <c r="AS32" s="3">
        <f>ROUND(0.0,2)</f>
        <v/>
      </c>
      <c r="AT32" s="3">
        <f>ROUND(0.0,2)</f>
        <v/>
      </c>
      <c r="AU32" s="3">
        <f>ROUND(0.0,2)</f>
        <v/>
      </c>
      <c r="AV32" s="3">
        <f>ROUND(0.0,2)</f>
        <v/>
      </c>
      <c r="AW32" s="4">
        <f>IFERROR((AQ32/AP32),0)</f>
        <v/>
      </c>
      <c r="AX32" s="4">
        <f>IFERROR(((0+AO11+AO12+AO13+AO14+AO15+AO16+AO17+AO19+AO20+AO21+AO22+AO23+AO24+AO25+AO27+AO28+AO29+AO30+AO31+AO32)/T2),0)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2023-10-09</t>
        </is>
      </c>
      <c r="BB32" s="5">
        <f>ROUND(0.0,2)</f>
        <v/>
      </c>
      <c r="BC32" s="3">
        <f>ROUND(0.0,2)</f>
        <v/>
      </c>
      <c r="BD32" s="3">
        <f>ROUND(0.0,2)</f>
        <v/>
      </c>
      <c r="BE32" s="3">
        <f>ROUND(0.0,2)</f>
        <v/>
      </c>
      <c r="BF32" s="3">
        <f>ROUND(0.0,2)</f>
        <v/>
      </c>
      <c r="BG32" s="3">
        <f>ROUND(0.0,2)</f>
        <v/>
      </c>
      <c r="BH32" s="3">
        <f>ROUND(0.0,2)</f>
        <v/>
      </c>
      <c r="BI32" s="3">
        <f>ROUND(0.0,2)</f>
        <v/>
      </c>
      <c r="BJ32" s="4">
        <f>IFERROR((BD32/BC32),0)</f>
        <v/>
      </c>
      <c r="BK32" s="4">
        <f>IFERROR(((0+BB11+BB12+BB13+BB14+BB15+BB16+BB17+BB19+BB20+BB21+BB22+BB23+BB24+BB25+BB27+BB28+BB29+BB30+BB31+BB32)/T2),0)</f>
        <v/>
      </c>
      <c r="BL32" s="5">
        <f>IFERROR(ROUND(BB32/BD32,2),0)</f>
        <v/>
      </c>
      <c r="BM32" s="5">
        <f>IFERROR(ROUND(BB32/BE32,2),0)</f>
        <v/>
      </c>
      <c r="BN32" s="2" t="inlineStr">
        <is>
          <t>2023-10-09</t>
        </is>
      </c>
      <c r="BO32" s="5">
        <f>ROUND(0.0,2)</f>
        <v/>
      </c>
      <c r="BP32" s="3">
        <f>ROUND(0.0,2)</f>
        <v/>
      </c>
      <c r="BQ32" s="3">
        <f>ROUND(0.0,2)</f>
        <v/>
      </c>
      <c r="BR32" s="3">
        <f>ROUND(0.0,2)</f>
        <v/>
      </c>
      <c r="BS32" s="3">
        <f>ROUND(0.0,2)</f>
        <v/>
      </c>
      <c r="BT32" s="3">
        <f>ROUND(0.0,2)</f>
        <v/>
      </c>
      <c r="BU32" s="3">
        <f>ROUND(0.0,2)</f>
        <v/>
      </c>
      <c r="BV32" s="3">
        <f>ROUND(0.0,2)</f>
        <v/>
      </c>
      <c r="BW32" s="4">
        <f>IFERROR((BQ32/BP32),0)</f>
        <v/>
      </c>
      <c r="BX32" s="4">
        <f>IFERROR(((0+BO11+BO12+BO13+BO14+BO15+BO16+BO17+BO19+BO20+BO21+BO22+BO23+BO24+BO25+BO27+BO28+BO29+BO30+BO31+BO32)/T2),0)</f>
        <v/>
      </c>
      <c r="BY32" s="5">
        <f>IFERROR(ROUND(BO32/BQ32,2),0)</f>
        <v/>
      </c>
      <c r="BZ32" s="5">
        <f>IFERROR(ROUND(BO32/BR32,2),0)</f>
        <v/>
      </c>
      <c r="CA32" s="2" t="inlineStr">
        <is>
          <t>2023-10-09</t>
        </is>
      </c>
      <c r="CB32" s="5">
        <f>ROUND(0.0,2)</f>
        <v/>
      </c>
      <c r="CC32" s="3">
        <f>ROUND(0.0,2)</f>
        <v/>
      </c>
      <c r="CD32" s="3">
        <f>ROUND(0.0,2)</f>
        <v/>
      </c>
      <c r="CE32" s="3">
        <f>ROUND(0.0,2)</f>
        <v/>
      </c>
      <c r="CF32" s="3">
        <f>ROUND(0.0,2)</f>
        <v/>
      </c>
      <c r="CG32" s="3">
        <f>ROUND(0.0,2)</f>
        <v/>
      </c>
      <c r="CH32" s="3">
        <f>ROUND(0.0,2)</f>
        <v/>
      </c>
      <c r="CI32" s="3">
        <f>ROUND(0.0,2)</f>
        <v/>
      </c>
      <c r="CJ32" s="4">
        <f>IFERROR((CD32/CC32),0)</f>
        <v/>
      </c>
      <c r="CK32" s="4">
        <f>IFERROR(((0+CB11+CB12+CB13+CB14+CB15+CB16+CB17+CB19+CB20+CB21+CB22+CB23+CB24+CB25+CB27+CB28+CB29+CB30+CB31+CB32)/T2),0)</f>
        <v/>
      </c>
      <c r="CL32" s="5">
        <f>IFERROR(ROUND(CB32/CD32,2),0)</f>
        <v/>
      </c>
      <c r="CM32" s="5">
        <f>IFERROR(ROUND(CB32/CE32,2),0)</f>
        <v/>
      </c>
      <c r="CN32" s="2" t="inlineStr">
        <is>
          <t>2023-10-09</t>
        </is>
      </c>
      <c r="CO32" s="5">
        <f>ROUND(0.0,2)</f>
        <v/>
      </c>
      <c r="CP32" s="3">
        <f>ROUND(0.0,2)</f>
        <v/>
      </c>
      <c r="CQ32" s="3">
        <f>ROUND(0.0,2)</f>
        <v/>
      </c>
      <c r="CR32" s="3">
        <f>ROUND(0.0,2)</f>
        <v/>
      </c>
      <c r="CS32" s="3">
        <f>ROUND(0.0,2)</f>
        <v/>
      </c>
      <c r="CT32" s="3">
        <f>ROUND(0.0,2)</f>
        <v/>
      </c>
      <c r="CU32" s="3">
        <f>ROUND(0.0,2)</f>
        <v/>
      </c>
      <c r="CV32" s="3">
        <f>ROUND(0.0,2)</f>
        <v/>
      </c>
      <c r="CW32" s="4">
        <f>IFERROR((CQ32/CP32),0)</f>
        <v/>
      </c>
      <c r="CX32" s="4">
        <f>IFERROR(((0+CO11+CO12+CO13+CO14+CO15+CO16+CO17+CO19+CO20+CO21+CO22+CO23+CO24+CO25+CO27+CO28+CO29+CO30+CO31+CO32)/T2),0)</f>
        <v/>
      </c>
      <c r="CY32" s="5">
        <f>IFERROR(ROUND(CO32/CQ32,2),0)</f>
        <v/>
      </c>
      <c r="CZ32" s="5">
        <f>IFERROR(ROUND(CO32/CR32,2),0)</f>
        <v/>
      </c>
      <c r="DA32" s="2" t="inlineStr">
        <is>
          <t>2023-10-09</t>
        </is>
      </c>
      <c r="DB32" s="5">
        <f>ROUND(0.0,2)</f>
        <v/>
      </c>
      <c r="DC32" s="3">
        <f>ROUND(0.0,2)</f>
        <v/>
      </c>
      <c r="DD32" s="3">
        <f>ROUND(0.0,2)</f>
        <v/>
      </c>
      <c r="DE32" s="3">
        <f>ROUND(0.0,2)</f>
        <v/>
      </c>
      <c r="DF32" s="3">
        <f>ROUND(0.0,2)</f>
        <v/>
      </c>
      <c r="DG32" s="3">
        <f>ROUND(0.0,2)</f>
        <v/>
      </c>
      <c r="DH32" s="3">
        <f>ROUND(0.0,2)</f>
        <v/>
      </c>
      <c r="DI32" s="3">
        <f>ROUND(0.0,2)</f>
        <v/>
      </c>
      <c r="DJ32" s="4">
        <f>IFERROR((DD32/DC32),0)</f>
        <v/>
      </c>
      <c r="DK32" s="4">
        <f>IFERROR(((0+DB11+DB12+DB13+DB14+DB15+DB16+DB17+DB19+DB20+DB21+DB22+DB23+DB24+DB25+DB27+DB28+DB29+DB30+DB31+DB32)/T2),0)</f>
        <v/>
      </c>
      <c r="DL32" s="5">
        <f>IFERROR(ROUND(DB32/DD32,2),0)</f>
        <v/>
      </c>
      <c r="DM32" s="5">
        <f>IFERROR(ROUND(DB32/DE32,2),0)</f>
        <v/>
      </c>
      <c r="DN32" s="2" t="inlineStr">
        <is>
          <t>2023-10-09</t>
        </is>
      </c>
      <c r="DO32" s="5">
        <f>ROUND(0.0,2)</f>
        <v/>
      </c>
      <c r="DP32" s="3">
        <f>ROUND(0.0,2)</f>
        <v/>
      </c>
      <c r="DQ32" s="3">
        <f>ROUND(0.0,2)</f>
        <v/>
      </c>
      <c r="DR32" s="3">
        <f>ROUND(0.0,2)</f>
        <v/>
      </c>
      <c r="DS32" s="3">
        <f>ROUND(0.0,2)</f>
        <v/>
      </c>
      <c r="DT32" s="3">
        <f>ROUND(0.0,2)</f>
        <v/>
      </c>
      <c r="DU32" s="3">
        <f>ROUND(0.0,2)</f>
        <v/>
      </c>
      <c r="DV32" s="3">
        <f>ROUND(0.0,2)</f>
        <v/>
      </c>
      <c r="DW32" s="4">
        <f>IFERROR((DQ32/DP32),0)</f>
        <v/>
      </c>
      <c r="DX32" s="4">
        <f>IFERROR(((0+DO11+DO12+DO13+DO14+DO15+DO16+DO17+DO19+DO20+DO21+DO22+DO23+DO24+DO25+DO27+DO28+DO29+DO30+DO31+DO32)/T2),0)</f>
        <v/>
      </c>
      <c r="DY32" s="5">
        <f>IFERROR(ROUND(DO32/DQ32,2),0)</f>
        <v/>
      </c>
      <c r="DZ32" s="5">
        <f>IFERROR(ROUND(DO32/DR32,2),0)</f>
        <v/>
      </c>
      <c r="EA32" s="2" t="inlineStr">
        <is>
          <t>2023-10-09</t>
        </is>
      </c>
      <c r="EB32" s="5">
        <f>ROUND(0.0,2)</f>
        <v/>
      </c>
      <c r="EC32" s="3">
        <f>ROUND(0.0,2)</f>
        <v/>
      </c>
      <c r="ED32" s="3">
        <f>ROUND(0.0,2)</f>
        <v/>
      </c>
      <c r="EE32" s="3">
        <f>ROUND(0.0,2)</f>
        <v/>
      </c>
      <c r="EF32" s="3">
        <f>ROUND(0.0,2)</f>
        <v/>
      </c>
      <c r="EG32" s="3">
        <f>ROUND(0.0,2)</f>
        <v/>
      </c>
      <c r="EH32" s="3">
        <f>ROUND(0.0,2)</f>
        <v/>
      </c>
      <c r="EI32" s="3">
        <f>ROUND(0.0,2)</f>
        <v/>
      </c>
      <c r="EJ32" s="4">
        <f>IFERROR((ED32/EC32),0)</f>
        <v/>
      </c>
      <c r="EK32" s="4">
        <f>IFERROR(((0+EB11+EB12+EB13+EB14+EB15+EB16+EB17+EB19+EB20+EB21+EB22+EB23+EB24+EB25+EB27+EB28+EB29+EB30+EB31+EB32)/T2),0)</f>
        <v/>
      </c>
      <c r="EL32" s="5">
        <f>IFERROR(ROUND(EB32/ED32,2),0)</f>
        <v/>
      </c>
      <c r="EM32" s="5">
        <f>IFERROR(ROUND(EB32/EE32,2),0)</f>
        <v/>
      </c>
      <c r="EN32" s="2" t="inlineStr">
        <is>
          <t>2023-10-09</t>
        </is>
      </c>
      <c r="EO32" s="5">
        <f>ROUND(0.0,2)</f>
        <v/>
      </c>
      <c r="EP32" s="3">
        <f>ROUND(0.0,2)</f>
        <v/>
      </c>
      <c r="EQ32" s="3">
        <f>ROUND(0.0,2)</f>
        <v/>
      </c>
      <c r="ER32" s="3">
        <f>ROUND(0.0,2)</f>
        <v/>
      </c>
      <c r="ES32" s="3">
        <f>ROUND(0.0,2)</f>
        <v/>
      </c>
      <c r="ET32" s="3">
        <f>ROUND(0.0,2)</f>
        <v/>
      </c>
      <c r="EU32" s="3">
        <f>ROUND(0.0,2)</f>
        <v/>
      </c>
      <c r="EV32" s="3">
        <f>ROUND(0.0,2)</f>
        <v/>
      </c>
      <c r="EW32" s="4">
        <f>IFERROR((EQ32/EP32),0)</f>
        <v/>
      </c>
      <c r="EX32" s="4">
        <f>IFERROR(((0+EO11+EO12+EO13+EO14+EO15+EO16+EO17+EO19+EO20+EO21+EO22+EO23+EO24+EO25+EO27+EO28+EO29+EO30+EO31+EO32)/T2),0)</f>
        <v/>
      </c>
      <c r="EY32" s="5">
        <f>IFERROR(ROUND(EO32/EQ32,2),0)</f>
        <v/>
      </c>
      <c r="EZ32" s="5">
        <f>IFERROR(ROUND(EO32/ER32,2),0)</f>
        <v/>
      </c>
      <c r="FA32" s="2" t="inlineStr">
        <is>
          <t>2023-10-09</t>
        </is>
      </c>
      <c r="FB32" s="5">
        <f>ROUND(0.0,2)</f>
        <v/>
      </c>
      <c r="FC32" s="3">
        <f>ROUND(0.0,2)</f>
        <v/>
      </c>
      <c r="FD32" s="3">
        <f>ROUND(0.0,2)</f>
        <v/>
      </c>
      <c r="FE32" s="3">
        <f>ROUND(0.0,2)</f>
        <v/>
      </c>
      <c r="FF32" s="3">
        <f>ROUND(0.0,2)</f>
        <v/>
      </c>
      <c r="FG32" s="3">
        <f>ROUND(0.0,2)</f>
        <v/>
      </c>
      <c r="FH32" s="3">
        <f>ROUND(0.0,2)</f>
        <v/>
      </c>
      <c r="FI32" s="3">
        <f>ROUND(0.0,2)</f>
        <v/>
      </c>
      <c r="FJ32" s="4">
        <f>IFERROR((FD32/FC32),0)</f>
        <v/>
      </c>
      <c r="FK32" s="4">
        <f>IFERROR(((0+FB11+FB12+FB13+FB14+FB15+FB16+FB17+FB19+FB20+FB21+FB22+FB23+FB24+FB25+FB27+FB28+FB29+FB30+FB31+FB32)/T2),0)</f>
        <v/>
      </c>
      <c r="FL32" s="5">
        <f>IFERROR(ROUND(FB32/FD32,2),0)</f>
        <v/>
      </c>
      <c r="FM32" s="5">
        <f>IFERROR(ROUND(FB32/FE32,2),0)</f>
        <v/>
      </c>
      <c r="FN32" s="2" t="inlineStr">
        <is>
          <t>2023-10-09</t>
        </is>
      </c>
      <c r="FO32" s="5">
        <f>ROUND(0.0,2)</f>
        <v/>
      </c>
      <c r="FP32" s="3">
        <f>ROUND(0.0,2)</f>
        <v/>
      </c>
      <c r="FQ32" s="3">
        <f>ROUND(0.0,2)</f>
        <v/>
      </c>
      <c r="FR32" s="3">
        <f>ROUND(0.0,2)</f>
        <v/>
      </c>
      <c r="FS32" s="3">
        <f>ROUND(0.0,2)</f>
        <v/>
      </c>
      <c r="FT32" s="3">
        <f>ROUND(0.0,2)</f>
        <v/>
      </c>
      <c r="FU32" s="3">
        <f>ROUND(0.0,2)</f>
        <v/>
      </c>
      <c r="FV32" s="3">
        <f>ROUND(0.0,2)</f>
        <v/>
      </c>
      <c r="FW32" s="4">
        <f>IFERROR((FQ32/FP32),0)</f>
        <v/>
      </c>
      <c r="FX32" s="4">
        <f>IFERROR(((0+FO11+FO12+FO13+FO14+FO15+FO16+FO17+FO19+FO20+FO21+FO22+FO23+FO24+FO25+FO27+FO28+FO29+FO30+FO31+FO32)/T2),0)</f>
        <v/>
      </c>
      <c r="FY32" s="5">
        <f>IFERROR(ROUND(FO32/FQ32,2),0)</f>
        <v/>
      </c>
      <c r="FZ32" s="5">
        <f>IFERROR(ROUND(FO32/FR32,2),0)</f>
        <v/>
      </c>
      <c r="GA32" s="2" t="inlineStr">
        <is>
          <t>2023-10-09</t>
        </is>
      </c>
      <c r="GB32" s="5">
        <f>ROUND(0.0,2)</f>
        <v/>
      </c>
      <c r="GC32" s="3">
        <f>ROUND(0.0,2)</f>
        <v/>
      </c>
      <c r="GD32" s="3">
        <f>ROUND(0.0,2)</f>
        <v/>
      </c>
      <c r="GE32" s="3">
        <f>ROUND(0.0,2)</f>
        <v/>
      </c>
      <c r="GF32" s="3">
        <f>ROUND(0.0,2)</f>
        <v/>
      </c>
      <c r="GG32" s="3">
        <f>ROUND(0.0,2)</f>
        <v/>
      </c>
      <c r="GH32" s="3">
        <f>ROUND(0.0,2)</f>
        <v/>
      </c>
      <c r="GI32" s="3">
        <f>ROUND(0.0,2)</f>
        <v/>
      </c>
      <c r="GJ32" s="4">
        <f>IFERROR((GD32/GC32),0)</f>
        <v/>
      </c>
      <c r="GK32" s="4">
        <f>IFERROR(((0+GB11+GB12+GB13+GB14+GB15+GB16+GB17+GB19+GB20+GB21+GB22+GB23+GB24+GB25+GB27+GB28+GB29+GB30+GB31+GB32)/T2),0)</f>
        <v/>
      </c>
      <c r="GL32" s="5">
        <f>IFERROR(ROUND(GB32/GD32,2),0)</f>
        <v/>
      </c>
      <c r="GM32" s="5">
        <f>IFERROR(ROUND(GB32/GE32,2),0)</f>
        <v/>
      </c>
    </row>
    <row r="33">
      <c r="A33" s="2" t="inlineStr">
        <is>
          <t>2023-10-10</t>
        </is>
      </c>
      <c r="B33" s="5">
        <f>ROUND(0.0,2)</f>
        <v/>
      </c>
      <c r="C33" s="3">
        <f>ROUND(0.0,2)</f>
        <v/>
      </c>
      <c r="D33" s="3">
        <f>ROUND(0.0,2)</f>
        <v/>
      </c>
      <c r="E33" s="3">
        <f>ROUND(0.0,2)</f>
        <v/>
      </c>
      <c r="F33" s="3">
        <f>ROUND(0.0,2)</f>
        <v/>
      </c>
      <c r="G33" s="3">
        <f>ROUND(0.0,2)</f>
        <v/>
      </c>
      <c r="H33" s="3">
        <f>ROUND(0.0,2)</f>
        <v/>
      </c>
      <c r="I33" s="3">
        <f>ROUND(0.0,2)</f>
        <v/>
      </c>
      <c r="J33" s="4">
        <f>IFERROR((D33/C33),0)</f>
        <v/>
      </c>
      <c r="K33" s="4">
        <f>IFERROR(((0+B11+B12+B13+B14+B15+B16+B17+B19+B20+B21+B22+B23+B24+B25+B27+B28+B29+B30+B31+B32+B33)/T2),0)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2023-10-10</t>
        </is>
      </c>
      <c r="O33" s="5">
        <f>ROUND(0.0,2)</f>
        <v/>
      </c>
      <c r="P33" s="3">
        <f>ROUND(0.0,2)</f>
        <v/>
      </c>
      <c r="Q33" s="3">
        <f>ROUND(0.0,2)</f>
        <v/>
      </c>
      <c r="R33" s="3">
        <f>ROUND(0.0,2)</f>
        <v/>
      </c>
      <c r="S33" s="3">
        <f>ROUND(0.0,2)</f>
        <v/>
      </c>
      <c r="T33" s="3">
        <f>ROUND(0.0,2)</f>
        <v/>
      </c>
      <c r="U33" s="3">
        <f>ROUND(0.0,2)</f>
        <v/>
      </c>
      <c r="V33" s="3">
        <f>ROUND(0.0,2)</f>
        <v/>
      </c>
      <c r="W33" s="4">
        <f>IFERROR((Q33/P33),0)</f>
        <v/>
      </c>
      <c r="X33" s="4">
        <f>IFERROR(((0+O11+O12+O13+O14+O15+O16+O17+O19+O20+O21+O22+O23+O24+O25+O27+O28+O29+O30+O31+O32+O33)/T2),0)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2023-10-10</t>
        </is>
      </c>
      <c r="AB33" s="5">
        <f>ROUND(0.0,2)</f>
        <v/>
      </c>
      <c r="AC33" s="3">
        <f>ROUND(0.0,2)</f>
        <v/>
      </c>
      <c r="AD33" s="3">
        <f>ROUND(0.0,2)</f>
        <v/>
      </c>
      <c r="AE33" s="3">
        <f>ROUND(0.0,2)</f>
        <v/>
      </c>
      <c r="AF33" s="3">
        <f>ROUND(0.0,2)</f>
        <v/>
      </c>
      <c r="AG33" s="3">
        <f>ROUND(0.0,2)</f>
        <v/>
      </c>
      <c r="AH33" s="3">
        <f>ROUND(0.0,2)</f>
        <v/>
      </c>
      <c r="AI33" s="3">
        <f>ROUND(0.0,2)</f>
        <v/>
      </c>
      <c r="AJ33" s="4">
        <f>IFERROR((AD33/AC33),0)</f>
        <v/>
      </c>
      <c r="AK33" s="4">
        <f>IFERROR(((0+AB11+AB12+AB13+AB14+AB15+AB16+AB17+AB19+AB20+AB21+AB22+AB23+AB24+AB25+AB27+AB28+AB29+AB30+AB31+AB32+AB33)/T2),0)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2023-10-10</t>
        </is>
      </c>
      <c r="AO33" s="5">
        <f>ROUND(0.0,2)</f>
        <v/>
      </c>
      <c r="AP33" s="3">
        <f>ROUND(0.0,2)</f>
        <v/>
      </c>
      <c r="AQ33" s="3">
        <f>ROUND(0.0,2)</f>
        <v/>
      </c>
      <c r="AR33" s="3">
        <f>ROUND(0.0,2)</f>
        <v/>
      </c>
      <c r="AS33" s="3">
        <f>ROUND(0.0,2)</f>
        <v/>
      </c>
      <c r="AT33" s="3">
        <f>ROUND(0.0,2)</f>
        <v/>
      </c>
      <c r="AU33" s="3">
        <f>ROUND(0.0,2)</f>
        <v/>
      </c>
      <c r="AV33" s="3">
        <f>ROUND(0.0,2)</f>
        <v/>
      </c>
      <c r="AW33" s="4">
        <f>IFERROR((AQ33/AP33),0)</f>
        <v/>
      </c>
      <c r="AX33" s="4">
        <f>IFERROR(((0+AO11+AO12+AO13+AO14+AO15+AO16+AO17+AO19+AO20+AO21+AO22+AO23+AO24+AO25+AO27+AO28+AO29+AO30+AO31+AO32+AO33)/T2),0)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2023-10-10</t>
        </is>
      </c>
      <c r="BB33" s="5">
        <f>ROUND(0.0,2)</f>
        <v/>
      </c>
      <c r="BC33" s="3">
        <f>ROUND(0.0,2)</f>
        <v/>
      </c>
      <c r="BD33" s="3">
        <f>ROUND(0.0,2)</f>
        <v/>
      </c>
      <c r="BE33" s="3">
        <f>ROUND(0.0,2)</f>
        <v/>
      </c>
      <c r="BF33" s="3">
        <f>ROUND(0.0,2)</f>
        <v/>
      </c>
      <c r="BG33" s="3">
        <f>ROUND(0.0,2)</f>
        <v/>
      </c>
      <c r="BH33" s="3">
        <f>ROUND(0.0,2)</f>
        <v/>
      </c>
      <c r="BI33" s="3">
        <f>ROUND(0.0,2)</f>
        <v/>
      </c>
      <c r="BJ33" s="4">
        <f>IFERROR((BD33/BC33),0)</f>
        <v/>
      </c>
      <c r="BK33" s="4">
        <f>IFERROR(((0+BB11+BB12+BB13+BB14+BB15+BB16+BB17+BB19+BB20+BB21+BB22+BB23+BB24+BB25+BB27+BB28+BB29+BB30+BB31+BB32+BB33)/T2),0)</f>
        <v/>
      </c>
      <c r="BL33" s="5">
        <f>IFERROR(ROUND(BB33/BD33,2),0)</f>
        <v/>
      </c>
      <c r="BM33" s="5">
        <f>IFERROR(ROUND(BB33/BE33,2),0)</f>
        <v/>
      </c>
      <c r="BN33" s="2" t="inlineStr">
        <is>
          <t>2023-10-10</t>
        </is>
      </c>
      <c r="BO33" s="5">
        <f>ROUND(0.0,2)</f>
        <v/>
      </c>
      <c r="BP33" s="3">
        <f>ROUND(0.0,2)</f>
        <v/>
      </c>
      <c r="BQ33" s="3">
        <f>ROUND(0.0,2)</f>
        <v/>
      </c>
      <c r="BR33" s="3">
        <f>ROUND(0.0,2)</f>
        <v/>
      </c>
      <c r="BS33" s="3">
        <f>ROUND(0.0,2)</f>
        <v/>
      </c>
      <c r="BT33" s="3">
        <f>ROUND(0.0,2)</f>
        <v/>
      </c>
      <c r="BU33" s="3">
        <f>ROUND(0.0,2)</f>
        <v/>
      </c>
      <c r="BV33" s="3">
        <f>ROUND(0.0,2)</f>
        <v/>
      </c>
      <c r="BW33" s="4">
        <f>IFERROR((BQ33/BP33),0)</f>
        <v/>
      </c>
      <c r="BX33" s="4">
        <f>IFERROR(((0+BO11+BO12+BO13+BO14+BO15+BO16+BO17+BO19+BO20+BO21+BO22+BO23+BO24+BO25+BO27+BO28+BO29+BO30+BO31+BO32+BO33)/T2),0)</f>
        <v/>
      </c>
      <c r="BY33" s="5">
        <f>IFERROR(ROUND(BO33/BQ33,2),0)</f>
        <v/>
      </c>
      <c r="BZ33" s="5">
        <f>IFERROR(ROUND(BO33/BR33,2),0)</f>
        <v/>
      </c>
      <c r="CA33" s="2" t="inlineStr">
        <is>
          <t>2023-10-10</t>
        </is>
      </c>
      <c r="CB33" s="5">
        <f>ROUND(0.0,2)</f>
        <v/>
      </c>
      <c r="CC33" s="3">
        <f>ROUND(0.0,2)</f>
        <v/>
      </c>
      <c r="CD33" s="3">
        <f>ROUND(0.0,2)</f>
        <v/>
      </c>
      <c r="CE33" s="3">
        <f>ROUND(0.0,2)</f>
        <v/>
      </c>
      <c r="CF33" s="3">
        <f>ROUND(0.0,2)</f>
        <v/>
      </c>
      <c r="CG33" s="3">
        <f>ROUND(0.0,2)</f>
        <v/>
      </c>
      <c r="CH33" s="3">
        <f>ROUND(0.0,2)</f>
        <v/>
      </c>
      <c r="CI33" s="3">
        <f>ROUND(0.0,2)</f>
        <v/>
      </c>
      <c r="CJ33" s="4">
        <f>IFERROR((CD33/CC33),0)</f>
        <v/>
      </c>
      <c r="CK33" s="4">
        <f>IFERROR(((0+CB11+CB12+CB13+CB14+CB15+CB16+CB17+CB19+CB20+CB21+CB22+CB23+CB24+CB25+CB27+CB28+CB29+CB30+CB31+CB32+CB33)/T2),0)</f>
        <v/>
      </c>
      <c r="CL33" s="5">
        <f>IFERROR(ROUND(CB33/CD33,2),0)</f>
        <v/>
      </c>
      <c r="CM33" s="5">
        <f>IFERROR(ROUND(CB33/CE33,2),0)</f>
        <v/>
      </c>
      <c r="CN33" s="2" t="inlineStr">
        <is>
          <t>2023-10-10</t>
        </is>
      </c>
      <c r="CO33" s="5">
        <f>ROUND(0.0,2)</f>
        <v/>
      </c>
      <c r="CP33" s="3">
        <f>ROUND(0.0,2)</f>
        <v/>
      </c>
      <c r="CQ33" s="3">
        <f>ROUND(0.0,2)</f>
        <v/>
      </c>
      <c r="CR33" s="3">
        <f>ROUND(0.0,2)</f>
        <v/>
      </c>
      <c r="CS33" s="3">
        <f>ROUND(0.0,2)</f>
        <v/>
      </c>
      <c r="CT33" s="3">
        <f>ROUND(0.0,2)</f>
        <v/>
      </c>
      <c r="CU33" s="3">
        <f>ROUND(0.0,2)</f>
        <v/>
      </c>
      <c r="CV33" s="3">
        <f>ROUND(0.0,2)</f>
        <v/>
      </c>
      <c r="CW33" s="4">
        <f>IFERROR((CQ33/CP33),0)</f>
        <v/>
      </c>
      <c r="CX33" s="4">
        <f>IFERROR(((0+CO11+CO12+CO13+CO14+CO15+CO16+CO17+CO19+CO20+CO21+CO22+CO23+CO24+CO25+CO27+CO28+CO29+CO30+CO31+CO32+CO33)/T2),0)</f>
        <v/>
      </c>
      <c r="CY33" s="5">
        <f>IFERROR(ROUND(CO33/CQ33,2),0)</f>
        <v/>
      </c>
      <c r="CZ33" s="5">
        <f>IFERROR(ROUND(CO33/CR33,2),0)</f>
        <v/>
      </c>
      <c r="DA33" s="2" t="inlineStr">
        <is>
          <t>2023-10-10</t>
        </is>
      </c>
      <c r="DB33" s="5">
        <f>ROUND(0.0,2)</f>
        <v/>
      </c>
      <c r="DC33" s="3">
        <f>ROUND(0.0,2)</f>
        <v/>
      </c>
      <c r="DD33" s="3">
        <f>ROUND(0.0,2)</f>
        <v/>
      </c>
      <c r="DE33" s="3">
        <f>ROUND(0.0,2)</f>
        <v/>
      </c>
      <c r="DF33" s="3">
        <f>ROUND(0.0,2)</f>
        <v/>
      </c>
      <c r="DG33" s="3">
        <f>ROUND(0.0,2)</f>
        <v/>
      </c>
      <c r="DH33" s="3">
        <f>ROUND(0.0,2)</f>
        <v/>
      </c>
      <c r="DI33" s="3">
        <f>ROUND(0.0,2)</f>
        <v/>
      </c>
      <c r="DJ33" s="4">
        <f>IFERROR((DD33/DC33),0)</f>
        <v/>
      </c>
      <c r="DK33" s="4">
        <f>IFERROR(((0+DB11+DB12+DB13+DB14+DB15+DB16+DB17+DB19+DB20+DB21+DB22+DB23+DB24+DB25+DB27+DB28+DB29+DB30+DB31+DB32+DB33)/T2),0)</f>
        <v/>
      </c>
      <c r="DL33" s="5">
        <f>IFERROR(ROUND(DB33/DD33,2),0)</f>
        <v/>
      </c>
      <c r="DM33" s="5">
        <f>IFERROR(ROUND(DB33/DE33,2),0)</f>
        <v/>
      </c>
      <c r="DN33" s="2" t="inlineStr">
        <is>
          <t>2023-10-10</t>
        </is>
      </c>
      <c r="DO33" s="5">
        <f>ROUND(0.0,2)</f>
        <v/>
      </c>
      <c r="DP33" s="3">
        <f>ROUND(0.0,2)</f>
        <v/>
      </c>
      <c r="DQ33" s="3">
        <f>ROUND(0.0,2)</f>
        <v/>
      </c>
      <c r="DR33" s="3">
        <f>ROUND(0.0,2)</f>
        <v/>
      </c>
      <c r="DS33" s="3">
        <f>ROUND(0.0,2)</f>
        <v/>
      </c>
      <c r="DT33" s="3">
        <f>ROUND(0.0,2)</f>
        <v/>
      </c>
      <c r="DU33" s="3">
        <f>ROUND(0.0,2)</f>
        <v/>
      </c>
      <c r="DV33" s="3">
        <f>ROUND(0.0,2)</f>
        <v/>
      </c>
      <c r="DW33" s="4">
        <f>IFERROR((DQ33/DP33),0)</f>
        <v/>
      </c>
      <c r="DX33" s="4">
        <f>IFERROR(((0+DO11+DO12+DO13+DO14+DO15+DO16+DO17+DO19+DO20+DO21+DO22+DO23+DO24+DO25+DO27+DO28+DO29+DO30+DO31+DO32+DO33)/T2),0)</f>
        <v/>
      </c>
      <c r="DY33" s="5">
        <f>IFERROR(ROUND(DO33/DQ33,2),0)</f>
        <v/>
      </c>
      <c r="DZ33" s="5">
        <f>IFERROR(ROUND(DO33/DR33,2),0)</f>
        <v/>
      </c>
      <c r="EA33" s="2" t="inlineStr">
        <is>
          <t>2023-10-10</t>
        </is>
      </c>
      <c r="EB33" s="5">
        <f>ROUND(0.0,2)</f>
        <v/>
      </c>
      <c r="EC33" s="3">
        <f>ROUND(0.0,2)</f>
        <v/>
      </c>
      <c r="ED33" s="3">
        <f>ROUND(0.0,2)</f>
        <v/>
      </c>
      <c r="EE33" s="3">
        <f>ROUND(0.0,2)</f>
        <v/>
      </c>
      <c r="EF33" s="3">
        <f>ROUND(0.0,2)</f>
        <v/>
      </c>
      <c r="EG33" s="3">
        <f>ROUND(0.0,2)</f>
        <v/>
      </c>
      <c r="EH33" s="3">
        <f>ROUND(0.0,2)</f>
        <v/>
      </c>
      <c r="EI33" s="3">
        <f>ROUND(0.0,2)</f>
        <v/>
      </c>
      <c r="EJ33" s="4">
        <f>IFERROR((ED33/EC33),0)</f>
        <v/>
      </c>
      <c r="EK33" s="4">
        <f>IFERROR(((0+EB11+EB12+EB13+EB14+EB15+EB16+EB17+EB19+EB20+EB21+EB22+EB23+EB24+EB25+EB27+EB28+EB29+EB30+EB31+EB32+EB33)/T2),0)</f>
        <v/>
      </c>
      <c r="EL33" s="5">
        <f>IFERROR(ROUND(EB33/ED33,2),0)</f>
        <v/>
      </c>
      <c r="EM33" s="5">
        <f>IFERROR(ROUND(EB33/EE33,2),0)</f>
        <v/>
      </c>
      <c r="EN33" s="2" t="inlineStr">
        <is>
          <t>2023-10-10</t>
        </is>
      </c>
      <c r="EO33" s="5">
        <f>ROUND(0.0,2)</f>
        <v/>
      </c>
      <c r="EP33" s="3">
        <f>ROUND(0.0,2)</f>
        <v/>
      </c>
      <c r="EQ33" s="3">
        <f>ROUND(0.0,2)</f>
        <v/>
      </c>
      <c r="ER33" s="3">
        <f>ROUND(0.0,2)</f>
        <v/>
      </c>
      <c r="ES33" s="3">
        <f>ROUND(0.0,2)</f>
        <v/>
      </c>
      <c r="ET33" s="3">
        <f>ROUND(0.0,2)</f>
        <v/>
      </c>
      <c r="EU33" s="3">
        <f>ROUND(0.0,2)</f>
        <v/>
      </c>
      <c r="EV33" s="3">
        <f>ROUND(0.0,2)</f>
        <v/>
      </c>
      <c r="EW33" s="4">
        <f>IFERROR((EQ33/EP33),0)</f>
        <v/>
      </c>
      <c r="EX33" s="4">
        <f>IFERROR(((0+EO11+EO12+EO13+EO14+EO15+EO16+EO17+EO19+EO20+EO21+EO22+EO23+EO24+EO25+EO27+EO28+EO29+EO30+EO31+EO32+EO33)/T2),0)</f>
        <v/>
      </c>
      <c r="EY33" s="5">
        <f>IFERROR(ROUND(EO33/EQ33,2),0)</f>
        <v/>
      </c>
      <c r="EZ33" s="5">
        <f>IFERROR(ROUND(EO33/ER33,2),0)</f>
        <v/>
      </c>
      <c r="FA33" s="2" t="inlineStr">
        <is>
          <t>2023-10-10</t>
        </is>
      </c>
      <c r="FB33" s="5">
        <f>ROUND(0.0,2)</f>
        <v/>
      </c>
      <c r="FC33" s="3">
        <f>ROUND(0.0,2)</f>
        <v/>
      </c>
      <c r="FD33" s="3">
        <f>ROUND(0.0,2)</f>
        <v/>
      </c>
      <c r="FE33" s="3">
        <f>ROUND(0.0,2)</f>
        <v/>
      </c>
      <c r="FF33" s="3">
        <f>ROUND(0.0,2)</f>
        <v/>
      </c>
      <c r="FG33" s="3">
        <f>ROUND(0.0,2)</f>
        <v/>
      </c>
      <c r="FH33" s="3">
        <f>ROUND(0.0,2)</f>
        <v/>
      </c>
      <c r="FI33" s="3">
        <f>ROUND(0.0,2)</f>
        <v/>
      </c>
      <c r="FJ33" s="4">
        <f>IFERROR((FD33/FC33),0)</f>
        <v/>
      </c>
      <c r="FK33" s="4">
        <f>IFERROR(((0+FB11+FB12+FB13+FB14+FB15+FB16+FB17+FB19+FB20+FB21+FB22+FB23+FB24+FB25+FB27+FB28+FB29+FB30+FB31+FB32+FB33)/T2),0)</f>
        <v/>
      </c>
      <c r="FL33" s="5">
        <f>IFERROR(ROUND(FB33/FD33,2),0)</f>
        <v/>
      </c>
      <c r="FM33" s="5">
        <f>IFERROR(ROUND(FB33/FE33,2),0)</f>
        <v/>
      </c>
      <c r="FN33" s="2" t="inlineStr">
        <is>
          <t>2023-10-10</t>
        </is>
      </c>
      <c r="FO33" s="5">
        <f>ROUND(0.0,2)</f>
        <v/>
      </c>
      <c r="FP33" s="3">
        <f>ROUND(0.0,2)</f>
        <v/>
      </c>
      <c r="FQ33" s="3">
        <f>ROUND(0.0,2)</f>
        <v/>
      </c>
      <c r="FR33" s="3">
        <f>ROUND(0.0,2)</f>
        <v/>
      </c>
      <c r="FS33" s="3">
        <f>ROUND(0.0,2)</f>
        <v/>
      </c>
      <c r="FT33" s="3">
        <f>ROUND(0.0,2)</f>
        <v/>
      </c>
      <c r="FU33" s="3">
        <f>ROUND(0.0,2)</f>
        <v/>
      </c>
      <c r="FV33" s="3">
        <f>ROUND(0.0,2)</f>
        <v/>
      </c>
      <c r="FW33" s="4">
        <f>IFERROR((FQ33/FP33),0)</f>
        <v/>
      </c>
      <c r="FX33" s="4">
        <f>IFERROR(((0+FO11+FO12+FO13+FO14+FO15+FO16+FO17+FO19+FO20+FO21+FO22+FO23+FO24+FO25+FO27+FO28+FO29+FO30+FO31+FO32+FO33)/T2),0)</f>
        <v/>
      </c>
      <c r="FY33" s="5">
        <f>IFERROR(ROUND(FO33/FQ33,2),0)</f>
        <v/>
      </c>
      <c r="FZ33" s="5">
        <f>IFERROR(ROUND(FO33/FR33,2),0)</f>
        <v/>
      </c>
      <c r="GA33" s="2" t="inlineStr">
        <is>
          <t>2023-10-10</t>
        </is>
      </c>
      <c r="GB33" s="5">
        <f>ROUND(0.0,2)</f>
        <v/>
      </c>
      <c r="GC33" s="3">
        <f>ROUND(0.0,2)</f>
        <v/>
      </c>
      <c r="GD33" s="3">
        <f>ROUND(0.0,2)</f>
        <v/>
      </c>
      <c r="GE33" s="3">
        <f>ROUND(0.0,2)</f>
        <v/>
      </c>
      <c r="GF33" s="3">
        <f>ROUND(0.0,2)</f>
        <v/>
      </c>
      <c r="GG33" s="3">
        <f>ROUND(0.0,2)</f>
        <v/>
      </c>
      <c r="GH33" s="3">
        <f>ROUND(0.0,2)</f>
        <v/>
      </c>
      <c r="GI33" s="3">
        <f>ROUND(0.0,2)</f>
        <v/>
      </c>
      <c r="GJ33" s="4">
        <f>IFERROR((GD33/GC33),0)</f>
        <v/>
      </c>
      <c r="GK33" s="4">
        <f>IFERROR(((0+GB11+GB12+GB13+GB14+GB15+GB16+GB17+GB19+GB20+GB21+GB22+GB23+GB24+GB25+GB27+GB28+GB29+GB30+GB31+GB32+GB33)/T2),0)</f>
        <v/>
      </c>
      <c r="GL33" s="5">
        <f>IFERROR(ROUND(GB33/GD33,2),0)</f>
        <v/>
      </c>
      <c r="GM33" s="5">
        <f>IFERROR(ROUND(GB33/GE33,2),0)</f>
        <v/>
      </c>
    </row>
    <row r="34">
      <c r="A34" s="2" t="inlineStr">
        <is>
          <t>3 Weekly Total</t>
        </is>
      </c>
      <c r="B34" s="5">
        <f>ROUND(0.0,2)</f>
        <v/>
      </c>
      <c r="C34" s="3">
        <f>ROUND(0.0,2)</f>
        <v/>
      </c>
      <c r="D34" s="3">
        <f>ROUND(0.0,2)</f>
        <v/>
      </c>
      <c r="E34" s="3">
        <f>ROUND(0.0,2)</f>
        <v/>
      </c>
      <c r="F34" s="3">
        <f>ROUND(0.0,2)</f>
        <v/>
      </c>
      <c r="G34" s="3">
        <f>ROUND(0.0,2)</f>
        <v/>
      </c>
      <c r="H34" s="3">
        <f>ROUND(0.0,2)</f>
        <v/>
      </c>
      <c r="I34" s="3">
        <f>ROUND(0.0,2)</f>
        <v/>
      </c>
      <c r="J34" s="4">
        <f>IFERROR((D34/C34),0)</f>
        <v/>
      </c>
      <c r="K34" s="4">
        <f>IFERROR(((0+B11+B12+B13+B14+B15+B16+B17+B19+B20+B21+B22+B23+B24+B25+B27+B28+B29+B30+B31+B32+B33)/T2),0)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3 Weekly Total</t>
        </is>
      </c>
      <c r="O34" s="5">
        <f>ROUND(0.0,2)</f>
        <v/>
      </c>
      <c r="P34" s="3">
        <f>ROUND(0.0,2)</f>
        <v/>
      </c>
      <c r="Q34" s="3">
        <f>ROUND(0.0,2)</f>
        <v/>
      </c>
      <c r="R34" s="3">
        <f>ROUND(0.0,2)</f>
        <v/>
      </c>
      <c r="S34" s="3">
        <f>ROUND(0.0,2)</f>
        <v/>
      </c>
      <c r="T34" s="3">
        <f>ROUND(0.0,2)</f>
        <v/>
      </c>
      <c r="U34" s="3">
        <f>ROUND(0.0,2)</f>
        <v/>
      </c>
      <c r="V34" s="3">
        <f>ROUND(0.0,2)</f>
        <v/>
      </c>
      <c r="W34" s="4">
        <f>IFERROR((Q34/P34),0)</f>
        <v/>
      </c>
      <c r="X34" s="4">
        <f>IFERROR(((0+O11+O12+O13+O14+O15+O16+O17+O19+O20+O21+O22+O23+O24+O25+O27+O28+O29+O30+O31+O32+O33)/T2),0)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3 Weekly Total</t>
        </is>
      </c>
      <c r="AB34" s="5">
        <f>ROUND(0.0,2)</f>
        <v/>
      </c>
      <c r="AC34" s="3">
        <f>ROUND(0.0,2)</f>
        <v/>
      </c>
      <c r="AD34" s="3">
        <f>ROUND(0.0,2)</f>
        <v/>
      </c>
      <c r="AE34" s="3">
        <f>ROUND(0.0,2)</f>
        <v/>
      </c>
      <c r="AF34" s="3">
        <f>ROUND(0.0,2)</f>
        <v/>
      </c>
      <c r="AG34" s="3">
        <f>ROUND(0.0,2)</f>
        <v/>
      </c>
      <c r="AH34" s="3">
        <f>ROUND(0.0,2)</f>
        <v/>
      </c>
      <c r="AI34" s="3">
        <f>ROUND(0.0,2)</f>
        <v/>
      </c>
      <c r="AJ34" s="4">
        <f>IFERROR((AD34/AC34),0)</f>
        <v/>
      </c>
      <c r="AK34" s="4">
        <f>IFERROR(((0+AB11+AB12+AB13+AB14+AB15+AB16+AB17+AB19+AB20+AB21+AB22+AB23+AB24+AB25+AB27+AB28+AB29+AB30+AB31+AB32+AB33)/T2),0)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3 Weekly Total</t>
        </is>
      </c>
      <c r="AO34" s="5">
        <f>ROUND(0.0,2)</f>
        <v/>
      </c>
      <c r="AP34" s="3">
        <f>ROUND(0.0,2)</f>
        <v/>
      </c>
      <c r="AQ34" s="3">
        <f>ROUND(0.0,2)</f>
        <v/>
      </c>
      <c r="AR34" s="3">
        <f>ROUND(0.0,2)</f>
        <v/>
      </c>
      <c r="AS34" s="3">
        <f>ROUND(0.0,2)</f>
        <v/>
      </c>
      <c r="AT34" s="3">
        <f>ROUND(0.0,2)</f>
        <v/>
      </c>
      <c r="AU34" s="3">
        <f>ROUND(0.0,2)</f>
        <v/>
      </c>
      <c r="AV34" s="3">
        <f>ROUND(0.0,2)</f>
        <v/>
      </c>
      <c r="AW34" s="4">
        <f>IFERROR((AQ34/AP34),0)</f>
        <v/>
      </c>
      <c r="AX34" s="4">
        <f>IFERROR(((0+AO11+AO12+AO13+AO14+AO15+AO16+AO17+AO19+AO20+AO21+AO22+AO23+AO24+AO25+AO27+AO28+AO29+AO30+AO31+AO32+AO33)/T2),0)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3 Weekly Total</t>
        </is>
      </c>
      <c r="BB34" s="5">
        <f>ROUND(0.0,2)</f>
        <v/>
      </c>
      <c r="BC34" s="3">
        <f>ROUND(0.0,2)</f>
        <v/>
      </c>
      <c r="BD34" s="3">
        <f>ROUND(0.0,2)</f>
        <v/>
      </c>
      <c r="BE34" s="3">
        <f>ROUND(0.0,2)</f>
        <v/>
      </c>
      <c r="BF34" s="3">
        <f>ROUND(0.0,2)</f>
        <v/>
      </c>
      <c r="BG34" s="3">
        <f>ROUND(0.0,2)</f>
        <v/>
      </c>
      <c r="BH34" s="3">
        <f>ROUND(0.0,2)</f>
        <v/>
      </c>
      <c r="BI34" s="3">
        <f>ROUND(0.0,2)</f>
        <v/>
      </c>
      <c r="BJ34" s="4">
        <f>IFERROR((BD34/BC34),0)</f>
        <v/>
      </c>
      <c r="BK34" s="4">
        <f>IFERROR(((0+BB11+BB12+BB13+BB14+BB15+BB16+BB17+BB19+BB20+BB21+BB22+BB23+BB24+BB25+BB27+BB28+BB29+BB30+BB31+BB32+BB33)/T2),0)</f>
        <v/>
      </c>
      <c r="BL34" s="5">
        <f>IFERROR(ROUND(BB34/BD34,2),0)</f>
        <v/>
      </c>
      <c r="BM34" s="5">
        <f>IFERROR(ROUND(BB34/BE34,2),0)</f>
        <v/>
      </c>
      <c r="BN34" s="2" t="inlineStr">
        <is>
          <t>3 Weekly Total</t>
        </is>
      </c>
      <c r="BO34" s="5">
        <f>ROUND(0.0,2)</f>
        <v/>
      </c>
      <c r="BP34" s="3">
        <f>ROUND(0.0,2)</f>
        <v/>
      </c>
      <c r="BQ34" s="3">
        <f>ROUND(0.0,2)</f>
        <v/>
      </c>
      <c r="BR34" s="3">
        <f>ROUND(0.0,2)</f>
        <v/>
      </c>
      <c r="BS34" s="3">
        <f>ROUND(0.0,2)</f>
        <v/>
      </c>
      <c r="BT34" s="3">
        <f>ROUND(0.0,2)</f>
        <v/>
      </c>
      <c r="BU34" s="3">
        <f>ROUND(0.0,2)</f>
        <v/>
      </c>
      <c r="BV34" s="3">
        <f>ROUND(0.0,2)</f>
        <v/>
      </c>
      <c r="BW34" s="4">
        <f>IFERROR((BQ34/BP34),0)</f>
        <v/>
      </c>
      <c r="BX34" s="4">
        <f>IFERROR(((0+BO11+BO12+BO13+BO14+BO15+BO16+BO17+BO19+BO20+BO21+BO22+BO23+BO24+BO25+BO27+BO28+BO29+BO30+BO31+BO32+BO33)/T2),0)</f>
        <v/>
      </c>
      <c r="BY34" s="5">
        <f>IFERROR(ROUND(BO34/BQ34,2),0)</f>
        <v/>
      </c>
      <c r="BZ34" s="5">
        <f>IFERROR(ROUND(BO34/BR34,2),0)</f>
        <v/>
      </c>
      <c r="CA34" s="2" t="inlineStr">
        <is>
          <t>3 Weekly Total</t>
        </is>
      </c>
      <c r="CB34" s="5">
        <f>ROUND(0.0,2)</f>
        <v/>
      </c>
      <c r="CC34" s="3">
        <f>ROUND(0.0,2)</f>
        <v/>
      </c>
      <c r="CD34" s="3">
        <f>ROUND(0.0,2)</f>
        <v/>
      </c>
      <c r="CE34" s="3">
        <f>ROUND(0.0,2)</f>
        <v/>
      </c>
      <c r="CF34" s="3">
        <f>ROUND(0.0,2)</f>
        <v/>
      </c>
      <c r="CG34" s="3">
        <f>ROUND(0.0,2)</f>
        <v/>
      </c>
      <c r="CH34" s="3">
        <f>ROUND(0.0,2)</f>
        <v/>
      </c>
      <c r="CI34" s="3">
        <f>ROUND(0.0,2)</f>
        <v/>
      </c>
      <c r="CJ34" s="4">
        <f>IFERROR((CD34/CC34),0)</f>
        <v/>
      </c>
      <c r="CK34" s="4">
        <f>IFERROR(((0+CB11+CB12+CB13+CB14+CB15+CB16+CB17+CB19+CB20+CB21+CB22+CB23+CB24+CB25+CB27+CB28+CB29+CB30+CB31+CB32+CB33)/T2),0)</f>
        <v/>
      </c>
      <c r="CL34" s="5">
        <f>IFERROR(ROUND(CB34/CD34,2),0)</f>
        <v/>
      </c>
      <c r="CM34" s="5">
        <f>IFERROR(ROUND(CB34/CE34,2),0)</f>
        <v/>
      </c>
      <c r="CN34" s="2" t="inlineStr">
        <is>
          <t>3 Weekly Total</t>
        </is>
      </c>
      <c r="CO34" s="5">
        <f>ROUND(0.0,2)</f>
        <v/>
      </c>
      <c r="CP34" s="3">
        <f>ROUND(0.0,2)</f>
        <v/>
      </c>
      <c r="CQ34" s="3">
        <f>ROUND(0.0,2)</f>
        <v/>
      </c>
      <c r="CR34" s="3">
        <f>ROUND(0.0,2)</f>
        <v/>
      </c>
      <c r="CS34" s="3">
        <f>ROUND(0.0,2)</f>
        <v/>
      </c>
      <c r="CT34" s="3">
        <f>ROUND(0.0,2)</f>
        <v/>
      </c>
      <c r="CU34" s="3">
        <f>ROUND(0.0,2)</f>
        <v/>
      </c>
      <c r="CV34" s="3">
        <f>ROUND(0.0,2)</f>
        <v/>
      </c>
      <c r="CW34" s="4">
        <f>IFERROR((CQ34/CP34),0)</f>
        <v/>
      </c>
      <c r="CX34" s="4">
        <f>IFERROR(((0+CO11+CO12+CO13+CO14+CO15+CO16+CO17+CO19+CO20+CO21+CO22+CO23+CO24+CO25+CO27+CO28+CO29+CO30+CO31+CO32+CO33)/T2),0)</f>
        <v/>
      </c>
      <c r="CY34" s="5">
        <f>IFERROR(ROUND(CO34/CQ34,2),0)</f>
        <v/>
      </c>
      <c r="CZ34" s="5">
        <f>IFERROR(ROUND(CO34/CR34,2),0)</f>
        <v/>
      </c>
      <c r="DA34" s="2" t="inlineStr">
        <is>
          <t>3 Weekly Total</t>
        </is>
      </c>
      <c r="DB34" s="5">
        <f>ROUND(0.0,2)</f>
        <v/>
      </c>
      <c r="DC34" s="3">
        <f>ROUND(0.0,2)</f>
        <v/>
      </c>
      <c r="DD34" s="3">
        <f>ROUND(0.0,2)</f>
        <v/>
      </c>
      <c r="DE34" s="3">
        <f>ROUND(0.0,2)</f>
        <v/>
      </c>
      <c r="DF34" s="3">
        <f>ROUND(0.0,2)</f>
        <v/>
      </c>
      <c r="DG34" s="3">
        <f>ROUND(0.0,2)</f>
        <v/>
      </c>
      <c r="DH34" s="3">
        <f>ROUND(0.0,2)</f>
        <v/>
      </c>
      <c r="DI34" s="3">
        <f>ROUND(0.0,2)</f>
        <v/>
      </c>
      <c r="DJ34" s="4">
        <f>IFERROR((DD34/DC34),0)</f>
        <v/>
      </c>
      <c r="DK34" s="4">
        <f>IFERROR(((0+DB11+DB12+DB13+DB14+DB15+DB16+DB17+DB19+DB20+DB21+DB22+DB23+DB24+DB25+DB27+DB28+DB29+DB30+DB31+DB32+DB33)/T2),0)</f>
        <v/>
      </c>
      <c r="DL34" s="5">
        <f>IFERROR(ROUND(DB34/DD34,2),0)</f>
        <v/>
      </c>
      <c r="DM34" s="5">
        <f>IFERROR(ROUND(DB34/DE34,2),0)</f>
        <v/>
      </c>
      <c r="DN34" s="2" t="inlineStr">
        <is>
          <t>3 Weekly Total</t>
        </is>
      </c>
      <c r="DO34" s="5">
        <f>ROUND(0.0,2)</f>
        <v/>
      </c>
      <c r="DP34" s="3">
        <f>ROUND(0.0,2)</f>
        <v/>
      </c>
      <c r="DQ34" s="3">
        <f>ROUND(0.0,2)</f>
        <v/>
      </c>
      <c r="DR34" s="3">
        <f>ROUND(0.0,2)</f>
        <v/>
      </c>
      <c r="DS34" s="3">
        <f>ROUND(0.0,2)</f>
        <v/>
      </c>
      <c r="DT34" s="3">
        <f>ROUND(0.0,2)</f>
        <v/>
      </c>
      <c r="DU34" s="3">
        <f>ROUND(0.0,2)</f>
        <v/>
      </c>
      <c r="DV34" s="3">
        <f>ROUND(0.0,2)</f>
        <v/>
      </c>
      <c r="DW34" s="4">
        <f>IFERROR((DQ34/DP34),0)</f>
        <v/>
      </c>
      <c r="DX34" s="4">
        <f>IFERROR(((0+DO11+DO12+DO13+DO14+DO15+DO16+DO17+DO19+DO20+DO21+DO22+DO23+DO24+DO25+DO27+DO28+DO29+DO30+DO31+DO32+DO33)/T2),0)</f>
        <v/>
      </c>
      <c r="DY34" s="5">
        <f>IFERROR(ROUND(DO34/DQ34,2),0)</f>
        <v/>
      </c>
      <c r="DZ34" s="5">
        <f>IFERROR(ROUND(DO34/DR34,2),0)</f>
        <v/>
      </c>
      <c r="EA34" s="2" t="inlineStr">
        <is>
          <t>3 Weekly Total</t>
        </is>
      </c>
      <c r="EB34" s="5">
        <f>ROUND(0.0,2)</f>
        <v/>
      </c>
      <c r="EC34" s="3">
        <f>ROUND(0.0,2)</f>
        <v/>
      </c>
      <c r="ED34" s="3">
        <f>ROUND(0.0,2)</f>
        <v/>
      </c>
      <c r="EE34" s="3">
        <f>ROUND(0.0,2)</f>
        <v/>
      </c>
      <c r="EF34" s="3">
        <f>ROUND(0.0,2)</f>
        <v/>
      </c>
      <c r="EG34" s="3">
        <f>ROUND(0.0,2)</f>
        <v/>
      </c>
      <c r="EH34" s="3">
        <f>ROUND(0.0,2)</f>
        <v/>
      </c>
      <c r="EI34" s="3">
        <f>ROUND(0.0,2)</f>
        <v/>
      </c>
      <c r="EJ34" s="4">
        <f>IFERROR((ED34/EC34),0)</f>
        <v/>
      </c>
      <c r="EK34" s="4">
        <f>IFERROR(((0+EB11+EB12+EB13+EB14+EB15+EB16+EB17+EB19+EB20+EB21+EB22+EB23+EB24+EB25+EB27+EB28+EB29+EB30+EB31+EB32+EB33)/T2),0)</f>
        <v/>
      </c>
      <c r="EL34" s="5">
        <f>IFERROR(ROUND(EB34/ED34,2),0)</f>
        <v/>
      </c>
      <c r="EM34" s="5">
        <f>IFERROR(ROUND(EB34/EE34,2),0)</f>
        <v/>
      </c>
      <c r="EN34" s="2" t="inlineStr">
        <is>
          <t>3 Weekly Total</t>
        </is>
      </c>
      <c r="EO34" s="5">
        <f>ROUND(0.0,2)</f>
        <v/>
      </c>
      <c r="EP34" s="3">
        <f>ROUND(0.0,2)</f>
        <v/>
      </c>
      <c r="EQ34" s="3">
        <f>ROUND(0.0,2)</f>
        <v/>
      </c>
      <c r="ER34" s="3">
        <f>ROUND(0.0,2)</f>
        <v/>
      </c>
      <c r="ES34" s="3">
        <f>ROUND(0.0,2)</f>
        <v/>
      </c>
      <c r="ET34" s="3">
        <f>ROUND(0.0,2)</f>
        <v/>
      </c>
      <c r="EU34" s="3">
        <f>ROUND(0.0,2)</f>
        <v/>
      </c>
      <c r="EV34" s="3">
        <f>ROUND(0.0,2)</f>
        <v/>
      </c>
      <c r="EW34" s="4">
        <f>IFERROR((EQ34/EP34),0)</f>
        <v/>
      </c>
      <c r="EX34" s="4">
        <f>IFERROR(((0+EO11+EO12+EO13+EO14+EO15+EO16+EO17+EO19+EO20+EO21+EO22+EO23+EO24+EO25+EO27+EO28+EO29+EO30+EO31+EO32+EO33)/T2),0)</f>
        <v/>
      </c>
      <c r="EY34" s="5">
        <f>IFERROR(ROUND(EO34/EQ34,2),0)</f>
        <v/>
      </c>
      <c r="EZ34" s="5">
        <f>IFERROR(ROUND(EO34/ER34,2),0)</f>
        <v/>
      </c>
      <c r="FA34" s="2" t="inlineStr">
        <is>
          <t>3 Weekly Total</t>
        </is>
      </c>
      <c r="FB34" s="5">
        <f>ROUND(0.0,2)</f>
        <v/>
      </c>
      <c r="FC34" s="3">
        <f>ROUND(0.0,2)</f>
        <v/>
      </c>
      <c r="FD34" s="3">
        <f>ROUND(0.0,2)</f>
        <v/>
      </c>
      <c r="FE34" s="3">
        <f>ROUND(0.0,2)</f>
        <v/>
      </c>
      <c r="FF34" s="3">
        <f>ROUND(0.0,2)</f>
        <v/>
      </c>
      <c r="FG34" s="3">
        <f>ROUND(0.0,2)</f>
        <v/>
      </c>
      <c r="FH34" s="3">
        <f>ROUND(0.0,2)</f>
        <v/>
      </c>
      <c r="FI34" s="3">
        <f>ROUND(0.0,2)</f>
        <v/>
      </c>
      <c r="FJ34" s="4">
        <f>IFERROR((FD34/FC34),0)</f>
        <v/>
      </c>
      <c r="FK34" s="4">
        <f>IFERROR(((0+FB11+FB12+FB13+FB14+FB15+FB16+FB17+FB19+FB20+FB21+FB22+FB23+FB24+FB25+FB27+FB28+FB29+FB30+FB31+FB32+FB33)/T2),0)</f>
        <v/>
      </c>
      <c r="FL34" s="5">
        <f>IFERROR(ROUND(FB34/FD34,2),0)</f>
        <v/>
      </c>
      <c r="FM34" s="5">
        <f>IFERROR(ROUND(FB34/FE34,2),0)</f>
        <v/>
      </c>
      <c r="FN34" s="2" t="inlineStr">
        <is>
          <t>3 Weekly Total</t>
        </is>
      </c>
      <c r="FO34" s="5">
        <f>ROUND(0.0,2)</f>
        <v/>
      </c>
      <c r="FP34" s="3">
        <f>ROUND(0.0,2)</f>
        <v/>
      </c>
      <c r="FQ34" s="3">
        <f>ROUND(0.0,2)</f>
        <v/>
      </c>
      <c r="FR34" s="3">
        <f>ROUND(0.0,2)</f>
        <v/>
      </c>
      <c r="FS34" s="3">
        <f>ROUND(0.0,2)</f>
        <v/>
      </c>
      <c r="FT34" s="3">
        <f>ROUND(0.0,2)</f>
        <v/>
      </c>
      <c r="FU34" s="3">
        <f>ROUND(0.0,2)</f>
        <v/>
      </c>
      <c r="FV34" s="3">
        <f>ROUND(0.0,2)</f>
        <v/>
      </c>
      <c r="FW34" s="4">
        <f>IFERROR((FQ34/FP34),0)</f>
        <v/>
      </c>
      <c r="FX34" s="4">
        <f>IFERROR(((0+FO11+FO12+FO13+FO14+FO15+FO16+FO17+FO19+FO20+FO21+FO22+FO23+FO24+FO25+FO27+FO28+FO29+FO30+FO31+FO32+FO33)/T2),0)</f>
        <v/>
      </c>
      <c r="FY34" s="5">
        <f>IFERROR(ROUND(FO34/FQ34,2),0)</f>
        <v/>
      </c>
      <c r="FZ34" s="5">
        <f>IFERROR(ROUND(FO34/FR34,2),0)</f>
        <v/>
      </c>
      <c r="GA34" s="2" t="inlineStr">
        <is>
          <t>3 Weekly Total</t>
        </is>
      </c>
      <c r="GB34" s="5">
        <f>ROUND(0.0,2)</f>
        <v/>
      </c>
      <c r="GC34" s="3">
        <f>ROUND(0.0,2)</f>
        <v/>
      </c>
      <c r="GD34" s="3">
        <f>ROUND(0.0,2)</f>
        <v/>
      </c>
      <c r="GE34" s="3">
        <f>ROUND(0.0,2)</f>
        <v/>
      </c>
      <c r="GF34" s="3">
        <f>ROUND(0.0,2)</f>
        <v/>
      </c>
      <c r="GG34" s="3">
        <f>ROUND(0.0,2)</f>
        <v/>
      </c>
      <c r="GH34" s="3">
        <f>ROUND(0.0,2)</f>
        <v/>
      </c>
      <c r="GI34" s="3">
        <f>ROUND(0.0,2)</f>
        <v/>
      </c>
      <c r="GJ34" s="4">
        <f>IFERROR((GD34/GC34),0)</f>
        <v/>
      </c>
      <c r="GK34" s="4">
        <f>IFERROR(((0+GB11+GB12+GB13+GB14+GB15+GB16+GB17+GB19+GB20+GB21+GB22+GB23+GB24+GB25+GB27+GB28+GB29+GB30+GB31+GB32+GB33)/T2),0)</f>
        <v/>
      </c>
      <c r="GL34" s="5">
        <f>IFERROR(ROUND(GB34/GD34,2),0)</f>
        <v/>
      </c>
      <c r="GM34" s="5">
        <f>IFERROR(ROUND(GB34/GE34,2),0)</f>
        <v/>
      </c>
    </row>
    <row r="35">
      <c r="A35" s="2" t="inlineStr">
        <is>
          <t>2023-10-11</t>
        </is>
      </c>
      <c r="B35" s="5">
        <f>ROUND(0.0,2)</f>
        <v/>
      </c>
      <c r="C35" s="3">
        <f>ROUND(0.0,2)</f>
        <v/>
      </c>
      <c r="D35" s="3">
        <f>ROUND(0.0,2)</f>
        <v/>
      </c>
      <c r="E35" s="3">
        <f>ROUND(0.0,2)</f>
        <v/>
      </c>
      <c r="F35" s="3">
        <f>ROUND(0.0,2)</f>
        <v/>
      </c>
      <c r="G35" s="3">
        <f>ROUND(0.0,2)</f>
        <v/>
      </c>
      <c r="H35" s="3">
        <f>ROUND(0.0,2)</f>
        <v/>
      </c>
      <c r="I35" s="3">
        <f>ROUND(0.0,2)</f>
        <v/>
      </c>
      <c r="J35" s="4">
        <f>IFERROR((D35/C35),0)</f>
        <v/>
      </c>
      <c r="K35" s="4">
        <f>IFERROR(((0+B11+B12+B13+B14+B15+B16+B17+B19+B20+B21+B22+B23+B24+B25+B27+B28+B29+B30+B31+B32+B33+B35)/T2),0)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2023-10-11</t>
        </is>
      </c>
      <c r="O35" s="5">
        <f>ROUND(0.0,2)</f>
        <v/>
      </c>
      <c r="P35" s="3">
        <f>ROUND(0.0,2)</f>
        <v/>
      </c>
      <c r="Q35" s="3">
        <f>ROUND(0.0,2)</f>
        <v/>
      </c>
      <c r="R35" s="3">
        <f>ROUND(0.0,2)</f>
        <v/>
      </c>
      <c r="S35" s="3">
        <f>ROUND(0.0,2)</f>
        <v/>
      </c>
      <c r="T35" s="3">
        <f>ROUND(0.0,2)</f>
        <v/>
      </c>
      <c r="U35" s="3">
        <f>ROUND(0.0,2)</f>
        <v/>
      </c>
      <c r="V35" s="3">
        <f>ROUND(0.0,2)</f>
        <v/>
      </c>
      <c r="W35" s="4">
        <f>IFERROR((Q35/P35),0)</f>
        <v/>
      </c>
      <c r="X35" s="4">
        <f>IFERROR(((0+O11+O12+O13+O14+O15+O16+O17+O19+O20+O21+O22+O23+O24+O25+O27+O28+O29+O30+O31+O32+O33+O35)/T2),0)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2023-10-11</t>
        </is>
      </c>
      <c r="AB35" s="5">
        <f>ROUND(0.0,2)</f>
        <v/>
      </c>
      <c r="AC35" s="3">
        <f>ROUND(0.0,2)</f>
        <v/>
      </c>
      <c r="AD35" s="3">
        <f>ROUND(0.0,2)</f>
        <v/>
      </c>
      <c r="AE35" s="3">
        <f>ROUND(0.0,2)</f>
        <v/>
      </c>
      <c r="AF35" s="3">
        <f>ROUND(0.0,2)</f>
        <v/>
      </c>
      <c r="AG35" s="3">
        <f>ROUND(0.0,2)</f>
        <v/>
      </c>
      <c r="AH35" s="3">
        <f>ROUND(0.0,2)</f>
        <v/>
      </c>
      <c r="AI35" s="3">
        <f>ROUND(0.0,2)</f>
        <v/>
      </c>
      <c r="AJ35" s="4">
        <f>IFERROR((AD35/AC35),0)</f>
        <v/>
      </c>
      <c r="AK35" s="4">
        <f>IFERROR(((0+AB11+AB12+AB13+AB14+AB15+AB16+AB17+AB19+AB20+AB21+AB22+AB23+AB24+AB25+AB27+AB28+AB29+AB30+AB31+AB32+AB33+AB35)/T2),0)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2023-10-11</t>
        </is>
      </c>
      <c r="AO35" s="5">
        <f>ROUND(0.0,2)</f>
        <v/>
      </c>
      <c r="AP35" s="3">
        <f>ROUND(0.0,2)</f>
        <v/>
      </c>
      <c r="AQ35" s="3">
        <f>ROUND(0.0,2)</f>
        <v/>
      </c>
      <c r="AR35" s="3">
        <f>ROUND(0.0,2)</f>
        <v/>
      </c>
      <c r="AS35" s="3">
        <f>ROUND(0.0,2)</f>
        <v/>
      </c>
      <c r="AT35" s="3">
        <f>ROUND(0.0,2)</f>
        <v/>
      </c>
      <c r="AU35" s="3">
        <f>ROUND(0.0,2)</f>
        <v/>
      </c>
      <c r="AV35" s="3">
        <f>ROUND(0.0,2)</f>
        <v/>
      </c>
      <c r="AW35" s="4">
        <f>IFERROR((AQ35/AP35),0)</f>
        <v/>
      </c>
      <c r="AX35" s="4">
        <f>IFERROR(((0+AO11+AO12+AO13+AO14+AO15+AO16+AO17+AO19+AO20+AO21+AO22+AO23+AO24+AO25+AO27+AO28+AO29+AO30+AO31+AO32+AO33+AO35)/T2),0)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2023-10-11</t>
        </is>
      </c>
      <c r="BB35" s="5">
        <f>ROUND(0.0,2)</f>
        <v/>
      </c>
      <c r="BC35" s="3">
        <f>ROUND(0.0,2)</f>
        <v/>
      </c>
      <c r="BD35" s="3">
        <f>ROUND(0.0,2)</f>
        <v/>
      </c>
      <c r="BE35" s="3">
        <f>ROUND(0.0,2)</f>
        <v/>
      </c>
      <c r="BF35" s="3">
        <f>ROUND(0.0,2)</f>
        <v/>
      </c>
      <c r="BG35" s="3">
        <f>ROUND(0.0,2)</f>
        <v/>
      </c>
      <c r="BH35" s="3">
        <f>ROUND(0.0,2)</f>
        <v/>
      </c>
      <c r="BI35" s="3">
        <f>ROUND(0.0,2)</f>
        <v/>
      </c>
      <c r="BJ35" s="4">
        <f>IFERROR((BD35/BC35),0)</f>
        <v/>
      </c>
      <c r="BK35" s="4">
        <f>IFERROR(((0+BB11+BB12+BB13+BB14+BB15+BB16+BB17+BB19+BB20+BB21+BB22+BB23+BB24+BB25+BB27+BB28+BB29+BB30+BB31+BB32+BB33+BB35)/T2),0)</f>
        <v/>
      </c>
      <c r="BL35" s="5">
        <f>IFERROR(ROUND(BB35/BD35,2),0)</f>
        <v/>
      </c>
      <c r="BM35" s="5">
        <f>IFERROR(ROUND(BB35/BE35,2),0)</f>
        <v/>
      </c>
      <c r="BN35" s="2" t="inlineStr">
        <is>
          <t>2023-10-11</t>
        </is>
      </c>
      <c r="BO35" s="5">
        <f>ROUND(0.0,2)</f>
        <v/>
      </c>
      <c r="BP35" s="3">
        <f>ROUND(0.0,2)</f>
        <v/>
      </c>
      <c r="BQ35" s="3">
        <f>ROUND(0.0,2)</f>
        <v/>
      </c>
      <c r="BR35" s="3">
        <f>ROUND(0.0,2)</f>
        <v/>
      </c>
      <c r="BS35" s="3">
        <f>ROUND(0.0,2)</f>
        <v/>
      </c>
      <c r="BT35" s="3">
        <f>ROUND(0.0,2)</f>
        <v/>
      </c>
      <c r="BU35" s="3">
        <f>ROUND(0.0,2)</f>
        <v/>
      </c>
      <c r="BV35" s="3">
        <f>ROUND(0.0,2)</f>
        <v/>
      </c>
      <c r="BW35" s="4">
        <f>IFERROR((BQ35/BP35),0)</f>
        <v/>
      </c>
      <c r="BX35" s="4">
        <f>IFERROR(((0+BO11+BO12+BO13+BO14+BO15+BO16+BO17+BO19+BO20+BO21+BO22+BO23+BO24+BO25+BO27+BO28+BO29+BO30+BO31+BO32+BO33+BO35)/T2),0)</f>
        <v/>
      </c>
      <c r="BY35" s="5">
        <f>IFERROR(ROUND(BO35/BQ35,2),0)</f>
        <v/>
      </c>
      <c r="BZ35" s="5">
        <f>IFERROR(ROUND(BO35/BR35,2),0)</f>
        <v/>
      </c>
      <c r="CA35" s="2" t="inlineStr">
        <is>
          <t>2023-10-11</t>
        </is>
      </c>
      <c r="CB35" s="5">
        <f>ROUND(0.0,2)</f>
        <v/>
      </c>
      <c r="CC35" s="3">
        <f>ROUND(0.0,2)</f>
        <v/>
      </c>
      <c r="CD35" s="3">
        <f>ROUND(0.0,2)</f>
        <v/>
      </c>
      <c r="CE35" s="3">
        <f>ROUND(0.0,2)</f>
        <v/>
      </c>
      <c r="CF35" s="3">
        <f>ROUND(0.0,2)</f>
        <v/>
      </c>
      <c r="CG35" s="3">
        <f>ROUND(0.0,2)</f>
        <v/>
      </c>
      <c r="CH35" s="3">
        <f>ROUND(0.0,2)</f>
        <v/>
      </c>
      <c r="CI35" s="3">
        <f>ROUND(0.0,2)</f>
        <v/>
      </c>
      <c r="CJ35" s="4">
        <f>IFERROR((CD35/CC35),0)</f>
        <v/>
      </c>
      <c r="CK35" s="4">
        <f>IFERROR(((0+CB11+CB12+CB13+CB14+CB15+CB16+CB17+CB19+CB20+CB21+CB22+CB23+CB24+CB25+CB27+CB28+CB29+CB30+CB31+CB32+CB33+CB35)/T2),0)</f>
        <v/>
      </c>
      <c r="CL35" s="5">
        <f>IFERROR(ROUND(CB35/CD35,2),0)</f>
        <v/>
      </c>
      <c r="CM35" s="5">
        <f>IFERROR(ROUND(CB35/CE35,2),0)</f>
        <v/>
      </c>
      <c r="CN35" s="2" t="inlineStr">
        <is>
          <t>2023-10-11</t>
        </is>
      </c>
      <c r="CO35" s="5">
        <f>ROUND(0.0,2)</f>
        <v/>
      </c>
      <c r="CP35" s="3">
        <f>ROUND(0.0,2)</f>
        <v/>
      </c>
      <c r="CQ35" s="3">
        <f>ROUND(0.0,2)</f>
        <v/>
      </c>
      <c r="CR35" s="3">
        <f>ROUND(0.0,2)</f>
        <v/>
      </c>
      <c r="CS35" s="3">
        <f>ROUND(0.0,2)</f>
        <v/>
      </c>
      <c r="CT35" s="3">
        <f>ROUND(0.0,2)</f>
        <v/>
      </c>
      <c r="CU35" s="3">
        <f>ROUND(0.0,2)</f>
        <v/>
      </c>
      <c r="CV35" s="3">
        <f>ROUND(0.0,2)</f>
        <v/>
      </c>
      <c r="CW35" s="4">
        <f>IFERROR((CQ35/CP35),0)</f>
        <v/>
      </c>
      <c r="CX35" s="4">
        <f>IFERROR(((0+CO11+CO12+CO13+CO14+CO15+CO16+CO17+CO19+CO20+CO21+CO22+CO23+CO24+CO25+CO27+CO28+CO29+CO30+CO31+CO32+CO33+CO35)/T2),0)</f>
        <v/>
      </c>
      <c r="CY35" s="5">
        <f>IFERROR(ROUND(CO35/CQ35,2),0)</f>
        <v/>
      </c>
      <c r="CZ35" s="5">
        <f>IFERROR(ROUND(CO35/CR35,2),0)</f>
        <v/>
      </c>
      <c r="DA35" s="2" t="inlineStr">
        <is>
          <t>2023-10-11</t>
        </is>
      </c>
      <c r="DB35" s="5">
        <f>ROUND(0.0,2)</f>
        <v/>
      </c>
      <c r="DC35" s="3">
        <f>ROUND(0.0,2)</f>
        <v/>
      </c>
      <c r="DD35" s="3">
        <f>ROUND(0.0,2)</f>
        <v/>
      </c>
      <c r="DE35" s="3">
        <f>ROUND(0.0,2)</f>
        <v/>
      </c>
      <c r="DF35" s="3">
        <f>ROUND(0.0,2)</f>
        <v/>
      </c>
      <c r="DG35" s="3">
        <f>ROUND(0.0,2)</f>
        <v/>
      </c>
      <c r="DH35" s="3">
        <f>ROUND(0.0,2)</f>
        <v/>
      </c>
      <c r="DI35" s="3">
        <f>ROUND(0.0,2)</f>
        <v/>
      </c>
      <c r="DJ35" s="4">
        <f>IFERROR((DD35/DC35),0)</f>
        <v/>
      </c>
      <c r="DK35" s="4">
        <f>IFERROR(((0+DB11+DB12+DB13+DB14+DB15+DB16+DB17+DB19+DB20+DB21+DB22+DB23+DB24+DB25+DB27+DB28+DB29+DB30+DB31+DB32+DB33+DB35)/T2),0)</f>
        <v/>
      </c>
      <c r="DL35" s="5">
        <f>IFERROR(ROUND(DB35/DD35,2),0)</f>
        <v/>
      </c>
      <c r="DM35" s="5">
        <f>IFERROR(ROUND(DB35/DE35,2),0)</f>
        <v/>
      </c>
      <c r="DN35" s="2" t="inlineStr">
        <is>
          <t>2023-10-11</t>
        </is>
      </c>
      <c r="DO35" s="5">
        <f>ROUND(0.0,2)</f>
        <v/>
      </c>
      <c r="DP35" s="3">
        <f>ROUND(0.0,2)</f>
        <v/>
      </c>
      <c r="DQ35" s="3">
        <f>ROUND(0.0,2)</f>
        <v/>
      </c>
      <c r="DR35" s="3">
        <f>ROUND(0.0,2)</f>
        <v/>
      </c>
      <c r="DS35" s="3">
        <f>ROUND(0.0,2)</f>
        <v/>
      </c>
      <c r="DT35" s="3">
        <f>ROUND(0.0,2)</f>
        <v/>
      </c>
      <c r="DU35" s="3">
        <f>ROUND(0.0,2)</f>
        <v/>
      </c>
      <c r="DV35" s="3">
        <f>ROUND(0.0,2)</f>
        <v/>
      </c>
      <c r="DW35" s="4">
        <f>IFERROR((DQ35/DP35),0)</f>
        <v/>
      </c>
      <c r="DX35" s="4">
        <f>IFERROR(((0+DO11+DO12+DO13+DO14+DO15+DO16+DO17+DO19+DO20+DO21+DO22+DO23+DO24+DO25+DO27+DO28+DO29+DO30+DO31+DO32+DO33+DO35)/T2),0)</f>
        <v/>
      </c>
      <c r="DY35" s="5">
        <f>IFERROR(ROUND(DO35/DQ35,2),0)</f>
        <v/>
      </c>
      <c r="DZ35" s="5">
        <f>IFERROR(ROUND(DO35/DR35,2),0)</f>
        <v/>
      </c>
      <c r="EA35" s="2" t="inlineStr">
        <is>
          <t>2023-10-11</t>
        </is>
      </c>
      <c r="EB35" s="5">
        <f>ROUND(0.0,2)</f>
        <v/>
      </c>
      <c r="EC35" s="3">
        <f>ROUND(0.0,2)</f>
        <v/>
      </c>
      <c r="ED35" s="3">
        <f>ROUND(0.0,2)</f>
        <v/>
      </c>
      <c r="EE35" s="3">
        <f>ROUND(0.0,2)</f>
        <v/>
      </c>
      <c r="EF35" s="3">
        <f>ROUND(0.0,2)</f>
        <v/>
      </c>
      <c r="EG35" s="3">
        <f>ROUND(0.0,2)</f>
        <v/>
      </c>
      <c r="EH35" s="3">
        <f>ROUND(0.0,2)</f>
        <v/>
      </c>
      <c r="EI35" s="3">
        <f>ROUND(0.0,2)</f>
        <v/>
      </c>
      <c r="EJ35" s="4">
        <f>IFERROR((ED35/EC35),0)</f>
        <v/>
      </c>
      <c r="EK35" s="4">
        <f>IFERROR(((0+EB11+EB12+EB13+EB14+EB15+EB16+EB17+EB19+EB20+EB21+EB22+EB23+EB24+EB25+EB27+EB28+EB29+EB30+EB31+EB32+EB33+EB35)/T2),0)</f>
        <v/>
      </c>
      <c r="EL35" s="5">
        <f>IFERROR(ROUND(EB35/ED35,2),0)</f>
        <v/>
      </c>
      <c r="EM35" s="5">
        <f>IFERROR(ROUND(EB35/EE35,2),0)</f>
        <v/>
      </c>
      <c r="EN35" s="2" t="inlineStr">
        <is>
          <t>2023-10-11</t>
        </is>
      </c>
      <c r="EO35" s="5">
        <f>ROUND(0.0,2)</f>
        <v/>
      </c>
      <c r="EP35" s="3">
        <f>ROUND(0.0,2)</f>
        <v/>
      </c>
      <c r="EQ35" s="3">
        <f>ROUND(0.0,2)</f>
        <v/>
      </c>
      <c r="ER35" s="3">
        <f>ROUND(0.0,2)</f>
        <v/>
      </c>
      <c r="ES35" s="3">
        <f>ROUND(0.0,2)</f>
        <v/>
      </c>
      <c r="ET35" s="3">
        <f>ROUND(0.0,2)</f>
        <v/>
      </c>
      <c r="EU35" s="3">
        <f>ROUND(0.0,2)</f>
        <v/>
      </c>
      <c r="EV35" s="3">
        <f>ROUND(0.0,2)</f>
        <v/>
      </c>
      <c r="EW35" s="4">
        <f>IFERROR((EQ35/EP35),0)</f>
        <v/>
      </c>
      <c r="EX35" s="4">
        <f>IFERROR(((0+EO11+EO12+EO13+EO14+EO15+EO16+EO17+EO19+EO20+EO21+EO22+EO23+EO24+EO25+EO27+EO28+EO29+EO30+EO31+EO32+EO33+EO35)/T2),0)</f>
        <v/>
      </c>
      <c r="EY35" s="5">
        <f>IFERROR(ROUND(EO35/EQ35,2),0)</f>
        <v/>
      </c>
      <c r="EZ35" s="5">
        <f>IFERROR(ROUND(EO35/ER35,2),0)</f>
        <v/>
      </c>
      <c r="FA35" s="2" t="inlineStr">
        <is>
          <t>2023-10-11</t>
        </is>
      </c>
      <c r="FB35" s="5">
        <f>ROUND(0.0,2)</f>
        <v/>
      </c>
      <c r="FC35" s="3">
        <f>ROUND(0.0,2)</f>
        <v/>
      </c>
      <c r="FD35" s="3">
        <f>ROUND(0.0,2)</f>
        <v/>
      </c>
      <c r="FE35" s="3">
        <f>ROUND(0.0,2)</f>
        <v/>
      </c>
      <c r="FF35" s="3">
        <f>ROUND(0.0,2)</f>
        <v/>
      </c>
      <c r="FG35" s="3">
        <f>ROUND(0.0,2)</f>
        <v/>
      </c>
      <c r="FH35" s="3">
        <f>ROUND(0.0,2)</f>
        <v/>
      </c>
      <c r="FI35" s="3">
        <f>ROUND(0.0,2)</f>
        <v/>
      </c>
      <c r="FJ35" s="4">
        <f>IFERROR((FD35/FC35),0)</f>
        <v/>
      </c>
      <c r="FK35" s="4">
        <f>IFERROR(((0+FB11+FB12+FB13+FB14+FB15+FB16+FB17+FB19+FB20+FB21+FB22+FB23+FB24+FB25+FB27+FB28+FB29+FB30+FB31+FB32+FB33+FB35)/T2),0)</f>
        <v/>
      </c>
      <c r="FL35" s="5">
        <f>IFERROR(ROUND(FB35/FD35,2),0)</f>
        <v/>
      </c>
      <c r="FM35" s="5">
        <f>IFERROR(ROUND(FB35/FE35,2),0)</f>
        <v/>
      </c>
      <c r="FN35" s="2" t="inlineStr">
        <is>
          <t>2023-10-11</t>
        </is>
      </c>
      <c r="FO35" s="5">
        <f>ROUND(0.0,2)</f>
        <v/>
      </c>
      <c r="FP35" s="3">
        <f>ROUND(0.0,2)</f>
        <v/>
      </c>
      <c r="FQ35" s="3">
        <f>ROUND(0.0,2)</f>
        <v/>
      </c>
      <c r="FR35" s="3">
        <f>ROUND(0.0,2)</f>
        <v/>
      </c>
      <c r="FS35" s="3">
        <f>ROUND(0.0,2)</f>
        <v/>
      </c>
      <c r="FT35" s="3">
        <f>ROUND(0.0,2)</f>
        <v/>
      </c>
      <c r="FU35" s="3">
        <f>ROUND(0.0,2)</f>
        <v/>
      </c>
      <c r="FV35" s="3">
        <f>ROUND(0.0,2)</f>
        <v/>
      </c>
      <c r="FW35" s="4">
        <f>IFERROR((FQ35/FP35),0)</f>
        <v/>
      </c>
      <c r="FX35" s="4">
        <f>IFERROR(((0+FO11+FO12+FO13+FO14+FO15+FO16+FO17+FO19+FO20+FO21+FO22+FO23+FO24+FO25+FO27+FO28+FO29+FO30+FO31+FO32+FO33+FO35)/T2),0)</f>
        <v/>
      </c>
      <c r="FY35" s="5">
        <f>IFERROR(ROUND(FO35/FQ35,2),0)</f>
        <v/>
      </c>
      <c r="FZ35" s="5">
        <f>IFERROR(ROUND(FO35/FR35,2),0)</f>
        <v/>
      </c>
      <c r="GA35" s="2" t="inlineStr">
        <is>
          <t>2023-10-11</t>
        </is>
      </c>
      <c r="GB35" s="5">
        <f>ROUND(0.0,2)</f>
        <v/>
      </c>
      <c r="GC35" s="3">
        <f>ROUND(0.0,2)</f>
        <v/>
      </c>
      <c r="GD35" s="3">
        <f>ROUND(0.0,2)</f>
        <v/>
      </c>
      <c r="GE35" s="3">
        <f>ROUND(0.0,2)</f>
        <v/>
      </c>
      <c r="GF35" s="3">
        <f>ROUND(0.0,2)</f>
        <v/>
      </c>
      <c r="GG35" s="3">
        <f>ROUND(0.0,2)</f>
        <v/>
      </c>
      <c r="GH35" s="3">
        <f>ROUND(0.0,2)</f>
        <v/>
      </c>
      <c r="GI35" s="3">
        <f>ROUND(0.0,2)</f>
        <v/>
      </c>
      <c r="GJ35" s="4">
        <f>IFERROR((GD35/GC35),0)</f>
        <v/>
      </c>
      <c r="GK35" s="4">
        <f>IFERROR(((0+GB11+GB12+GB13+GB14+GB15+GB16+GB17+GB19+GB20+GB21+GB22+GB23+GB24+GB25+GB27+GB28+GB29+GB30+GB31+GB32+GB33+GB35)/T2),0)</f>
        <v/>
      </c>
      <c r="GL35" s="5">
        <f>IFERROR(ROUND(GB35/GD35,2),0)</f>
        <v/>
      </c>
      <c r="GM35" s="5">
        <f>IFERROR(ROUND(GB35/GE35,2),0)</f>
        <v/>
      </c>
    </row>
    <row r="36">
      <c r="A36" s="2" t="inlineStr">
        <is>
          <t>2023-10-12</t>
        </is>
      </c>
      <c r="B36" s="5">
        <f>ROUND(0.0,2)</f>
        <v/>
      </c>
      <c r="C36" s="3">
        <f>ROUND(0.0,2)</f>
        <v/>
      </c>
      <c r="D36" s="3">
        <f>ROUND(0.0,2)</f>
        <v/>
      </c>
      <c r="E36" s="3">
        <f>ROUND(0.0,2)</f>
        <v/>
      </c>
      <c r="F36" s="3">
        <f>ROUND(0.0,2)</f>
        <v/>
      </c>
      <c r="G36" s="3">
        <f>ROUND(0.0,2)</f>
        <v/>
      </c>
      <c r="H36" s="3">
        <f>ROUND(0.0,2)</f>
        <v/>
      </c>
      <c r="I36" s="3">
        <f>ROUND(0.0,2)</f>
        <v/>
      </c>
      <c r="J36" s="4">
        <f>IFERROR((D36/C36),0)</f>
        <v/>
      </c>
      <c r="K36" s="4">
        <f>IFERROR(((0+B11+B12+B13+B14+B15+B16+B17+B19+B20+B21+B22+B23+B24+B25+B27+B28+B29+B30+B31+B32+B33+B35+B36)/T2),0)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2023-10-12</t>
        </is>
      </c>
      <c r="O36" s="5">
        <f>ROUND(0.0,2)</f>
        <v/>
      </c>
      <c r="P36" s="3">
        <f>ROUND(0.0,2)</f>
        <v/>
      </c>
      <c r="Q36" s="3">
        <f>ROUND(0.0,2)</f>
        <v/>
      </c>
      <c r="R36" s="3">
        <f>ROUND(0.0,2)</f>
        <v/>
      </c>
      <c r="S36" s="3">
        <f>ROUND(0.0,2)</f>
        <v/>
      </c>
      <c r="T36" s="3">
        <f>ROUND(0.0,2)</f>
        <v/>
      </c>
      <c r="U36" s="3">
        <f>ROUND(0.0,2)</f>
        <v/>
      </c>
      <c r="V36" s="3">
        <f>ROUND(0.0,2)</f>
        <v/>
      </c>
      <c r="W36" s="4">
        <f>IFERROR((Q36/P36),0)</f>
        <v/>
      </c>
      <c r="X36" s="4">
        <f>IFERROR(((0+O11+O12+O13+O14+O15+O16+O17+O19+O20+O21+O22+O23+O24+O25+O27+O28+O29+O30+O31+O32+O33+O35+O36)/T2),0)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2023-10-12</t>
        </is>
      </c>
      <c r="AB36" s="5">
        <f>ROUND(0.0,2)</f>
        <v/>
      </c>
      <c r="AC36" s="3">
        <f>ROUND(0.0,2)</f>
        <v/>
      </c>
      <c r="AD36" s="3">
        <f>ROUND(0.0,2)</f>
        <v/>
      </c>
      <c r="AE36" s="3">
        <f>ROUND(0.0,2)</f>
        <v/>
      </c>
      <c r="AF36" s="3">
        <f>ROUND(0.0,2)</f>
        <v/>
      </c>
      <c r="AG36" s="3">
        <f>ROUND(0.0,2)</f>
        <v/>
      </c>
      <c r="AH36" s="3">
        <f>ROUND(0.0,2)</f>
        <v/>
      </c>
      <c r="AI36" s="3">
        <f>ROUND(0.0,2)</f>
        <v/>
      </c>
      <c r="AJ36" s="4">
        <f>IFERROR((AD36/AC36),0)</f>
        <v/>
      </c>
      <c r="AK36" s="4">
        <f>IFERROR(((0+AB11+AB12+AB13+AB14+AB15+AB16+AB17+AB19+AB20+AB21+AB22+AB23+AB24+AB25+AB27+AB28+AB29+AB30+AB31+AB32+AB33+AB35+AB36)/T2),0)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2023-10-12</t>
        </is>
      </c>
      <c r="AO36" s="5">
        <f>ROUND(0.0,2)</f>
        <v/>
      </c>
      <c r="AP36" s="3">
        <f>ROUND(0.0,2)</f>
        <v/>
      </c>
      <c r="AQ36" s="3">
        <f>ROUND(0.0,2)</f>
        <v/>
      </c>
      <c r="AR36" s="3">
        <f>ROUND(0.0,2)</f>
        <v/>
      </c>
      <c r="AS36" s="3">
        <f>ROUND(0.0,2)</f>
        <v/>
      </c>
      <c r="AT36" s="3">
        <f>ROUND(0.0,2)</f>
        <v/>
      </c>
      <c r="AU36" s="3">
        <f>ROUND(0.0,2)</f>
        <v/>
      </c>
      <c r="AV36" s="3">
        <f>ROUND(0.0,2)</f>
        <v/>
      </c>
      <c r="AW36" s="4">
        <f>IFERROR((AQ36/AP36),0)</f>
        <v/>
      </c>
      <c r="AX36" s="4">
        <f>IFERROR(((0+AO11+AO12+AO13+AO14+AO15+AO16+AO17+AO19+AO20+AO21+AO22+AO23+AO24+AO25+AO27+AO28+AO29+AO30+AO31+AO32+AO33+AO35+AO36)/T2),0)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2023-10-12</t>
        </is>
      </c>
      <c r="BB36" s="5">
        <f>ROUND(0.0,2)</f>
        <v/>
      </c>
      <c r="BC36" s="3">
        <f>ROUND(0.0,2)</f>
        <v/>
      </c>
      <c r="BD36" s="3">
        <f>ROUND(0.0,2)</f>
        <v/>
      </c>
      <c r="BE36" s="3">
        <f>ROUND(0.0,2)</f>
        <v/>
      </c>
      <c r="BF36" s="3">
        <f>ROUND(0.0,2)</f>
        <v/>
      </c>
      <c r="BG36" s="3">
        <f>ROUND(0.0,2)</f>
        <v/>
      </c>
      <c r="BH36" s="3">
        <f>ROUND(0.0,2)</f>
        <v/>
      </c>
      <c r="BI36" s="3">
        <f>ROUND(0.0,2)</f>
        <v/>
      </c>
      <c r="BJ36" s="4">
        <f>IFERROR((BD36/BC36),0)</f>
        <v/>
      </c>
      <c r="BK36" s="4">
        <f>IFERROR(((0+BB11+BB12+BB13+BB14+BB15+BB16+BB17+BB19+BB20+BB21+BB22+BB23+BB24+BB25+BB27+BB28+BB29+BB30+BB31+BB32+BB33+BB35+BB36)/T2),0)</f>
        <v/>
      </c>
      <c r="BL36" s="5">
        <f>IFERROR(ROUND(BB36/BD36,2),0)</f>
        <v/>
      </c>
      <c r="BM36" s="5">
        <f>IFERROR(ROUND(BB36/BE36,2),0)</f>
        <v/>
      </c>
      <c r="BN36" s="2" t="inlineStr">
        <is>
          <t>2023-10-12</t>
        </is>
      </c>
      <c r="BO36" s="5">
        <f>ROUND(0.0,2)</f>
        <v/>
      </c>
      <c r="BP36" s="3">
        <f>ROUND(0.0,2)</f>
        <v/>
      </c>
      <c r="BQ36" s="3">
        <f>ROUND(0.0,2)</f>
        <v/>
      </c>
      <c r="BR36" s="3">
        <f>ROUND(0.0,2)</f>
        <v/>
      </c>
      <c r="BS36" s="3">
        <f>ROUND(0.0,2)</f>
        <v/>
      </c>
      <c r="BT36" s="3">
        <f>ROUND(0.0,2)</f>
        <v/>
      </c>
      <c r="BU36" s="3">
        <f>ROUND(0.0,2)</f>
        <v/>
      </c>
      <c r="BV36" s="3">
        <f>ROUND(0.0,2)</f>
        <v/>
      </c>
      <c r="BW36" s="4">
        <f>IFERROR((BQ36/BP36),0)</f>
        <v/>
      </c>
      <c r="BX36" s="4">
        <f>IFERROR(((0+BO11+BO12+BO13+BO14+BO15+BO16+BO17+BO19+BO20+BO21+BO22+BO23+BO24+BO25+BO27+BO28+BO29+BO30+BO31+BO32+BO33+BO35+BO36)/T2),0)</f>
        <v/>
      </c>
      <c r="BY36" s="5">
        <f>IFERROR(ROUND(BO36/BQ36,2),0)</f>
        <v/>
      </c>
      <c r="BZ36" s="5">
        <f>IFERROR(ROUND(BO36/BR36,2),0)</f>
        <v/>
      </c>
      <c r="CA36" s="2" t="inlineStr">
        <is>
          <t>2023-10-12</t>
        </is>
      </c>
      <c r="CB36" s="5">
        <f>ROUND(0.0,2)</f>
        <v/>
      </c>
      <c r="CC36" s="3">
        <f>ROUND(0.0,2)</f>
        <v/>
      </c>
      <c r="CD36" s="3">
        <f>ROUND(0.0,2)</f>
        <v/>
      </c>
      <c r="CE36" s="3">
        <f>ROUND(0.0,2)</f>
        <v/>
      </c>
      <c r="CF36" s="3">
        <f>ROUND(0.0,2)</f>
        <v/>
      </c>
      <c r="CG36" s="3">
        <f>ROUND(0.0,2)</f>
        <v/>
      </c>
      <c r="CH36" s="3">
        <f>ROUND(0.0,2)</f>
        <v/>
      </c>
      <c r="CI36" s="3">
        <f>ROUND(0.0,2)</f>
        <v/>
      </c>
      <c r="CJ36" s="4">
        <f>IFERROR((CD36/CC36),0)</f>
        <v/>
      </c>
      <c r="CK36" s="4">
        <f>IFERROR(((0+CB11+CB12+CB13+CB14+CB15+CB16+CB17+CB19+CB20+CB21+CB22+CB23+CB24+CB25+CB27+CB28+CB29+CB30+CB31+CB32+CB33+CB35+CB36)/T2),0)</f>
        <v/>
      </c>
      <c r="CL36" s="5">
        <f>IFERROR(ROUND(CB36/CD36,2),0)</f>
        <v/>
      </c>
      <c r="CM36" s="5">
        <f>IFERROR(ROUND(CB36/CE36,2),0)</f>
        <v/>
      </c>
      <c r="CN36" s="2" t="inlineStr">
        <is>
          <t>2023-10-12</t>
        </is>
      </c>
      <c r="CO36" s="5">
        <f>ROUND(0.0,2)</f>
        <v/>
      </c>
      <c r="CP36" s="3">
        <f>ROUND(0.0,2)</f>
        <v/>
      </c>
      <c r="CQ36" s="3">
        <f>ROUND(0.0,2)</f>
        <v/>
      </c>
      <c r="CR36" s="3">
        <f>ROUND(0.0,2)</f>
        <v/>
      </c>
      <c r="CS36" s="3">
        <f>ROUND(0.0,2)</f>
        <v/>
      </c>
      <c r="CT36" s="3">
        <f>ROUND(0.0,2)</f>
        <v/>
      </c>
      <c r="CU36" s="3">
        <f>ROUND(0.0,2)</f>
        <v/>
      </c>
      <c r="CV36" s="3">
        <f>ROUND(0.0,2)</f>
        <v/>
      </c>
      <c r="CW36" s="4">
        <f>IFERROR((CQ36/CP36),0)</f>
        <v/>
      </c>
      <c r="CX36" s="4">
        <f>IFERROR(((0+CO11+CO12+CO13+CO14+CO15+CO16+CO17+CO19+CO20+CO21+CO22+CO23+CO24+CO25+CO27+CO28+CO29+CO30+CO31+CO32+CO33+CO35+CO36)/T2),0)</f>
        <v/>
      </c>
      <c r="CY36" s="5">
        <f>IFERROR(ROUND(CO36/CQ36,2),0)</f>
        <v/>
      </c>
      <c r="CZ36" s="5">
        <f>IFERROR(ROUND(CO36/CR36,2),0)</f>
        <v/>
      </c>
      <c r="DA36" s="2" t="inlineStr">
        <is>
          <t>2023-10-12</t>
        </is>
      </c>
      <c r="DB36" s="5">
        <f>ROUND(0.0,2)</f>
        <v/>
      </c>
      <c r="DC36" s="3">
        <f>ROUND(0.0,2)</f>
        <v/>
      </c>
      <c r="DD36" s="3">
        <f>ROUND(0.0,2)</f>
        <v/>
      </c>
      <c r="DE36" s="3">
        <f>ROUND(0.0,2)</f>
        <v/>
      </c>
      <c r="DF36" s="3">
        <f>ROUND(0.0,2)</f>
        <v/>
      </c>
      <c r="DG36" s="3">
        <f>ROUND(0.0,2)</f>
        <v/>
      </c>
      <c r="DH36" s="3">
        <f>ROUND(0.0,2)</f>
        <v/>
      </c>
      <c r="DI36" s="3">
        <f>ROUND(0.0,2)</f>
        <v/>
      </c>
      <c r="DJ36" s="4">
        <f>IFERROR((DD36/DC36),0)</f>
        <v/>
      </c>
      <c r="DK36" s="4">
        <f>IFERROR(((0+DB11+DB12+DB13+DB14+DB15+DB16+DB17+DB19+DB20+DB21+DB22+DB23+DB24+DB25+DB27+DB28+DB29+DB30+DB31+DB32+DB33+DB35+DB36)/T2),0)</f>
        <v/>
      </c>
      <c r="DL36" s="5">
        <f>IFERROR(ROUND(DB36/DD36,2),0)</f>
        <v/>
      </c>
      <c r="DM36" s="5">
        <f>IFERROR(ROUND(DB36/DE36,2),0)</f>
        <v/>
      </c>
      <c r="DN36" s="2" t="inlineStr">
        <is>
          <t>2023-10-12</t>
        </is>
      </c>
      <c r="DO36" s="5">
        <f>ROUND(0.0,2)</f>
        <v/>
      </c>
      <c r="DP36" s="3">
        <f>ROUND(0.0,2)</f>
        <v/>
      </c>
      <c r="DQ36" s="3">
        <f>ROUND(0.0,2)</f>
        <v/>
      </c>
      <c r="DR36" s="3">
        <f>ROUND(0.0,2)</f>
        <v/>
      </c>
      <c r="DS36" s="3">
        <f>ROUND(0.0,2)</f>
        <v/>
      </c>
      <c r="DT36" s="3">
        <f>ROUND(0.0,2)</f>
        <v/>
      </c>
      <c r="DU36" s="3">
        <f>ROUND(0.0,2)</f>
        <v/>
      </c>
      <c r="DV36" s="3">
        <f>ROUND(0.0,2)</f>
        <v/>
      </c>
      <c r="DW36" s="4">
        <f>IFERROR((DQ36/DP36),0)</f>
        <v/>
      </c>
      <c r="DX36" s="4">
        <f>IFERROR(((0+DO11+DO12+DO13+DO14+DO15+DO16+DO17+DO19+DO20+DO21+DO22+DO23+DO24+DO25+DO27+DO28+DO29+DO30+DO31+DO32+DO33+DO35+DO36)/T2),0)</f>
        <v/>
      </c>
      <c r="DY36" s="5">
        <f>IFERROR(ROUND(DO36/DQ36,2),0)</f>
        <v/>
      </c>
      <c r="DZ36" s="5">
        <f>IFERROR(ROUND(DO36/DR36,2),0)</f>
        <v/>
      </c>
      <c r="EA36" s="2" t="inlineStr">
        <is>
          <t>2023-10-12</t>
        </is>
      </c>
      <c r="EB36" s="5">
        <f>ROUND(0.0,2)</f>
        <v/>
      </c>
      <c r="EC36" s="3">
        <f>ROUND(0.0,2)</f>
        <v/>
      </c>
      <c r="ED36" s="3">
        <f>ROUND(0.0,2)</f>
        <v/>
      </c>
      <c r="EE36" s="3">
        <f>ROUND(0.0,2)</f>
        <v/>
      </c>
      <c r="EF36" s="3">
        <f>ROUND(0.0,2)</f>
        <v/>
      </c>
      <c r="EG36" s="3">
        <f>ROUND(0.0,2)</f>
        <v/>
      </c>
      <c r="EH36" s="3">
        <f>ROUND(0.0,2)</f>
        <v/>
      </c>
      <c r="EI36" s="3">
        <f>ROUND(0.0,2)</f>
        <v/>
      </c>
      <c r="EJ36" s="4">
        <f>IFERROR((ED36/EC36),0)</f>
        <v/>
      </c>
      <c r="EK36" s="4">
        <f>IFERROR(((0+EB11+EB12+EB13+EB14+EB15+EB16+EB17+EB19+EB20+EB21+EB22+EB23+EB24+EB25+EB27+EB28+EB29+EB30+EB31+EB32+EB33+EB35+EB36)/T2),0)</f>
        <v/>
      </c>
      <c r="EL36" s="5">
        <f>IFERROR(ROUND(EB36/ED36,2),0)</f>
        <v/>
      </c>
      <c r="EM36" s="5">
        <f>IFERROR(ROUND(EB36/EE36,2),0)</f>
        <v/>
      </c>
      <c r="EN36" s="2" t="inlineStr">
        <is>
          <t>2023-10-12</t>
        </is>
      </c>
      <c r="EO36" s="5">
        <f>ROUND(0.0,2)</f>
        <v/>
      </c>
      <c r="EP36" s="3">
        <f>ROUND(0.0,2)</f>
        <v/>
      </c>
      <c r="EQ36" s="3">
        <f>ROUND(0.0,2)</f>
        <v/>
      </c>
      <c r="ER36" s="3">
        <f>ROUND(0.0,2)</f>
        <v/>
      </c>
      <c r="ES36" s="3">
        <f>ROUND(0.0,2)</f>
        <v/>
      </c>
      <c r="ET36" s="3">
        <f>ROUND(0.0,2)</f>
        <v/>
      </c>
      <c r="EU36" s="3">
        <f>ROUND(0.0,2)</f>
        <v/>
      </c>
      <c r="EV36" s="3">
        <f>ROUND(0.0,2)</f>
        <v/>
      </c>
      <c r="EW36" s="4">
        <f>IFERROR((EQ36/EP36),0)</f>
        <v/>
      </c>
      <c r="EX36" s="4">
        <f>IFERROR(((0+EO11+EO12+EO13+EO14+EO15+EO16+EO17+EO19+EO20+EO21+EO22+EO23+EO24+EO25+EO27+EO28+EO29+EO30+EO31+EO32+EO33+EO35+EO36)/T2),0)</f>
        <v/>
      </c>
      <c r="EY36" s="5">
        <f>IFERROR(ROUND(EO36/EQ36,2),0)</f>
        <v/>
      </c>
      <c r="EZ36" s="5">
        <f>IFERROR(ROUND(EO36/ER36,2),0)</f>
        <v/>
      </c>
      <c r="FA36" s="2" t="inlineStr">
        <is>
          <t>2023-10-12</t>
        </is>
      </c>
      <c r="FB36" s="5">
        <f>ROUND(0.0,2)</f>
        <v/>
      </c>
      <c r="FC36" s="3">
        <f>ROUND(0.0,2)</f>
        <v/>
      </c>
      <c r="FD36" s="3">
        <f>ROUND(0.0,2)</f>
        <v/>
      </c>
      <c r="FE36" s="3">
        <f>ROUND(0.0,2)</f>
        <v/>
      </c>
      <c r="FF36" s="3">
        <f>ROUND(0.0,2)</f>
        <v/>
      </c>
      <c r="FG36" s="3">
        <f>ROUND(0.0,2)</f>
        <v/>
      </c>
      <c r="FH36" s="3">
        <f>ROUND(0.0,2)</f>
        <v/>
      </c>
      <c r="FI36" s="3">
        <f>ROUND(0.0,2)</f>
        <v/>
      </c>
      <c r="FJ36" s="4">
        <f>IFERROR((FD36/FC36),0)</f>
        <v/>
      </c>
      <c r="FK36" s="4">
        <f>IFERROR(((0+FB11+FB12+FB13+FB14+FB15+FB16+FB17+FB19+FB20+FB21+FB22+FB23+FB24+FB25+FB27+FB28+FB29+FB30+FB31+FB32+FB33+FB35+FB36)/T2),0)</f>
        <v/>
      </c>
      <c r="FL36" s="5">
        <f>IFERROR(ROUND(FB36/FD36,2),0)</f>
        <v/>
      </c>
      <c r="FM36" s="5">
        <f>IFERROR(ROUND(FB36/FE36,2),0)</f>
        <v/>
      </c>
      <c r="FN36" s="2" t="inlineStr">
        <is>
          <t>2023-10-12</t>
        </is>
      </c>
      <c r="FO36" s="5">
        <f>ROUND(0.0,2)</f>
        <v/>
      </c>
      <c r="FP36" s="3">
        <f>ROUND(0.0,2)</f>
        <v/>
      </c>
      <c r="FQ36" s="3">
        <f>ROUND(0.0,2)</f>
        <v/>
      </c>
      <c r="FR36" s="3">
        <f>ROUND(0.0,2)</f>
        <v/>
      </c>
      <c r="FS36" s="3">
        <f>ROUND(0.0,2)</f>
        <v/>
      </c>
      <c r="FT36" s="3">
        <f>ROUND(0.0,2)</f>
        <v/>
      </c>
      <c r="FU36" s="3">
        <f>ROUND(0.0,2)</f>
        <v/>
      </c>
      <c r="FV36" s="3">
        <f>ROUND(0.0,2)</f>
        <v/>
      </c>
      <c r="FW36" s="4">
        <f>IFERROR((FQ36/FP36),0)</f>
        <v/>
      </c>
      <c r="FX36" s="4">
        <f>IFERROR(((0+FO11+FO12+FO13+FO14+FO15+FO16+FO17+FO19+FO20+FO21+FO22+FO23+FO24+FO25+FO27+FO28+FO29+FO30+FO31+FO32+FO33+FO35+FO36)/T2),0)</f>
        <v/>
      </c>
      <c r="FY36" s="5">
        <f>IFERROR(ROUND(FO36/FQ36,2),0)</f>
        <v/>
      </c>
      <c r="FZ36" s="5">
        <f>IFERROR(ROUND(FO36/FR36,2),0)</f>
        <v/>
      </c>
      <c r="GA36" s="2" t="inlineStr">
        <is>
          <t>2023-10-12</t>
        </is>
      </c>
      <c r="GB36" s="5">
        <f>ROUND(0.0,2)</f>
        <v/>
      </c>
      <c r="GC36" s="3">
        <f>ROUND(0.0,2)</f>
        <v/>
      </c>
      <c r="GD36" s="3">
        <f>ROUND(0.0,2)</f>
        <v/>
      </c>
      <c r="GE36" s="3">
        <f>ROUND(0.0,2)</f>
        <v/>
      </c>
      <c r="GF36" s="3">
        <f>ROUND(0.0,2)</f>
        <v/>
      </c>
      <c r="GG36" s="3">
        <f>ROUND(0.0,2)</f>
        <v/>
      </c>
      <c r="GH36" s="3">
        <f>ROUND(0.0,2)</f>
        <v/>
      </c>
      <c r="GI36" s="3">
        <f>ROUND(0.0,2)</f>
        <v/>
      </c>
      <c r="GJ36" s="4">
        <f>IFERROR((GD36/GC36),0)</f>
        <v/>
      </c>
      <c r="GK36" s="4">
        <f>IFERROR(((0+GB11+GB12+GB13+GB14+GB15+GB16+GB17+GB19+GB20+GB21+GB22+GB23+GB24+GB25+GB27+GB28+GB29+GB30+GB31+GB32+GB33+GB35+GB36)/T2),0)</f>
        <v/>
      </c>
      <c r="GL36" s="5">
        <f>IFERROR(ROUND(GB36/GD36,2),0)</f>
        <v/>
      </c>
      <c r="GM36" s="5">
        <f>IFERROR(ROUND(GB36/GE36,2),0)</f>
        <v/>
      </c>
    </row>
    <row r="37">
      <c r="A37" s="2" t="inlineStr">
        <is>
          <t>2023-10-13</t>
        </is>
      </c>
      <c r="B37" s="5">
        <f>ROUND(0.0,2)</f>
        <v/>
      </c>
      <c r="C37" s="3">
        <f>ROUND(0.0,2)</f>
        <v/>
      </c>
      <c r="D37" s="3">
        <f>ROUND(0.0,2)</f>
        <v/>
      </c>
      <c r="E37" s="3">
        <f>ROUND(0.0,2)</f>
        <v/>
      </c>
      <c r="F37" s="3">
        <f>ROUND(0.0,2)</f>
        <v/>
      </c>
      <c r="G37" s="3">
        <f>ROUND(0.0,2)</f>
        <v/>
      </c>
      <c r="H37" s="3">
        <f>ROUND(0.0,2)</f>
        <v/>
      </c>
      <c r="I37" s="3">
        <f>ROUND(0.0,2)</f>
        <v/>
      </c>
      <c r="J37" s="4">
        <f>IFERROR((D37/C37),0)</f>
        <v/>
      </c>
      <c r="K37" s="4">
        <f>IFERROR(((0+B11+B12+B13+B14+B15+B16+B17+B19+B20+B21+B22+B23+B24+B25+B27+B28+B29+B30+B31+B32+B33+B35+B36+B37)/T2),0)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2023-10-13</t>
        </is>
      </c>
      <c r="O37" s="5">
        <f>ROUND(0.0,2)</f>
        <v/>
      </c>
      <c r="P37" s="3">
        <f>ROUND(0.0,2)</f>
        <v/>
      </c>
      <c r="Q37" s="3">
        <f>ROUND(0.0,2)</f>
        <v/>
      </c>
      <c r="R37" s="3">
        <f>ROUND(0.0,2)</f>
        <v/>
      </c>
      <c r="S37" s="3">
        <f>ROUND(0.0,2)</f>
        <v/>
      </c>
      <c r="T37" s="3">
        <f>ROUND(0.0,2)</f>
        <v/>
      </c>
      <c r="U37" s="3">
        <f>ROUND(0.0,2)</f>
        <v/>
      </c>
      <c r="V37" s="3">
        <f>ROUND(0.0,2)</f>
        <v/>
      </c>
      <c r="W37" s="4">
        <f>IFERROR((Q37/P37),0)</f>
        <v/>
      </c>
      <c r="X37" s="4">
        <f>IFERROR(((0+O11+O12+O13+O14+O15+O16+O17+O19+O20+O21+O22+O23+O24+O25+O27+O28+O29+O30+O31+O32+O33+O35+O36+O37)/T2),0)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2023-10-13</t>
        </is>
      </c>
      <c r="AB37" s="5">
        <f>ROUND(0.0,2)</f>
        <v/>
      </c>
      <c r="AC37" s="3">
        <f>ROUND(0.0,2)</f>
        <v/>
      </c>
      <c r="AD37" s="3">
        <f>ROUND(0.0,2)</f>
        <v/>
      </c>
      <c r="AE37" s="3">
        <f>ROUND(0.0,2)</f>
        <v/>
      </c>
      <c r="AF37" s="3">
        <f>ROUND(0.0,2)</f>
        <v/>
      </c>
      <c r="AG37" s="3">
        <f>ROUND(0.0,2)</f>
        <v/>
      </c>
      <c r="AH37" s="3">
        <f>ROUND(0.0,2)</f>
        <v/>
      </c>
      <c r="AI37" s="3">
        <f>ROUND(0.0,2)</f>
        <v/>
      </c>
      <c r="AJ37" s="4">
        <f>IFERROR((AD37/AC37),0)</f>
        <v/>
      </c>
      <c r="AK37" s="4">
        <f>IFERROR(((0+AB11+AB12+AB13+AB14+AB15+AB16+AB17+AB19+AB20+AB21+AB22+AB23+AB24+AB25+AB27+AB28+AB29+AB30+AB31+AB32+AB33+AB35+AB36+AB37)/T2),0)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2023-10-13</t>
        </is>
      </c>
      <c r="AO37" s="5">
        <f>ROUND(0.0,2)</f>
        <v/>
      </c>
      <c r="AP37" s="3">
        <f>ROUND(0.0,2)</f>
        <v/>
      </c>
      <c r="AQ37" s="3">
        <f>ROUND(0.0,2)</f>
        <v/>
      </c>
      <c r="AR37" s="3">
        <f>ROUND(0.0,2)</f>
        <v/>
      </c>
      <c r="AS37" s="3">
        <f>ROUND(0.0,2)</f>
        <v/>
      </c>
      <c r="AT37" s="3">
        <f>ROUND(0.0,2)</f>
        <v/>
      </c>
      <c r="AU37" s="3">
        <f>ROUND(0.0,2)</f>
        <v/>
      </c>
      <c r="AV37" s="3">
        <f>ROUND(0.0,2)</f>
        <v/>
      </c>
      <c r="AW37" s="4">
        <f>IFERROR((AQ37/AP37),0)</f>
        <v/>
      </c>
      <c r="AX37" s="4">
        <f>IFERROR(((0+AO11+AO12+AO13+AO14+AO15+AO16+AO17+AO19+AO20+AO21+AO22+AO23+AO24+AO25+AO27+AO28+AO29+AO30+AO31+AO32+AO33+AO35+AO36+AO37)/T2),0)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2023-10-13</t>
        </is>
      </c>
      <c r="BB37" s="5">
        <f>ROUND(0.0,2)</f>
        <v/>
      </c>
      <c r="BC37" s="3">
        <f>ROUND(0.0,2)</f>
        <v/>
      </c>
      <c r="BD37" s="3">
        <f>ROUND(0.0,2)</f>
        <v/>
      </c>
      <c r="BE37" s="3">
        <f>ROUND(0.0,2)</f>
        <v/>
      </c>
      <c r="BF37" s="3">
        <f>ROUND(0.0,2)</f>
        <v/>
      </c>
      <c r="BG37" s="3">
        <f>ROUND(0.0,2)</f>
        <v/>
      </c>
      <c r="BH37" s="3">
        <f>ROUND(0.0,2)</f>
        <v/>
      </c>
      <c r="BI37" s="3">
        <f>ROUND(0.0,2)</f>
        <v/>
      </c>
      <c r="BJ37" s="4">
        <f>IFERROR((BD37/BC37),0)</f>
        <v/>
      </c>
      <c r="BK37" s="4">
        <f>IFERROR(((0+BB11+BB12+BB13+BB14+BB15+BB16+BB17+BB19+BB20+BB21+BB22+BB23+BB24+BB25+BB27+BB28+BB29+BB30+BB31+BB32+BB33+BB35+BB36+BB37)/T2),0)</f>
        <v/>
      </c>
      <c r="BL37" s="5">
        <f>IFERROR(ROUND(BB37/BD37,2),0)</f>
        <v/>
      </c>
      <c r="BM37" s="5">
        <f>IFERROR(ROUND(BB37/BE37,2),0)</f>
        <v/>
      </c>
      <c r="BN37" s="2" t="inlineStr">
        <is>
          <t>2023-10-13</t>
        </is>
      </c>
      <c r="BO37" s="5">
        <f>ROUND(0.0,2)</f>
        <v/>
      </c>
      <c r="BP37" s="3">
        <f>ROUND(0.0,2)</f>
        <v/>
      </c>
      <c r="BQ37" s="3">
        <f>ROUND(0.0,2)</f>
        <v/>
      </c>
      <c r="BR37" s="3">
        <f>ROUND(0.0,2)</f>
        <v/>
      </c>
      <c r="BS37" s="3">
        <f>ROUND(0.0,2)</f>
        <v/>
      </c>
      <c r="BT37" s="3">
        <f>ROUND(0.0,2)</f>
        <v/>
      </c>
      <c r="BU37" s="3">
        <f>ROUND(0.0,2)</f>
        <v/>
      </c>
      <c r="BV37" s="3">
        <f>ROUND(0.0,2)</f>
        <v/>
      </c>
      <c r="BW37" s="4">
        <f>IFERROR((BQ37/BP37),0)</f>
        <v/>
      </c>
      <c r="BX37" s="4">
        <f>IFERROR(((0+BO11+BO12+BO13+BO14+BO15+BO16+BO17+BO19+BO20+BO21+BO22+BO23+BO24+BO25+BO27+BO28+BO29+BO30+BO31+BO32+BO33+BO35+BO36+BO37)/T2),0)</f>
        <v/>
      </c>
      <c r="BY37" s="5">
        <f>IFERROR(ROUND(BO37/BQ37,2),0)</f>
        <v/>
      </c>
      <c r="BZ37" s="5">
        <f>IFERROR(ROUND(BO37/BR37,2),0)</f>
        <v/>
      </c>
      <c r="CA37" s="2" t="inlineStr">
        <is>
          <t>2023-10-13</t>
        </is>
      </c>
      <c r="CB37" s="5">
        <f>ROUND(0.0,2)</f>
        <v/>
      </c>
      <c r="CC37" s="3">
        <f>ROUND(0.0,2)</f>
        <v/>
      </c>
      <c r="CD37" s="3">
        <f>ROUND(0.0,2)</f>
        <v/>
      </c>
      <c r="CE37" s="3">
        <f>ROUND(0.0,2)</f>
        <v/>
      </c>
      <c r="CF37" s="3">
        <f>ROUND(0.0,2)</f>
        <v/>
      </c>
      <c r="CG37" s="3">
        <f>ROUND(0.0,2)</f>
        <v/>
      </c>
      <c r="CH37" s="3">
        <f>ROUND(0.0,2)</f>
        <v/>
      </c>
      <c r="CI37" s="3">
        <f>ROUND(0.0,2)</f>
        <v/>
      </c>
      <c r="CJ37" s="4">
        <f>IFERROR((CD37/CC37),0)</f>
        <v/>
      </c>
      <c r="CK37" s="4">
        <f>IFERROR(((0+CB11+CB12+CB13+CB14+CB15+CB16+CB17+CB19+CB20+CB21+CB22+CB23+CB24+CB25+CB27+CB28+CB29+CB30+CB31+CB32+CB33+CB35+CB36+CB37)/T2),0)</f>
        <v/>
      </c>
      <c r="CL37" s="5">
        <f>IFERROR(ROUND(CB37/CD37,2),0)</f>
        <v/>
      </c>
      <c r="CM37" s="5">
        <f>IFERROR(ROUND(CB37/CE37,2),0)</f>
        <v/>
      </c>
      <c r="CN37" s="2" t="inlineStr">
        <is>
          <t>2023-10-13</t>
        </is>
      </c>
      <c r="CO37" s="5">
        <f>ROUND(0.0,2)</f>
        <v/>
      </c>
      <c r="CP37" s="3">
        <f>ROUND(0.0,2)</f>
        <v/>
      </c>
      <c r="CQ37" s="3">
        <f>ROUND(0.0,2)</f>
        <v/>
      </c>
      <c r="CR37" s="3">
        <f>ROUND(0.0,2)</f>
        <v/>
      </c>
      <c r="CS37" s="3">
        <f>ROUND(0.0,2)</f>
        <v/>
      </c>
      <c r="CT37" s="3">
        <f>ROUND(0.0,2)</f>
        <v/>
      </c>
      <c r="CU37" s="3">
        <f>ROUND(0.0,2)</f>
        <v/>
      </c>
      <c r="CV37" s="3">
        <f>ROUND(0.0,2)</f>
        <v/>
      </c>
      <c r="CW37" s="4">
        <f>IFERROR((CQ37/CP37),0)</f>
        <v/>
      </c>
      <c r="CX37" s="4">
        <f>IFERROR(((0+CO11+CO12+CO13+CO14+CO15+CO16+CO17+CO19+CO20+CO21+CO22+CO23+CO24+CO25+CO27+CO28+CO29+CO30+CO31+CO32+CO33+CO35+CO36+CO37)/T2),0)</f>
        <v/>
      </c>
      <c r="CY37" s="5">
        <f>IFERROR(ROUND(CO37/CQ37,2),0)</f>
        <v/>
      </c>
      <c r="CZ37" s="5">
        <f>IFERROR(ROUND(CO37/CR37,2),0)</f>
        <v/>
      </c>
      <c r="DA37" s="2" t="inlineStr">
        <is>
          <t>2023-10-13</t>
        </is>
      </c>
      <c r="DB37" s="5">
        <f>ROUND(0.0,2)</f>
        <v/>
      </c>
      <c r="DC37" s="3">
        <f>ROUND(0.0,2)</f>
        <v/>
      </c>
      <c r="DD37" s="3">
        <f>ROUND(0.0,2)</f>
        <v/>
      </c>
      <c r="DE37" s="3">
        <f>ROUND(0.0,2)</f>
        <v/>
      </c>
      <c r="DF37" s="3">
        <f>ROUND(0.0,2)</f>
        <v/>
      </c>
      <c r="DG37" s="3">
        <f>ROUND(0.0,2)</f>
        <v/>
      </c>
      <c r="DH37" s="3">
        <f>ROUND(0.0,2)</f>
        <v/>
      </c>
      <c r="DI37" s="3">
        <f>ROUND(0.0,2)</f>
        <v/>
      </c>
      <c r="DJ37" s="4">
        <f>IFERROR((DD37/DC37),0)</f>
        <v/>
      </c>
      <c r="DK37" s="4">
        <f>IFERROR(((0+DB11+DB12+DB13+DB14+DB15+DB16+DB17+DB19+DB20+DB21+DB22+DB23+DB24+DB25+DB27+DB28+DB29+DB30+DB31+DB32+DB33+DB35+DB36+DB37)/T2),0)</f>
        <v/>
      </c>
      <c r="DL37" s="5">
        <f>IFERROR(ROUND(DB37/DD37,2),0)</f>
        <v/>
      </c>
      <c r="DM37" s="5">
        <f>IFERROR(ROUND(DB37/DE37,2),0)</f>
        <v/>
      </c>
      <c r="DN37" s="2" t="inlineStr">
        <is>
          <t>2023-10-13</t>
        </is>
      </c>
      <c r="DO37" s="5">
        <f>ROUND(0.0,2)</f>
        <v/>
      </c>
      <c r="DP37" s="3">
        <f>ROUND(0.0,2)</f>
        <v/>
      </c>
      <c r="DQ37" s="3">
        <f>ROUND(0.0,2)</f>
        <v/>
      </c>
      <c r="DR37" s="3">
        <f>ROUND(0.0,2)</f>
        <v/>
      </c>
      <c r="DS37" s="3">
        <f>ROUND(0.0,2)</f>
        <v/>
      </c>
      <c r="DT37" s="3">
        <f>ROUND(0.0,2)</f>
        <v/>
      </c>
      <c r="DU37" s="3">
        <f>ROUND(0.0,2)</f>
        <v/>
      </c>
      <c r="DV37" s="3">
        <f>ROUND(0.0,2)</f>
        <v/>
      </c>
      <c r="DW37" s="4">
        <f>IFERROR((DQ37/DP37),0)</f>
        <v/>
      </c>
      <c r="DX37" s="4">
        <f>IFERROR(((0+DO11+DO12+DO13+DO14+DO15+DO16+DO17+DO19+DO20+DO21+DO22+DO23+DO24+DO25+DO27+DO28+DO29+DO30+DO31+DO32+DO33+DO35+DO36+DO37)/T2),0)</f>
        <v/>
      </c>
      <c r="DY37" s="5">
        <f>IFERROR(ROUND(DO37/DQ37,2),0)</f>
        <v/>
      </c>
      <c r="DZ37" s="5">
        <f>IFERROR(ROUND(DO37/DR37,2),0)</f>
        <v/>
      </c>
      <c r="EA37" s="2" t="inlineStr">
        <is>
          <t>2023-10-13</t>
        </is>
      </c>
      <c r="EB37" s="5">
        <f>ROUND(0.0,2)</f>
        <v/>
      </c>
      <c r="EC37" s="3">
        <f>ROUND(0.0,2)</f>
        <v/>
      </c>
      <c r="ED37" s="3">
        <f>ROUND(0.0,2)</f>
        <v/>
      </c>
      <c r="EE37" s="3">
        <f>ROUND(0.0,2)</f>
        <v/>
      </c>
      <c r="EF37" s="3">
        <f>ROUND(0.0,2)</f>
        <v/>
      </c>
      <c r="EG37" s="3">
        <f>ROUND(0.0,2)</f>
        <v/>
      </c>
      <c r="EH37" s="3">
        <f>ROUND(0.0,2)</f>
        <v/>
      </c>
      <c r="EI37" s="3">
        <f>ROUND(0.0,2)</f>
        <v/>
      </c>
      <c r="EJ37" s="4">
        <f>IFERROR((ED37/EC37),0)</f>
        <v/>
      </c>
      <c r="EK37" s="4">
        <f>IFERROR(((0+EB11+EB12+EB13+EB14+EB15+EB16+EB17+EB19+EB20+EB21+EB22+EB23+EB24+EB25+EB27+EB28+EB29+EB30+EB31+EB32+EB33+EB35+EB36+EB37)/T2),0)</f>
        <v/>
      </c>
      <c r="EL37" s="5">
        <f>IFERROR(ROUND(EB37/ED37,2),0)</f>
        <v/>
      </c>
      <c r="EM37" s="5">
        <f>IFERROR(ROUND(EB37/EE37,2),0)</f>
        <v/>
      </c>
      <c r="EN37" s="2" t="inlineStr">
        <is>
          <t>2023-10-13</t>
        </is>
      </c>
      <c r="EO37" s="5">
        <f>ROUND(0.0,2)</f>
        <v/>
      </c>
      <c r="EP37" s="3">
        <f>ROUND(0.0,2)</f>
        <v/>
      </c>
      <c r="EQ37" s="3">
        <f>ROUND(0.0,2)</f>
        <v/>
      </c>
      <c r="ER37" s="3">
        <f>ROUND(0.0,2)</f>
        <v/>
      </c>
      <c r="ES37" s="3">
        <f>ROUND(0.0,2)</f>
        <v/>
      </c>
      <c r="ET37" s="3">
        <f>ROUND(0.0,2)</f>
        <v/>
      </c>
      <c r="EU37" s="3">
        <f>ROUND(0.0,2)</f>
        <v/>
      </c>
      <c r="EV37" s="3">
        <f>ROUND(0.0,2)</f>
        <v/>
      </c>
      <c r="EW37" s="4">
        <f>IFERROR((EQ37/EP37),0)</f>
        <v/>
      </c>
      <c r="EX37" s="4">
        <f>IFERROR(((0+EO11+EO12+EO13+EO14+EO15+EO16+EO17+EO19+EO20+EO21+EO22+EO23+EO24+EO25+EO27+EO28+EO29+EO30+EO31+EO32+EO33+EO35+EO36+EO37)/T2),0)</f>
        <v/>
      </c>
      <c r="EY37" s="5">
        <f>IFERROR(ROUND(EO37/EQ37,2),0)</f>
        <v/>
      </c>
      <c r="EZ37" s="5">
        <f>IFERROR(ROUND(EO37/ER37,2),0)</f>
        <v/>
      </c>
      <c r="FA37" s="2" t="inlineStr">
        <is>
          <t>2023-10-13</t>
        </is>
      </c>
      <c r="FB37" s="5">
        <f>ROUND(0.0,2)</f>
        <v/>
      </c>
      <c r="FC37" s="3">
        <f>ROUND(0.0,2)</f>
        <v/>
      </c>
      <c r="FD37" s="3">
        <f>ROUND(0.0,2)</f>
        <v/>
      </c>
      <c r="FE37" s="3">
        <f>ROUND(0.0,2)</f>
        <v/>
      </c>
      <c r="FF37" s="3">
        <f>ROUND(0.0,2)</f>
        <v/>
      </c>
      <c r="FG37" s="3">
        <f>ROUND(0.0,2)</f>
        <v/>
      </c>
      <c r="FH37" s="3">
        <f>ROUND(0.0,2)</f>
        <v/>
      </c>
      <c r="FI37" s="3">
        <f>ROUND(0.0,2)</f>
        <v/>
      </c>
      <c r="FJ37" s="4">
        <f>IFERROR((FD37/FC37),0)</f>
        <v/>
      </c>
      <c r="FK37" s="4">
        <f>IFERROR(((0+FB11+FB12+FB13+FB14+FB15+FB16+FB17+FB19+FB20+FB21+FB22+FB23+FB24+FB25+FB27+FB28+FB29+FB30+FB31+FB32+FB33+FB35+FB36+FB37)/T2),0)</f>
        <v/>
      </c>
      <c r="FL37" s="5">
        <f>IFERROR(ROUND(FB37/FD37,2),0)</f>
        <v/>
      </c>
      <c r="FM37" s="5">
        <f>IFERROR(ROUND(FB37/FE37,2),0)</f>
        <v/>
      </c>
      <c r="FN37" s="2" t="inlineStr">
        <is>
          <t>2023-10-13</t>
        </is>
      </c>
      <c r="FO37" s="5">
        <f>ROUND(0.0,2)</f>
        <v/>
      </c>
      <c r="FP37" s="3">
        <f>ROUND(0.0,2)</f>
        <v/>
      </c>
      <c r="FQ37" s="3">
        <f>ROUND(0.0,2)</f>
        <v/>
      </c>
      <c r="FR37" s="3">
        <f>ROUND(0.0,2)</f>
        <v/>
      </c>
      <c r="FS37" s="3">
        <f>ROUND(0.0,2)</f>
        <v/>
      </c>
      <c r="FT37" s="3">
        <f>ROUND(0.0,2)</f>
        <v/>
      </c>
      <c r="FU37" s="3">
        <f>ROUND(0.0,2)</f>
        <v/>
      </c>
      <c r="FV37" s="3">
        <f>ROUND(0.0,2)</f>
        <v/>
      </c>
      <c r="FW37" s="4">
        <f>IFERROR((FQ37/FP37),0)</f>
        <v/>
      </c>
      <c r="FX37" s="4">
        <f>IFERROR(((0+FO11+FO12+FO13+FO14+FO15+FO16+FO17+FO19+FO20+FO21+FO22+FO23+FO24+FO25+FO27+FO28+FO29+FO30+FO31+FO32+FO33+FO35+FO36+FO37)/T2),0)</f>
        <v/>
      </c>
      <c r="FY37" s="5">
        <f>IFERROR(ROUND(FO37/FQ37,2),0)</f>
        <v/>
      </c>
      <c r="FZ37" s="5">
        <f>IFERROR(ROUND(FO37/FR37,2),0)</f>
        <v/>
      </c>
      <c r="GA37" s="2" t="inlineStr">
        <is>
          <t>2023-10-13</t>
        </is>
      </c>
      <c r="GB37" s="5">
        <f>ROUND(0.0,2)</f>
        <v/>
      </c>
      <c r="GC37" s="3">
        <f>ROUND(0.0,2)</f>
        <v/>
      </c>
      <c r="GD37" s="3">
        <f>ROUND(0.0,2)</f>
        <v/>
      </c>
      <c r="GE37" s="3">
        <f>ROUND(0.0,2)</f>
        <v/>
      </c>
      <c r="GF37" s="3">
        <f>ROUND(0.0,2)</f>
        <v/>
      </c>
      <c r="GG37" s="3">
        <f>ROUND(0.0,2)</f>
        <v/>
      </c>
      <c r="GH37" s="3">
        <f>ROUND(0.0,2)</f>
        <v/>
      </c>
      <c r="GI37" s="3">
        <f>ROUND(0.0,2)</f>
        <v/>
      </c>
      <c r="GJ37" s="4">
        <f>IFERROR((GD37/GC37),0)</f>
        <v/>
      </c>
      <c r="GK37" s="4">
        <f>IFERROR(((0+GB11+GB12+GB13+GB14+GB15+GB16+GB17+GB19+GB20+GB21+GB22+GB23+GB24+GB25+GB27+GB28+GB29+GB30+GB31+GB32+GB33+GB35+GB36+GB37)/T2),0)</f>
        <v/>
      </c>
      <c r="GL37" s="5">
        <f>IFERROR(ROUND(GB37/GD37,2),0)</f>
        <v/>
      </c>
      <c r="GM37" s="5">
        <f>IFERROR(ROUND(GB37/GE37,2),0)</f>
        <v/>
      </c>
    </row>
    <row r="38">
      <c r="A38" s="2" t="inlineStr">
        <is>
          <t>2023-10-14</t>
        </is>
      </c>
      <c r="B38" s="5">
        <f>ROUND(0.0,2)</f>
        <v/>
      </c>
      <c r="C38" s="3">
        <f>ROUND(0.0,2)</f>
        <v/>
      </c>
      <c r="D38" s="3">
        <f>ROUND(0.0,2)</f>
        <v/>
      </c>
      <c r="E38" s="3">
        <f>ROUND(0.0,2)</f>
        <v/>
      </c>
      <c r="F38" s="3">
        <f>ROUND(0.0,2)</f>
        <v/>
      </c>
      <c r="G38" s="3">
        <f>ROUND(0.0,2)</f>
        <v/>
      </c>
      <c r="H38" s="3">
        <f>ROUND(0.0,2)</f>
        <v/>
      </c>
      <c r="I38" s="3">
        <f>ROUND(0.0,2)</f>
        <v/>
      </c>
      <c r="J38" s="4">
        <f>IFERROR((D38/C38),0)</f>
        <v/>
      </c>
      <c r="K38" s="4">
        <f>IFERROR(((0+B11+B12+B13+B14+B15+B16+B17+B19+B20+B21+B22+B23+B24+B25+B27+B28+B29+B30+B31+B32+B33+B35+B36+B37+B38)/T2),0)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2023-10-14</t>
        </is>
      </c>
      <c r="O38" s="5">
        <f>ROUND(0.0,2)</f>
        <v/>
      </c>
      <c r="P38" s="3">
        <f>ROUND(0.0,2)</f>
        <v/>
      </c>
      <c r="Q38" s="3">
        <f>ROUND(0.0,2)</f>
        <v/>
      </c>
      <c r="R38" s="3">
        <f>ROUND(0.0,2)</f>
        <v/>
      </c>
      <c r="S38" s="3">
        <f>ROUND(0.0,2)</f>
        <v/>
      </c>
      <c r="T38" s="3">
        <f>ROUND(0.0,2)</f>
        <v/>
      </c>
      <c r="U38" s="3">
        <f>ROUND(0.0,2)</f>
        <v/>
      </c>
      <c r="V38" s="3">
        <f>ROUND(0.0,2)</f>
        <v/>
      </c>
      <c r="W38" s="4">
        <f>IFERROR((Q38/P38),0)</f>
        <v/>
      </c>
      <c r="X38" s="4">
        <f>IFERROR(((0+O11+O12+O13+O14+O15+O16+O17+O19+O20+O21+O22+O23+O24+O25+O27+O28+O29+O30+O31+O32+O33+O35+O36+O37+O38)/T2),0)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2023-10-14</t>
        </is>
      </c>
      <c r="AB38" s="5">
        <f>ROUND(0.0,2)</f>
        <v/>
      </c>
      <c r="AC38" s="3">
        <f>ROUND(0.0,2)</f>
        <v/>
      </c>
      <c r="AD38" s="3">
        <f>ROUND(0.0,2)</f>
        <v/>
      </c>
      <c r="AE38" s="3">
        <f>ROUND(0.0,2)</f>
        <v/>
      </c>
      <c r="AF38" s="3">
        <f>ROUND(0.0,2)</f>
        <v/>
      </c>
      <c r="AG38" s="3">
        <f>ROUND(0.0,2)</f>
        <v/>
      </c>
      <c r="AH38" s="3">
        <f>ROUND(0.0,2)</f>
        <v/>
      </c>
      <c r="AI38" s="3">
        <f>ROUND(0.0,2)</f>
        <v/>
      </c>
      <c r="AJ38" s="4">
        <f>IFERROR((AD38/AC38),0)</f>
        <v/>
      </c>
      <c r="AK38" s="4">
        <f>IFERROR(((0+AB11+AB12+AB13+AB14+AB15+AB16+AB17+AB19+AB20+AB21+AB22+AB23+AB24+AB25+AB27+AB28+AB29+AB30+AB31+AB32+AB33+AB35+AB36+AB37+AB38)/T2),0)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2023-10-14</t>
        </is>
      </c>
      <c r="AO38" s="5">
        <f>ROUND(0.0,2)</f>
        <v/>
      </c>
      <c r="AP38" s="3">
        <f>ROUND(0.0,2)</f>
        <v/>
      </c>
      <c r="AQ38" s="3">
        <f>ROUND(0.0,2)</f>
        <v/>
      </c>
      <c r="AR38" s="3">
        <f>ROUND(0.0,2)</f>
        <v/>
      </c>
      <c r="AS38" s="3">
        <f>ROUND(0.0,2)</f>
        <v/>
      </c>
      <c r="AT38" s="3">
        <f>ROUND(0.0,2)</f>
        <v/>
      </c>
      <c r="AU38" s="3">
        <f>ROUND(0.0,2)</f>
        <v/>
      </c>
      <c r="AV38" s="3">
        <f>ROUND(0.0,2)</f>
        <v/>
      </c>
      <c r="AW38" s="4">
        <f>IFERROR((AQ38/AP38),0)</f>
        <v/>
      </c>
      <c r="AX38" s="4">
        <f>IFERROR(((0+AO11+AO12+AO13+AO14+AO15+AO16+AO17+AO19+AO20+AO21+AO22+AO23+AO24+AO25+AO27+AO28+AO29+AO30+AO31+AO32+AO33+AO35+AO36+AO37+AO38)/T2),0)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2023-10-14</t>
        </is>
      </c>
      <c r="BB38" s="5">
        <f>ROUND(0.0,2)</f>
        <v/>
      </c>
      <c r="BC38" s="3">
        <f>ROUND(0.0,2)</f>
        <v/>
      </c>
      <c r="BD38" s="3">
        <f>ROUND(0.0,2)</f>
        <v/>
      </c>
      <c r="BE38" s="3">
        <f>ROUND(0.0,2)</f>
        <v/>
      </c>
      <c r="BF38" s="3">
        <f>ROUND(0.0,2)</f>
        <v/>
      </c>
      <c r="BG38" s="3">
        <f>ROUND(0.0,2)</f>
        <v/>
      </c>
      <c r="BH38" s="3">
        <f>ROUND(0.0,2)</f>
        <v/>
      </c>
      <c r="BI38" s="3">
        <f>ROUND(0.0,2)</f>
        <v/>
      </c>
      <c r="BJ38" s="4">
        <f>IFERROR((BD38/BC38),0)</f>
        <v/>
      </c>
      <c r="BK38" s="4">
        <f>IFERROR(((0+BB11+BB12+BB13+BB14+BB15+BB16+BB17+BB19+BB20+BB21+BB22+BB23+BB24+BB25+BB27+BB28+BB29+BB30+BB31+BB32+BB33+BB35+BB36+BB37+BB38)/T2),0)</f>
        <v/>
      </c>
      <c r="BL38" s="5">
        <f>IFERROR(ROUND(BB38/BD38,2),0)</f>
        <v/>
      </c>
      <c r="BM38" s="5">
        <f>IFERROR(ROUND(BB38/BE38,2),0)</f>
        <v/>
      </c>
      <c r="BN38" s="2" t="inlineStr">
        <is>
          <t>2023-10-14</t>
        </is>
      </c>
      <c r="BO38" s="5">
        <f>ROUND(0.0,2)</f>
        <v/>
      </c>
      <c r="BP38" s="3">
        <f>ROUND(0.0,2)</f>
        <v/>
      </c>
      <c r="BQ38" s="3">
        <f>ROUND(0.0,2)</f>
        <v/>
      </c>
      <c r="BR38" s="3">
        <f>ROUND(0.0,2)</f>
        <v/>
      </c>
      <c r="BS38" s="3">
        <f>ROUND(0.0,2)</f>
        <v/>
      </c>
      <c r="BT38" s="3">
        <f>ROUND(0.0,2)</f>
        <v/>
      </c>
      <c r="BU38" s="3">
        <f>ROUND(0.0,2)</f>
        <v/>
      </c>
      <c r="BV38" s="3">
        <f>ROUND(0.0,2)</f>
        <v/>
      </c>
      <c r="BW38" s="4">
        <f>IFERROR((BQ38/BP38),0)</f>
        <v/>
      </c>
      <c r="BX38" s="4">
        <f>IFERROR(((0+BO11+BO12+BO13+BO14+BO15+BO16+BO17+BO19+BO20+BO21+BO22+BO23+BO24+BO25+BO27+BO28+BO29+BO30+BO31+BO32+BO33+BO35+BO36+BO37+BO38)/T2),0)</f>
        <v/>
      </c>
      <c r="BY38" s="5">
        <f>IFERROR(ROUND(BO38/BQ38,2),0)</f>
        <v/>
      </c>
      <c r="BZ38" s="5">
        <f>IFERROR(ROUND(BO38/BR38,2),0)</f>
        <v/>
      </c>
      <c r="CA38" s="2" t="inlineStr">
        <is>
          <t>2023-10-14</t>
        </is>
      </c>
      <c r="CB38" s="5">
        <f>ROUND(0.0,2)</f>
        <v/>
      </c>
      <c r="CC38" s="3">
        <f>ROUND(0.0,2)</f>
        <v/>
      </c>
      <c r="CD38" s="3">
        <f>ROUND(0.0,2)</f>
        <v/>
      </c>
      <c r="CE38" s="3">
        <f>ROUND(0.0,2)</f>
        <v/>
      </c>
      <c r="CF38" s="3">
        <f>ROUND(0.0,2)</f>
        <v/>
      </c>
      <c r="CG38" s="3">
        <f>ROUND(0.0,2)</f>
        <v/>
      </c>
      <c r="CH38" s="3">
        <f>ROUND(0.0,2)</f>
        <v/>
      </c>
      <c r="CI38" s="3">
        <f>ROUND(0.0,2)</f>
        <v/>
      </c>
      <c r="CJ38" s="4">
        <f>IFERROR((CD38/CC38),0)</f>
        <v/>
      </c>
      <c r="CK38" s="4">
        <f>IFERROR(((0+CB11+CB12+CB13+CB14+CB15+CB16+CB17+CB19+CB20+CB21+CB22+CB23+CB24+CB25+CB27+CB28+CB29+CB30+CB31+CB32+CB33+CB35+CB36+CB37+CB38)/T2),0)</f>
        <v/>
      </c>
      <c r="CL38" s="5">
        <f>IFERROR(ROUND(CB38/CD38,2),0)</f>
        <v/>
      </c>
      <c r="CM38" s="5">
        <f>IFERROR(ROUND(CB38/CE38,2),0)</f>
        <v/>
      </c>
      <c r="CN38" s="2" t="inlineStr">
        <is>
          <t>2023-10-14</t>
        </is>
      </c>
      <c r="CO38" s="5">
        <f>ROUND(0.0,2)</f>
        <v/>
      </c>
      <c r="CP38" s="3">
        <f>ROUND(0.0,2)</f>
        <v/>
      </c>
      <c r="CQ38" s="3">
        <f>ROUND(0.0,2)</f>
        <v/>
      </c>
      <c r="CR38" s="3">
        <f>ROUND(0.0,2)</f>
        <v/>
      </c>
      <c r="CS38" s="3">
        <f>ROUND(0.0,2)</f>
        <v/>
      </c>
      <c r="CT38" s="3">
        <f>ROUND(0.0,2)</f>
        <v/>
      </c>
      <c r="CU38" s="3">
        <f>ROUND(0.0,2)</f>
        <v/>
      </c>
      <c r="CV38" s="3">
        <f>ROUND(0.0,2)</f>
        <v/>
      </c>
      <c r="CW38" s="4">
        <f>IFERROR((CQ38/CP38),0)</f>
        <v/>
      </c>
      <c r="CX38" s="4">
        <f>IFERROR(((0+CO11+CO12+CO13+CO14+CO15+CO16+CO17+CO19+CO20+CO21+CO22+CO23+CO24+CO25+CO27+CO28+CO29+CO30+CO31+CO32+CO33+CO35+CO36+CO37+CO38)/T2),0)</f>
        <v/>
      </c>
      <c r="CY38" s="5">
        <f>IFERROR(ROUND(CO38/CQ38,2),0)</f>
        <v/>
      </c>
      <c r="CZ38" s="5">
        <f>IFERROR(ROUND(CO38/CR38,2),0)</f>
        <v/>
      </c>
      <c r="DA38" s="2" t="inlineStr">
        <is>
          <t>2023-10-14</t>
        </is>
      </c>
      <c r="DB38" s="5">
        <f>ROUND(0.0,2)</f>
        <v/>
      </c>
      <c r="DC38" s="3">
        <f>ROUND(0.0,2)</f>
        <v/>
      </c>
      <c r="DD38" s="3">
        <f>ROUND(0.0,2)</f>
        <v/>
      </c>
      <c r="DE38" s="3">
        <f>ROUND(0.0,2)</f>
        <v/>
      </c>
      <c r="DF38" s="3">
        <f>ROUND(0.0,2)</f>
        <v/>
      </c>
      <c r="DG38" s="3">
        <f>ROUND(0.0,2)</f>
        <v/>
      </c>
      <c r="DH38" s="3">
        <f>ROUND(0.0,2)</f>
        <v/>
      </c>
      <c r="DI38" s="3">
        <f>ROUND(0.0,2)</f>
        <v/>
      </c>
      <c r="DJ38" s="4">
        <f>IFERROR((DD38/DC38),0)</f>
        <v/>
      </c>
      <c r="DK38" s="4">
        <f>IFERROR(((0+DB11+DB12+DB13+DB14+DB15+DB16+DB17+DB19+DB20+DB21+DB22+DB23+DB24+DB25+DB27+DB28+DB29+DB30+DB31+DB32+DB33+DB35+DB36+DB37+DB38)/T2),0)</f>
        <v/>
      </c>
      <c r="DL38" s="5">
        <f>IFERROR(ROUND(DB38/DD38,2),0)</f>
        <v/>
      </c>
      <c r="DM38" s="5">
        <f>IFERROR(ROUND(DB38/DE38,2),0)</f>
        <v/>
      </c>
      <c r="DN38" s="2" t="inlineStr">
        <is>
          <t>2023-10-14</t>
        </is>
      </c>
      <c r="DO38" s="5">
        <f>ROUND(0.0,2)</f>
        <v/>
      </c>
      <c r="DP38" s="3">
        <f>ROUND(0.0,2)</f>
        <v/>
      </c>
      <c r="DQ38" s="3">
        <f>ROUND(0.0,2)</f>
        <v/>
      </c>
      <c r="DR38" s="3">
        <f>ROUND(0.0,2)</f>
        <v/>
      </c>
      <c r="DS38" s="3">
        <f>ROUND(0.0,2)</f>
        <v/>
      </c>
      <c r="DT38" s="3">
        <f>ROUND(0.0,2)</f>
        <v/>
      </c>
      <c r="DU38" s="3">
        <f>ROUND(0.0,2)</f>
        <v/>
      </c>
      <c r="DV38" s="3">
        <f>ROUND(0.0,2)</f>
        <v/>
      </c>
      <c r="DW38" s="4">
        <f>IFERROR((DQ38/DP38),0)</f>
        <v/>
      </c>
      <c r="DX38" s="4">
        <f>IFERROR(((0+DO11+DO12+DO13+DO14+DO15+DO16+DO17+DO19+DO20+DO21+DO22+DO23+DO24+DO25+DO27+DO28+DO29+DO30+DO31+DO32+DO33+DO35+DO36+DO37+DO38)/T2),0)</f>
        <v/>
      </c>
      <c r="DY38" s="5">
        <f>IFERROR(ROUND(DO38/DQ38,2),0)</f>
        <v/>
      </c>
      <c r="DZ38" s="5">
        <f>IFERROR(ROUND(DO38/DR38,2),0)</f>
        <v/>
      </c>
      <c r="EA38" s="2" t="inlineStr">
        <is>
          <t>2023-10-14</t>
        </is>
      </c>
      <c r="EB38" s="5">
        <f>ROUND(0.0,2)</f>
        <v/>
      </c>
      <c r="EC38" s="3">
        <f>ROUND(0.0,2)</f>
        <v/>
      </c>
      <c r="ED38" s="3">
        <f>ROUND(0.0,2)</f>
        <v/>
      </c>
      <c r="EE38" s="3">
        <f>ROUND(0.0,2)</f>
        <v/>
      </c>
      <c r="EF38" s="3">
        <f>ROUND(0.0,2)</f>
        <v/>
      </c>
      <c r="EG38" s="3">
        <f>ROUND(0.0,2)</f>
        <v/>
      </c>
      <c r="EH38" s="3">
        <f>ROUND(0.0,2)</f>
        <v/>
      </c>
      <c r="EI38" s="3">
        <f>ROUND(0.0,2)</f>
        <v/>
      </c>
      <c r="EJ38" s="4">
        <f>IFERROR((ED38/EC38),0)</f>
        <v/>
      </c>
      <c r="EK38" s="4">
        <f>IFERROR(((0+EB11+EB12+EB13+EB14+EB15+EB16+EB17+EB19+EB20+EB21+EB22+EB23+EB24+EB25+EB27+EB28+EB29+EB30+EB31+EB32+EB33+EB35+EB36+EB37+EB38)/T2),0)</f>
        <v/>
      </c>
      <c r="EL38" s="5">
        <f>IFERROR(ROUND(EB38/ED38,2),0)</f>
        <v/>
      </c>
      <c r="EM38" s="5">
        <f>IFERROR(ROUND(EB38/EE38,2),0)</f>
        <v/>
      </c>
      <c r="EN38" s="2" t="inlineStr">
        <is>
          <t>2023-10-14</t>
        </is>
      </c>
      <c r="EO38" s="5">
        <f>ROUND(0.0,2)</f>
        <v/>
      </c>
      <c r="EP38" s="3">
        <f>ROUND(0.0,2)</f>
        <v/>
      </c>
      <c r="EQ38" s="3">
        <f>ROUND(0.0,2)</f>
        <v/>
      </c>
      <c r="ER38" s="3">
        <f>ROUND(0.0,2)</f>
        <v/>
      </c>
      <c r="ES38" s="3">
        <f>ROUND(0.0,2)</f>
        <v/>
      </c>
      <c r="ET38" s="3">
        <f>ROUND(0.0,2)</f>
        <v/>
      </c>
      <c r="EU38" s="3">
        <f>ROUND(0.0,2)</f>
        <v/>
      </c>
      <c r="EV38" s="3">
        <f>ROUND(0.0,2)</f>
        <v/>
      </c>
      <c r="EW38" s="4">
        <f>IFERROR((EQ38/EP38),0)</f>
        <v/>
      </c>
      <c r="EX38" s="4">
        <f>IFERROR(((0+EO11+EO12+EO13+EO14+EO15+EO16+EO17+EO19+EO20+EO21+EO22+EO23+EO24+EO25+EO27+EO28+EO29+EO30+EO31+EO32+EO33+EO35+EO36+EO37+EO38)/T2),0)</f>
        <v/>
      </c>
      <c r="EY38" s="5">
        <f>IFERROR(ROUND(EO38/EQ38,2),0)</f>
        <v/>
      </c>
      <c r="EZ38" s="5">
        <f>IFERROR(ROUND(EO38/ER38,2),0)</f>
        <v/>
      </c>
      <c r="FA38" s="2" t="inlineStr">
        <is>
          <t>2023-10-14</t>
        </is>
      </c>
      <c r="FB38" s="5">
        <f>ROUND(0.0,2)</f>
        <v/>
      </c>
      <c r="FC38" s="3">
        <f>ROUND(0.0,2)</f>
        <v/>
      </c>
      <c r="FD38" s="3">
        <f>ROUND(0.0,2)</f>
        <v/>
      </c>
      <c r="FE38" s="3">
        <f>ROUND(0.0,2)</f>
        <v/>
      </c>
      <c r="FF38" s="3">
        <f>ROUND(0.0,2)</f>
        <v/>
      </c>
      <c r="FG38" s="3">
        <f>ROUND(0.0,2)</f>
        <v/>
      </c>
      <c r="FH38" s="3">
        <f>ROUND(0.0,2)</f>
        <v/>
      </c>
      <c r="FI38" s="3">
        <f>ROUND(0.0,2)</f>
        <v/>
      </c>
      <c r="FJ38" s="4">
        <f>IFERROR((FD38/FC38),0)</f>
        <v/>
      </c>
      <c r="FK38" s="4">
        <f>IFERROR(((0+FB11+FB12+FB13+FB14+FB15+FB16+FB17+FB19+FB20+FB21+FB22+FB23+FB24+FB25+FB27+FB28+FB29+FB30+FB31+FB32+FB33+FB35+FB36+FB37+FB38)/T2),0)</f>
        <v/>
      </c>
      <c r="FL38" s="5">
        <f>IFERROR(ROUND(FB38/FD38,2),0)</f>
        <v/>
      </c>
      <c r="FM38" s="5">
        <f>IFERROR(ROUND(FB38/FE38,2),0)</f>
        <v/>
      </c>
      <c r="FN38" s="2" t="inlineStr">
        <is>
          <t>2023-10-14</t>
        </is>
      </c>
      <c r="FO38" s="5">
        <f>ROUND(0.0,2)</f>
        <v/>
      </c>
      <c r="FP38" s="3">
        <f>ROUND(0.0,2)</f>
        <v/>
      </c>
      <c r="FQ38" s="3">
        <f>ROUND(0.0,2)</f>
        <v/>
      </c>
      <c r="FR38" s="3">
        <f>ROUND(0.0,2)</f>
        <v/>
      </c>
      <c r="FS38" s="3">
        <f>ROUND(0.0,2)</f>
        <v/>
      </c>
      <c r="FT38" s="3">
        <f>ROUND(0.0,2)</f>
        <v/>
      </c>
      <c r="FU38" s="3">
        <f>ROUND(0.0,2)</f>
        <v/>
      </c>
      <c r="FV38" s="3">
        <f>ROUND(0.0,2)</f>
        <v/>
      </c>
      <c r="FW38" s="4">
        <f>IFERROR((FQ38/FP38),0)</f>
        <v/>
      </c>
      <c r="FX38" s="4">
        <f>IFERROR(((0+FO11+FO12+FO13+FO14+FO15+FO16+FO17+FO19+FO20+FO21+FO22+FO23+FO24+FO25+FO27+FO28+FO29+FO30+FO31+FO32+FO33+FO35+FO36+FO37+FO38)/T2),0)</f>
        <v/>
      </c>
      <c r="FY38" s="5">
        <f>IFERROR(ROUND(FO38/FQ38,2),0)</f>
        <v/>
      </c>
      <c r="FZ38" s="5">
        <f>IFERROR(ROUND(FO38/FR38,2),0)</f>
        <v/>
      </c>
      <c r="GA38" s="2" t="inlineStr">
        <is>
          <t>2023-10-14</t>
        </is>
      </c>
      <c r="GB38" s="5">
        <f>ROUND(0.0,2)</f>
        <v/>
      </c>
      <c r="GC38" s="3">
        <f>ROUND(0.0,2)</f>
        <v/>
      </c>
      <c r="GD38" s="3">
        <f>ROUND(0.0,2)</f>
        <v/>
      </c>
      <c r="GE38" s="3">
        <f>ROUND(0.0,2)</f>
        <v/>
      </c>
      <c r="GF38" s="3">
        <f>ROUND(0.0,2)</f>
        <v/>
      </c>
      <c r="GG38" s="3">
        <f>ROUND(0.0,2)</f>
        <v/>
      </c>
      <c r="GH38" s="3">
        <f>ROUND(0.0,2)</f>
        <v/>
      </c>
      <c r="GI38" s="3">
        <f>ROUND(0.0,2)</f>
        <v/>
      </c>
      <c r="GJ38" s="4">
        <f>IFERROR((GD38/GC38),0)</f>
        <v/>
      </c>
      <c r="GK38" s="4">
        <f>IFERROR(((0+GB11+GB12+GB13+GB14+GB15+GB16+GB17+GB19+GB20+GB21+GB22+GB23+GB24+GB25+GB27+GB28+GB29+GB30+GB31+GB32+GB33+GB35+GB36+GB37+GB38)/T2),0)</f>
        <v/>
      </c>
      <c r="GL38" s="5">
        <f>IFERROR(ROUND(GB38/GD38,2),0)</f>
        <v/>
      </c>
      <c r="GM38" s="5">
        <f>IFERROR(ROUND(GB38/GE38,2),0)</f>
        <v/>
      </c>
    </row>
    <row r="39">
      <c r="A39" s="2" t="inlineStr">
        <is>
          <t>2023-10-15</t>
        </is>
      </c>
      <c r="B39" s="5">
        <f>ROUND(0.0,2)</f>
        <v/>
      </c>
      <c r="C39" s="3">
        <f>ROUND(0.0,2)</f>
        <v/>
      </c>
      <c r="D39" s="3">
        <f>ROUND(0.0,2)</f>
        <v/>
      </c>
      <c r="E39" s="3">
        <f>ROUND(0.0,2)</f>
        <v/>
      </c>
      <c r="F39" s="3">
        <f>ROUND(0.0,2)</f>
        <v/>
      </c>
      <c r="G39" s="3">
        <f>ROUND(0.0,2)</f>
        <v/>
      </c>
      <c r="H39" s="3">
        <f>ROUND(0.0,2)</f>
        <v/>
      </c>
      <c r="I39" s="3">
        <f>ROUND(0.0,2)</f>
        <v/>
      </c>
      <c r="J39" s="4">
        <f>IFERROR((D39/C39),0)</f>
        <v/>
      </c>
      <c r="K39" s="4">
        <f>IFERROR(((0+B11+B12+B13+B14+B15+B16+B17+B19+B20+B21+B22+B23+B24+B25+B27+B28+B29+B30+B31+B32+B33+B35+B36+B37+B38+B39)/T2),0)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2023-10-15</t>
        </is>
      </c>
      <c r="O39" s="5">
        <f>ROUND(0.0,2)</f>
        <v/>
      </c>
      <c r="P39" s="3">
        <f>ROUND(0.0,2)</f>
        <v/>
      </c>
      <c r="Q39" s="3">
        <f>ROUND(0.0,2)</f>
        <v/>
      </c>
      <c r="R39" s="3">
        <f>ROUND(0.0,2)</f>
        <v/>
      </c>
      <c r="S39" s="3">
        <f>ROUND(0.0,2)</f>
        <v/>
      </c>
      <c r="T39" s="3">
        <f>ROUND(0.0,2)</f>
        <v/>
      </c>
      <c r="U39" s="3">
        <f>ROUND(0.0,2)</f>
        <v/>
      </c>
      <c r="V39" s="3">
        <f>ROUND(0.0,2)</f>
        <v/>
      </c>
      <c r="W39" s="4">
        <f>IFERROR((Q39/P39),0)</f>
        <v/>
      </c>
      <c r="X39" s="4">
        <f>IFERROR(((0+O11+O12+O13+O14+O15+O16+O17+O19+O20+O21+O22+O23+O24+O25+O27+O28+O29+O30+O31+O32+O33+O35+O36+O37+O38+O39)/T2),0)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2023-10-15</t>
        </is>
      </c>
      <c r="AB39" s="5">
        <f>ROUND(0.0,2)</f>
        <v/>
      </c>
      <c r="AC39" s="3">
        <f>ROUND(0.0,2)</f>
        <v/>
      </c>
      <c r="AD39" s="3">
        <f>ROUND(0.0,2)</f>
        <v/>
      </c>
      <c r="AE39" s="3">
        <f>ROUND(0.0,2)</f>
        <v/>
      </c>
      <c r="AF39" s="3">
        <f>ROUND(0.0,2)</f>
        <v/>
      </c>
      <c r="AG39" s="3">
        <f>ROUND(0.0,2)</f>
        <v/>
      </c>
      <c r="AH39" s="3">
        <f>ROUND(0.0,2)</f>
        <v/>
      </c>
      <c r="AI39" s="3">
        <f>ROUND(0.0,2)</f>
        <v/>
      </c>
      <c r="AJ39" s="4">
        <f>IFERROR((AD39/AC39),0)</f>
        <v/>
      </c>
      <c r="AK39" s="4">
        <f>IFERROR(((0+AB11+AB12+AB13+AB14+AB15+AB16+AB17+AB19+AB20+AB21+AB22+AB23+AB24+AB25+AB27+AB28+AB29+AB30+AB31+AB32+AB33+AB35+AB36+AB37+AB38+AB39)/T2),0)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2023-10-15</t>
        </is>
      </c>
      <c r="AO39" s="5">
        <f>ROUND(0.0,2)</f>
        <v/>
      </c>
      <c r="AP39" s="3">
        <f>ROUND(0.0,2)</f>
        <v/>
      </c>
      <c r="AQ39" s="3">
        <f>ROUND(0.0,2)</f>
        <v/>
      </c>
      <c r="AR39" s="3">
        <f>ROUND(0.0,2)</f>
        <v/>
      </c>
      <c r="AS39" s="3">
        <f>ROUND(0.0,2)</f>
        <v/>
      </c>
      <c r="AT39" s="3">
        <f>ROUND(0.0,2)</f>
        <v/>
      </c>
      <c r="AU39" s="3">
        <f>ROUND(0.0,2)</f>
        <v/>
      </c>
      <c r="AV39" s="3">
        <f>ROUND(0.0,2)</f>
        <v/>
      </c>
      <c r="AW39" s="4">
        <f>IFERROR((AQ39/AP39),0)</f>
        <v/>
      </c>
      <c r="AX39" s="4">
        <f>IFERROR(((0+AO11+AO12+AO13+AO14+AO15+AO16+AO17+AO19+AO20+AO21+AO22+AO23+AO24+AO25+AO27+AO28+AO29+AO30+AO31+AO32+AO33+AO35+AO36+AO37+AO38+AO39)/T2),0)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2023-10-15</t>
        </is>
      </c>
      <c r="BB39" s="5">
        <f>ROUND(0.0,2)</f>
        <v/>
      </c>
      <c r="BC39" s="3">
        <f>ROUND(0.0,2)</f>
        <v/>
      </c>
      <c r="BD39" s="3">
        <f>ROUND(0.0,2)</f>
        <v/>
      </c>
      <c r="BE39" s="3">
        <f>ROUND(0.0,2)</f>
        <v/>
      </c>
      <c r="BF39" s="3">
        <f>ROUND(0.0,2)</f>
        <v/>
      </c>
      <c r="BG39" s="3">
        <f>ROUND(0.0,2)</f>
        <v/>
      </c>
      <c r="BH39" s="3">
        <f>ROUND(0.0,2)</f>
        <v/>
      </c>
      <c r="BI39" s="3">
        <f>ROUND(0.0,2)</f>
        <v/>
      </c>
      <c r="BJ39" s="4">
        <f>IFERROR((BD39/BC39),0)</f>
        <v/>
      </c>
      <c r="BK39" s="4">
        <f>IFERROR(((0+BB11+BB12+BB13+BB14+BB15+BB16+BB17+BB19+BB20+BB21+BB22+BB23+BB24+BB25+BB27+BB28+BB29+BB30+BB31+BB32+BB33+BB35+BB36+BB37+BB38+BB39)/T2),0)</f>
        <v/>
      </c>
      <c r="BL39" s="5">
        <f>IFERROR(ROUND(BB39/BD39,2),0)</f>
        <v/>
      </c>
      <c r="BM39" s="5">
        <f>IFERROR(ROUND(BB39/BE39,2),0)</f>
        <v/>
      </c>
      <c r="BN39" s="2" t="inlineStr">
        <is>
          <t>2023-10-15</t>
        </is>
      </c>
      <c r="BO39" s="5">
        <f>ROUND(0.0,2)</f>
        <v/>
      </c>
      <c r="BP39" s="3">
        <f>ROUND(0.0,2)</f>
        <v/>
      </c>
      <c r="BQ39" s="3">
        <f>ROUND(0.0,2)</f>
        <v/>
      </c>
      <c r="BR39" s="3">
        <f>ROUND(0.0,2)</f>
        <v/>
      </c>
      <c r="BS39" s="3">
        <f>ROUND(0.0,2)</f>
        <v/>
      </c>
      <c r="BT39" s="3">
        <f>ROUND(0.0,2)</f>
        <v/>
      </c>
      <c r="BU39" s="3">
        <f>ROUND(0.0,2)</f>
        <v/>
      </c>
      <c r="BV39" s="3">
        <f>ROUND(0.0,2)</f>
        <v/>
      </c>
      <c r="BW39" s="4">
        <f>IFERROR((BQ39/BP39),0)</f>
        <v/>
      </c>
      <c r="BX39" s="4">
        <f>IFERROR(((0+BO11+BO12+BO13+BO14+BO15+BO16+BO17+BO19+BO20+BO21+BO22+BO23+BO24+BO25+BO27+BO28+BO29+BO30+BO31+BO32+BO33+BO35+BO36+BO37+BO38+BO39)/T2),0)</f>
        <v/>
      </c>
      <c r="BY39" s="5">
        <f>IFERROR(ROUND(BO39/BQ39,2),0)</f>
        <v/>
      </c>
      <c r="BZ39" s="5">
        <f>IFERROR(ROUND(BO39/BR39,2),0)</f>
        <v/>
      </c>
      <c r="CA39" s="2" t="inlineStr">
        <is>
          <t>2023-10-15</t>
        </is>
      </c>
      <c r="CB39" s="5">
        <f>ROUND(0.0,2)</f>
        <v/>
      </c>
      <c r="CC39" s="3">
        <f>ROUND(0.0,2)</f>
        <v/>
      </c>
      <c r="CD39" s="3">
        <f>ROUND(0.0,2)</f>
        <v/>
      </c>
      <c r="CE39" s="3">
        <f>ROUND(0.0,2)</f>
        <v/>
      </c>
      <c r="CF39" s="3">
        <f>ROUND(0.0,2)</f>
        <v/>
      </c>
      <c r="CG39" s="3">
        <f>ROUND(0.0,2)</f>
        <v/>
      </c>
      <c r="CH39" s="3">
        <f>ROUND(0.0,2)</f>
        <v/>
      </c>
      <c r="CI39" s="3">
        <f>ROUND(0.0,2)</f>
        <v/>
      </c>
      <c r="CJ39" s="4">
        <f>IFERROR((CD39/CC39),0)</f>
        <v/>
      </c>
      <c r="CK39" s="4">
        <f>IFERROR(((0+CB11+CB12+CB13+CB14+CB15+CB16+CB17+CB19+CB20+CB21+CB22+CB23+CB24+CB25+CB27+CB28+CB29+CB30+CB31+CB32+CB33+CB35+CB36+CB37+CB38+CB39)/T2),0)</f>
        <v/>
      </c>
      <c r="CL39" s="5">
        <f>IFERROR(ROUND(CB39/CD39,2),0)</f>
        <v/>
      </c>
      <c r="CM39" s="5">
        <f>IFERROR(ROUND(CB39/CE39,2),0)</f>
        <v/>
      </c>
      <c r="CN39" s="2" t="inlineStr">
        <is>
          <t>2023-10-15</t>
        </is>
      </c>
      <c r="CO39" s="5">
        <f>ROUND(0.0,2)</f>
        <v/>
      </c>
      <c r="CP39" s="3">
        <f>ROUND(0.0,2)</f>
        <v/>
      </c>
      <c r="CQ39" s="3">
        <f>ROUND(0.0,2)</f>
        <v/>
      </c>
      <c r="CR39" s="3">
        <f>ROUND(0.0,2)</f>
        <v/>
      </c>
      <c r="CS39" s="3">
        <f>ROUND(0.0,2)</f>
        <v/>
      </c>
      <c r="CT39" s="3">
        <f>ROUND(0.0,2)</f>
        <v/>
      </c>
      <c r="CU39" s="3">
        <f>ROUND(0.0,2)</f>
        <v/>
      </c>
      <c r="CV39" s="3">
        <f>ROUND(0.0,2)</f>
        <v/>
      </c>
      <c r="CW39" s="4">
        <f>IFERROR((CQ39/CP39),0)</f>
        <v/>
      </c>
      <c r="CX39" s="4">
        <f>IFERROR(((0+CO11+CO12+CO13+CO14+CO15+CO16+CO17+CO19+CO20+CO21+CO22+CO23+CO24+CO25+CO27+CO28+CO29+CO30+CO31+CO32+CO33+CO35+CO36+CO37+CO38+CO39)/T2),0)</f>
        <v/>
      </c>
      <c r="CY39" s="5">
        <f>IFERROR(ROUND(CO39/CQ39,2),0)</f>
        <v/>
      </c>
      <c r="CZ39" s="5">
        <f>IFERROR(ROUND(CO39/CR39,2),0)</f>
        <v/>
      </c>
      <c r="DA39" s="2" t="inlineStr">
        <is>
          <t>2023-10-15</t>
        </is>
      </c>
      <c r="DB39" s="5">
        <f>ROUND(0.0,2)</f>
        <v/>
      </c>
      <c r="DC39" s="3">
        <f>ROUND(0.0,2)</f>
        <v/>
      </c>
      <c r="DD39" s="3">
        <f>ROUND(0.0,2)</f>
        <v/>
      </c>
      <c r="DE39" s="3">
        <f>ROUND(0.0,2)</f>
        <v/>
      </c>
      <c r="DF39" s="3">
        <f>ROUND(0.0,2)</f>
        <v/>
      </c>
      <c r="DG39" s="3">
        <f>ROUND(0.0,2)</f>
        <v/>
      </c>
      <c r="DH39" s="3">
        <f>ROUND(0.0,2)</f>
        <v/>
      </c>
      <c r="DI39" s="3">
        <f>ROUND(0.0,2)</f>
        <v/>
      </c>
      <c r="DJ39" s="4">
        <f>IFERROR((DD39/DC39),0)</f>
        <v/>
      </c>
      <c r="DK39" s="4">
        <f>IFERROR(((0+DB11+DB12+DB13+DB14+DB15+DB16+DB17+DB19+DB20+DB21+DB22+DB23+DB24+DB25+DB27+DB28+DB29+DB30+DB31+DB32+DB33+DB35+DB36+DB37+DB38+DB39)/T2),0)</f>
        <v/>
      </c>
      <c r="DL39" s="5">
        <f>IFERROR(ROUND(DB39/DD39,2),0)</f>
        <v/>
      </c>
      <c r="DM39" s="5">
        <f>IFERROR(ROUND(DB39/DE39,2),0)</f>
        <v/>
      </c>
      <c r="DN39" s="2" t="inlineStr">
        <is>
          <t>2023-10-15</t>
        </is>
      </c>
      <c r="DO39" s="5">
        <f>ROUND(0.0,2)</f>
        <v/>
      </c>
      <c r="DP39" s="3">
        <f>ROUND(0.0,2)</f>
        <v/>
      </c>
      <c r="DQ39" s="3">
        <f>ROUND(0.0,2)</f>
        <v/>
      </c>
      <c r="DR39" s="3">
        <f>ROUND(0.0,2)</f>
        <v/>
      </c>
      <c r="DS39" s="3">
        <f>ROUND(0.0,2)</f>
        <v/>
      </c>
      <c r="DT39" s="3">
        <f>ROUND(0.0,2)</f>
        <v/>
      </c>
      <c r="DU39" s="3">
        <f>ROUND(0.0,2)</f>
        <v/>
      </c>
      <c r="DV39" s="3">
        <f>ROUND(0.0,2)</f>
        <v/>
      </c>
      <c r="DW39" s="4">
        <f>IFERROR((DQ39/DP39),0)</f>
        <v/>
      </c>
      <c r="DX39" s="4">
        <f>IFERROR(((0+DO11+DO12+DO13+DO14+DO15+DO16+DO17+DO19+DO20+DO21+DO22+DO23+DO24+DO25+DO27+DO28+DO29+DO30+DO31+DO32+DO33+DO35+DO36+DO37+DO38+DO39)/T2),0)</f>
        <v/>
      </c>
      <c r="DY39" s="5">
        <f>IFERROR(ROUND(DO39/DQ39,2),0)</f>
        <v/>
      </c>
      <c r="DZ39" s="5">
        <f>IFERROR(ROUND(DO39/DR39,2),0)</f>
        <v/>
      </c>
      <c r="EA39" s="2" t="inlineStr">
        <is>
          <t>2023-10-15</t>
        </is>
      </c>
      <c r="EB39" s="5">
        <f>ROUND(0.0,2)</f>
        <v/>
      </c>
      <c r="EC39" s="3">
        <f>ROUND(0.0,2)</f>
        <v/>
      </c>
      <c r="ED39" s="3">
        <f>ROUND(0.0,2)</f>
        <v/>
      </c>
      <c r="EE39" s="3">
        <f>ROUND(0.0,2)</f>
        <v/>
      </c>
      <c r="EF39" s="3">
        <f>ROUND(0.0,2)</f>
        <v/>
      </c>
      <c r="EG39" s="3">
        <f>ROUND(0.0,2)</f>
        <v/>
      </c>
      <c r="EH39" s="3">
        <f>ROUND(0.0,2)</f>
        <v/>
      </c>
      <c r="EI39" s="3">
        <f>ROUND(0.0,2)</f>
        <v/>
      </c>
      <c r="EJ39" s="4">
        <f>IFERROR((ED39/EC39),0)</f>
        <v/>
      </c>
      <c r="EK39" s="4">
        <f>IFERROR(((0+EB11+EB12+EB13+EB14+EB15+EB16+EB17+EB19+EB20+EB21+EB22+EB23+EB24+EB25+EB27+EB28+EB29+EB30+EB31+EB32+EB33+EB35+EB36+EB37+EB38+EB39)/T2),0)</f>
        <v/>
      </c>
      <c r="EL39" s="5">
        <f>IFERROR(ROUND(EB39/ED39,2),0)</f>
        <v/>
      </c>
      <c r="EM39" s="5">
        <f>IFERROR(ROUND(EB39/EE39,2),0)</f>
        <v/>
      </c>
      <c r="EN39" s="2" t="inlineStr">
        <is>
          <t>2023-10-15</t>
        </is>
      </c>
      <c r="EO39" s="5">
        <f>ROUND(0.0,2)</f>
        <v/>
      </c>
      <c r="EP39" s="3">
        <f>ROUND(0.0,2)</f>
        <v/>
      </c>
      <c r="EQ39" s="3">
        <f>ROUND(0.0,2)</f>
        <v/>
      </c>
      <c r="ER39" s="3">
        <f>ROUND(0.0,2)</f>
        <v/>
      </c>
      <c r="ES39" s="3">
        <f>ROUND(0.0,2)</f>
        <v/>
      </c>
      <c r="ET39" s="3">
        <f>ROUND(0.0,2)</f>
        <v/>
      </c>
      <c r="EU39" s="3">
        <f>ROUND(0.0,2)</f>
        <v/>
      </c>
      <c r="EV39" s="3">
        <f>ROUND(0.0,2)</f>
        <v/>
      </c>
      <c r="EW39" s="4">
        <f>IFERROR((EQ39/EP39),0)</f>
        <v/>
      </c>
      <c r="EX39" s="4">
        <f>IFERROR(((0+EO11+EO12+EO13+EO14+EO15+EO16+EO17+EO19+EO20+EO21+EO22+EO23+EO24+EO25+EO27+EO28+EO29+EO30+EO31+EO32+EO33+EO35+EO36+EO37+EO38+EO39)/T2),0)</f>
        <v/>
      </c>
      <c r="EY39" s="5">
        <f>IFERROR(ROUND(EO39/EQ39,2),0)</f>
        <v/>
      </c>
      <c r="EZ39" s="5">
        <f>IFERROR(ROUND(EO39/ER39,2),0)</f>
        <v/>
      </c>
      <c r="FA39" s="2" t="inlineStr">
        <is>
          <t>2023-10-15</t>
        </is>
      </c>
      <c r="FB39" s="5">
        <f>ROUND(0.0,2)</f>
        <v/>
      </c>
      <c r="FC39" s="3">
        <f>ROUND(0.0,2)</f>
        <v/>
      </c>
      <c r="FD39" s="3">
        <f>ROUND(0.0,2)</f>
        <v/>
      </c>
      <c r="FE39" s="3">
        <f>ROUND(0.0,2)</f>
        <v/>
      </c>
      <c r="FF39" s="3">
        <f>ROUND(0.0,2)</f>
        <v/>
      </c>
      <c r="FG39" s="3">
        <f>ROUND(0.0,2)</f>
        <v/>
      </c>
      <c r="FH39" s="3">
        <f>ROUND(0.0,2)</f>
        <v/>
      </c>
      <c r="FI39" s="3">
        <f>ROUND(0.0,2)</f>
        <v/>
      </c>
      <c r="FJ39" s="4">
        <f>IFERROR((FD39/FC39),0)</f>
        <v/>
      </c>
      <c r="FK39" s="4">
        <f>IFERROR(((0+FB11+FB12+FB13+FB14+FB15+FB16+FB17+FB19+FB20+FB21+FB22+FB23+FB24+FB25+FB27+FB28+FB29+FB30+FB31+FB32+FB33+FB35+FB36+FB37+FB38+FB39)/T2),0)</f>
        <v/>
      </c>
      <c r="FL39" s="5">
        <f>IFERROR(ROUND(FB39/FD39,2),0)</f>
        <v/>
      </c>
      <c r="FM39" s="5">
        <f>IFERROR(ROUND(FB39/FE39,2),0)</f>
        <v/>
      </c>
      <c r="FN39" s="2" t="inlineStr">
        <is>
          <t>2023-10-15</t>
        </is>
      </c>
      <c r="FO39" s="5">
        <f>ROUND(0.0,2)</f>
        <v/>
      </c>
      <c r="FP39" s="3">
        <f>ROUND(0.0,2)</f>
        <v/>
      </c>
      <c r="FQ39" s="3">
        <f>ROUND(0.0,2)</f>
        <v/>
      </c>
      <c r="FR39" s="3">
        <f>ROUND(0.0,2)</f>
        <v/>
      </c>
      <c r="FS39" s="3">
        <f>ROUND(0.0,2)</f>
        <v/>
      </c>
      <c r="FT39" s="3">
        <f>ROUND(0.0,2)</f>
        <v/>
      </c>
      <c r="FU39" s="3">
        <f>ROUND(0.0,2)</f>
        <v/>
      </c>
      <c r="FV39" s="3">
        <f>ROUND(0.0,2)</f>
        <v/>
      </c>
      <c r="FW39" s="4">
        <f>IFERROR((FQ39/FP39),0)</f>
        <v/>
      </c>
      <c r="FX39" s="4">
        <f>IFERROR(((0+FO11+FO12+FO13+FO14+FO15+FO16+FO17+FO19+FO20+FO21+FO22+FO23+FO24+FO25+FO27+FO28+FO29+FO30+FO31+FO32+FO33+FO35+FO36+FO37+FO38+FO39)/T2),0)</f>
        <v/>
      </c>
      <c r="FY39" s="5">
        <f>IFERROR(ROUND(FO39/FQ39,2),0)</f>
        <v/>
      </c>
      <c r="FZ39" s="5">
        <f>IFERROR(ROUND(FO39/FR39,2),0)</f>
        <v/>
      </c>
      <c r="GA39" s="2" t="inlineStr">
        <is>
          <t>2023-10-15</t>
        </is>
      </c>
      <c r="GB39" s="5">
        <f>ROUND(0.0,2)</f>
        <v/>
      </c>
      <c r="GC39" s="3">
        <f>ROUND(0.0,2)</f>
        <v/>
      </c>
      <c r="GD39" s="3">
        <f>ROUND(0.0,2)</f>
        <v/>
      </c>
      <c r="GE39" s="3">
        <f>ROUND(0.0,2)</f>
        <v/>
      </c>
      <c r="GF39" s="3">
        <f>ROUND(0.0,2)</f>
        <v/>
      </c>
      <c r="GG39" s="3">
        <f>ROUND(0.0,2)</f>
        <v/>
      </c>
      <c r="GH39" s="3">
        <f>ROUND(0.0,2)</f>
        <v/>
      </c>
      <c r="GI39" s="3">
        <f>ROUND(0.0,2)</f>
        <v/>
      </c>
      <c r="GJ39" s="4">
        <f>IFERROR((GD39/GC39),0)</f>
        <v/>
      </c>
      <c r="GK39" s="4">
        <f>IFERROR(((0+GB11+GB12+GB13+GB14+GB15+GB16+GB17+GB19+GB20+GB21+GB22+GB23+GB24+GB25+GB27+GB28+GB29+GB30+GB31+GB32+GB33+GB35+GB36+GB37+GB38+GB39)/T2),0)</f>
        <v/>
      </c>
      <c r="GL39" s="5">
        <f>IFERROR(ROUND(GB39/GD39,2),0)</f>
        <v/>
      </c>
      <c r="GM39" s="5">
        <f>IFERROR(ROUND(GB39/GE39,2),0)</f>
        <v/>
      </c>
    </row>
    <row r="40">
      <c r="A40" s="2" t="inlineStr">
        <is>
          <t>2023-10-16</t>
        </is>
      </c>
      <c r="B40" s="5">
        <f>ROUND(0.0,2)</f>
        <v/>
      </c>
      <c r="C40" s="3">
        <f>ROUND(0.0,2)</f>
        <v/>
      </c>
      <c r="D40" s="3">
        <f>ROUND(0.0,2)</f>
        <v/>
      </c>
      <c r="E40" s="3">
        <f>ROUND(0.0,2)</f>
        <v/>
      </c>
      <c r="F40" s="3">
        <f>ROUND(0.0,2)</f>
        <v/>
      </c>
      <c r="G40" s="3">
        <f>ROUND(0.0,2)</f>
        <v/>
      </c>
      <c r="H40" s="3">
        <f>ROUND(0.0,2)</f>
        <v/>
      </c>
      <c r="I40" s="3">
        <f>ROUND(0.0,2)</f>
        <v/>
      </c>
      <c r="J40" s="4">
        <f>IFERROR((D40/C40),0)</f>
        <v/>
      </c>
      <c r="K40" s="4">
        <f>IFERROR(((0+B11+B12+B13+B14+B15+B16+B17+B19+B20+B21+B22+B23+B24+B25+B27+B28+B29+B30+B31+B32+B33+B35+B36+B37+B38+B39+B40)/T2),0)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2023-10-16</t>
        </is>
      </c>
      <c r="O40" s="5">
        <f>ROUND(0.0,2)</f>
        <v/>
      </c>
      <c r="P40" s="3">
        <f>ROUND(0.0,2)</f>
        <v/>
      </c>
      <c r="Q40" s="3">
        <f>ROUND(0.0,2)</f>
        <v/>
      </c>
      <c r="R40" s="3">
        <f>ROUND(0.0,2)</f>
        <v/>
      </c>
      <c r="S40" s="3">
        <f>ROUND(0.0,2)</f>
        <v/>
      </c>
      <c r="T40" s="3">
        <f>ROUND(0.0,2)</f>
        <v/>
      </c>
      <c r="U40" s="3">
        <f>ROUND(0.0,2)</f>
        <v/>
      </c>
      <c r="V40" s="3">
        <f>ROUND(0.0,2)</f>
        <v/>
      </c>
      <c r="W40" s="4">
        <f>IFERROR((Q40/P40),0)</f>
        <v/>
      </c>
      <c r="X40" s="4">
        <f>IFERROR(((0+O11+O12+O13+O14+O15+O16+O17+O19+O20+O21+O22+O23+O24+O25+O27+O28+O29+O30+O31+O32+O33+O35+O36+O37+O38+O39+O40)/T2),0)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2023-10-16</t>
        </is>
      </c>
      <c r="AB40" s="5">
        <f>ROUND(0.0,2)</f>
        <v/>
      </c>
      <c r="AC40" s="3">
        <f>ROUND(0.0,2)</f>
        <v/>
      </c>
      <c r="AD40" s="3">
        <f>ROUND(0.0,2)</f>
        <v/>
      </c>
      <c r="AE40" s="3">
        <f>ROUND(0.0,2)</f>
        <v/>
      </c>
      <c r="AF40" s="3">
        <f>ROUND(0.0,2)</f>
        <v/>
      </c>
      <c r="AG40" s="3">
        <f>ROUND(0.0,2)</f>
        <v/>
      </c>
      <c r="AH40" s="3">
        <f>ROUND(0.0,2)</f>
        <v/>
      </c>
      <c r="AI40" s="3">
        <f>ROUND(0.0,2)</f>
        <v/>
      </c>
      <c r="AJ40" s="4">
        <f>IFERROR((AD40/AC40),0)</f>
        <v/>
      </c>
      <c r="AK40" s="4">
        <f>IFERROR(((0+AB11+AB12+AB13+AB14+AB15+AB16+AB17+AB19+AB20+AB21+AB22+AB23+AB24+AB25+AB27+AB28+AB29+AB30+AB31+AB32+AB33+AB35+AB36+AB37+AB38+AB39+AB40)/T2),0)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2023-10-16</t>
        </is>
      </c>
      <c r="AO40" s="5">
        <f>ROUND(0.0,2)</f>
        <v/>
      </c>
      <c r="AP40" s="3">
        <f>ROUND(0.0,2)</f>
        <v/>
      </c>
      <c r="AQ40" s="3">
        <f>ROUND(0.0,2)</f>
        <v/>
      </c>
      <c r="AR40" s="3">
        <f>ROUND(0.0,2)</f>
        <v/>
      </c>
      <c r="AS40" s="3">
        <f>ROUND(0.0,2)</f>
        <v/>
      </c>
      <c r="AT40" s="3">
        <f>ROUND(0.0,2)</f>
        <v/>
      </c>
      <c r="AU40" s="3">
        <f>ROUND(0.0,2)</f>
        <v/>
      </c>
      <c r="AV40" s="3">
        <f>ROUND(0.0,2)</f>
        <v/>
      </c>
      <c r="AW40" s="4">
        <f>IFERROR((AQ40/AP40),0)</f>
        <v/>
      </c>
      <c r="AX40" s="4">
        <f>IFERROR(((0+AO11+AO12+AO13+AO14+AO15+AO16+AO17+AO19+AO20+AO21+AO22+AO23+AO24+AO25+AO27+AO28+AO29+AO30+AO31+AO32+AO33+AO35+AO36+AO37+AO38+AO39+AO40)/T2),0)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2023-10-16</t>
        </is>
      </c>
      <c r="BB40" s="5">
        <f>ROUND(0.0,2)</f>
        <v/>
      </c>
      <c r="BC40" s="3">
        <f>ROUND(0.0,2)</f>
        <v/>
      </c>
      <c r="BD40" s="3">
        <f>ROUND(0.0,2)</f>
        <v/>
      </c>
      <c r="BE40" s="3">
        <f>ROUND(0.0,2)</f>
        <v/>
      </c>
      <c r="BF40" s="3">
        <f>ROUND(0.0,2)</f>
        <v/>
      </c>
      <c r="BG40" s="3">
        <f>ROUND(0.0,2)</f>
        <v/>
      </c>
      <c r="BH40" s="3">
        <f>ROUND(0.0,2)</f>
        <v/>
      </c>
      <c r="BI40" s="3">
        <f>ROUND(0.0,2)</f>
        <v/>
      </c>
      <c r="BJ40" s="4">
        <f>IFERROR((BD40/BC40),0)</f>
        <v/>
      </c>
      <c r="BK40" s="4">
        <f>IFERROR(((0+BB11+BB12+BB13+BB14+BB15+BB16+BB17+BB19+BB20+BB21+BB22+BB23+BB24+BB25+BB27+BB28+BB29+BB30+BB31+BB32+BB33+BB35+BB36+BB37+BB38+BB39+BB40)/T2),0)</f>
        <v/>
      </c>
      <c r="BL40" s="5">
        <f>IFERROR(ROUND(BB40/BD40,2),0)</f>
        <v/>
      </c>
      <c r="BM40" s="5">
        <f>IFERROR(ROUND(BB40/BE40,2),0)</f>
        <v/>
      </c>
      <c r="BN40" s="2" t="inlineStr">
        <is>
          <t>2023-10-16</t>
        </is>
      </c>
      <c r="BO40" s="5">
        <f>ROUND(0.0,2)</f>
        <v/>
      </c>
      <c r="BP40" s="3">
        <f>ROUND(0.0,2)</f>
        <v/>
      </c>
      <c r="BQ40" s="3">
        <f>ROUND(0.0,2)</f>
        <v/>
      </c>
      <c r="BR40" s="3">
        <f>ROUND(0.0,2)</f>
        <v/>
      </c>
      <c r="BS40" s="3">
        <f>ROUND(0.0,2)</f>
        <v/>
      </c>
      <c r="BT40" s="3">
        <f>ROUND(0.0,2)</f>
        <v/>
      </c>
      <c r="BU40" s="3">
        <f>ROUND(0.0,2)</f>
        <v/>
      </c>
      <c r="BV40" s="3">
        <f>ROUND(0.0,2)</f>
        <v/>
      </c>
      <c r="BW40" s="4">
        <f>IFERROR((BQ40/BP40),0)</f>
        <v/>
      </c>
      <c r="BX40" s="4">
        <f>IFERROR(((0+BO11+BO12+BO13+BO14+BO15+BO16+BO17+BO19+BO20+BO21+BO22+BO23+BO24+BO25+BO27+BO28+BO29+BO30+BO31+BO32+BO33+BO35+BO36+BO37+BO38+BO39+BO40)/T2),0)</f>
        <v/>
      </c>
      <c r="BY40" s="5">
        <f>IFERROR(ROUND(BO40/BQ40,2),0)</f>
        <v/>
      </c>
      <c r="BZ40" s="5">
        <f>IFERROR(ROUND(BO40/BR40,2),0)</f>
        <v/>
      </c>
      <c r="CA40" s="2" t="inlineStr">
        <is>
          <t>2023-10-16</t>
        </is>
      </c>
      <c r="CB40" s="5">
        <f>ROUND(0.0,2)</f>
        <v/>
      </c>
      <c r="CC40" s="3">
        <f>ROUND(0.0,2)</f>
        <v/>
      </c>
      <c r="CD40" s="3">
        <f>ROUND(0.0,2)</f>
        <v/>
      </c>
      <c r="CE40" s="3">
        <f>ROUND(0.0,2)</f>
        <v/>
      </c>
      <c r="CF40" s="3">
        <f>ROUND(0.0,2)</f>
        <v/>
      </c>
      <c r="CG40" s="3">
        <f>ROUND(0.0,2)</f>
        <v/>
      </c>
      <c r="CH40" s="3">
        <f>ROUND(0.0,2)</f>
        <v/>
      </c>
      <c r="CI40" s="3">
        <f>ROUND(0.0,2)</f>
        <v/>
      </c>
      <c r="CJ40" s="4">
        <f>IFERROR((CD40/CC40),0)</f>
        <v/>
      </c>
      <c r="CK40" s="4">
        <f>IFERROR(((0+CB11+CB12+CB13+CB14+CB15+CB16+CB17+CB19+CB20+CB21+CB22+CB23+CB24+CB25+CB27+CB28+CB29+CB30+CB31+CB32+CB33+CB35+CB36+CB37+CB38+CB39+CB40)/T2),0)</f>
        <v/>
      </c>
      <c r="CL40" s="5">
        <f>IFERROR(ROUND(CB40/CD40,2),0)</f>
        <v/>
      </c>
      <c r="CM40" s="5">
        <f>IFERROR(ROUND(CB40/CE40,2),0)</f>
        <v/>
      </c>
      <c r="CN40" s="2" t="inlineStr">
        <is>
          <t>2023-10-16</t>
        </is>
      </c>
      <c r="CO40" s="5">
        <f>ROUND(0.0,2)</f>
        <v/>
      </c>
      <c r="CP40" s="3">
        <f>ROUND(0.0,2)</f>
        <v/>
      </c>
      <c r="CQ40" s="3">
        <f>ROUND(0.0,2)</f>
        <v/>
      </c>
      <c r="CR40" s="3">
        <f>ROUND(0.0,2)</f>
        <v/>
      </c>
      <c r="CS40" s="3">
        <f>ROUND(0.0,2)</f>
        <v/>
      </c>
      <c r="CT40" s="3">
        <f>ROUND(0.0,2)</f>
        <v/>
      </c>
      <c r="CU40" s="3">
        <f>ROUND(0.0,2)</f>
        <v/>
      </c>
      <c r="CV40" s="3">
        <f>ROUND(0.0,2)</f>
        <v/>
      </c>
      <c r="CW40" s="4">
        <f>IFERROR((CQ40/CP40),0)</f>
        <v/>
      </c>
      <c r="CX40" s="4">
        <f>IFERROR(((0+CO11+CO12+CO13+CO14+CO15+CO16+CO17+CO19+CO20+CO21+CO22+CO23+CO24+CO25+CO27+CO28+CO29+CO30+CO31+CO32+CO33+CO35+CO36+CO37+CO38+CO39+CO40)/T2),0)</f>
        <v/>
      </c>
      <c r="CY40" s="5">
        <f>IFERROR(ROUND(CO40/CQ40,2),0)</f>
        <v/>
      </c>
      <c r="CZ40" s="5">
        <f>IFERROR(ROUND(CO40/CR40,2),0)</f>
        <v/>
      </c>
      <c r="DA40" s="2" t="inlineStr">
        <is>
          <t>2023-10-16</t>
        </is>
      </c>
      <c r="DB40" s="5">
        <f>ROUND(0.0,2)</f>
        <v/>
      </c>
      <c r="DC40" s="3">
        <f>ROUND(0.0,2)</f>
        <v/>
      </c>
      <c r="DD40" s="3">
        <f>ROUND(0.0,2)</f>
        <v/>
      </c>
      <c r="DE40" s="3">
        <f>ROUND(0.0,2)</f>
        <v/>
      </c>
      <c r="DF40" s="3">
        <f>ROUND(0.0,2)</f>
        <v/>
      </c>
      <c r="DG40" s="3">
        <f>ROUND(0.0,2)</f>
        <v/>
      </c>
      <c r="DH40" s="3">
        <f>ROUND(0.0,2)</f>
        <v/>
      </c>
      <c r="DI40" s="3">
        <f>ROUND(0.0,2)</f>
        <v/>
      </c>
      <c r="DJ40" s="4">
        <f>IFERROR((DD40/DC40),0)</f>
        <v/>
      </c>
      <c r="DK40" s="4">
        <f>IFERROR(((0+DB11+DB12+DB13+DB14+DB15+DB16+DB17+DB19+DB20+DB21+DB22+DB23+DB24+DB25+DB27+DB28+DB29+DB30+DB31+DB32+DB33+DB35+DB36+DB37+DB38+DB39+DB40)/T2),0)</f>
        <v/>
      </c>
      <c r="DL40" s="5">
        <f>IFERROR(ROUND(DB40/DD40,2),0)</f>
        <v/>
      </c>
      <c r="DM40" s="5">
        <f>IFERROR(ROUND(DB40/DE40,2),0)</f>
        <v/>
      </c>
      <c r="DN40" s="2" t="inlineStr">
        <is>
          <t>2023-10-16</t>
        </is>
      </c>
      <c r="DO40" s="5">
        <f>ROUND(0.0,2)</f>
        <v/>
      </c>
      <c r="DP40" s="3">
        <f>ROUND(0.0,2)</f>
        <v/>
      </c>
      <c r="DQ40" s="3">
        <f>ROUND(0.0,2)</f>
        <v/>
      </c>
      <c r="DR40" s="3">
        <f>ROUND(0.0,2)</f>
        <v/>
      </c>
      <c r="DS40" s="3">
        <f>ROUND(0.0,2)</f>
        <v/>
      </c>
      <c r="DT40" s="3">
        <f>ROUND(0.0,2)</f>
        <v/>
      </c>
      <c r="DU40" s="3">
        <f>ROUND(0.0,2)</f>
        <v/>
      </c>
      <c r="DV40" s="3">
        <f>ROUND(0.0,2)</f>
        <v/>
      </c>
      <c r="DW40" s="4">
        <f>IFERROR((DQ40/DP40),0)</f>
        <v/>
      </c>
      <c r="DX40" s="4">
        <f>IFERROR(((0+DO11+DO12+DO13+DO14+DO15+DO16+DO17+DO19+DO20+DO21+DO22+DO23+DO24+DO25+DO27+DO28+DO29+DO30+DO31+DO32+DO33+DO35+DO36+DO37+DO38+DO39+DO40)/T2),0)</f>
        <v/>
      </c>
      <c r="DY40" s="5">
        <f>IFERROR(ROUND(DO40/DQ40,2),0)</f>
        <v/>
      </c>
      <c r="DZ40" s="5">
        <f>IFERROR(ROUND(DO40/DR40,2),0)</f>
        <v/>
      </c>
      <c r="EA40" s="2" t="inlineStr">
        <is>
          <t>2023-10-16</t>
        </is>
      </c>
      <c r="EB40" s="5">
        <f>ROUND(0.0,2)</f>
        <v/>
      </c>
      <c r="EC40" s="3">
        <f>ROUND(0.0,2)</f>
        <v/>
      </c>
      <c r="ED40" s="3">
        <f>ROUND(0.0,2)</f>
        <v/>
      </c>
      <c r="EE40" s="3">
        <f>ROUND(0.0,2)</f>
        <v/>
      </c>
      <c r="EF40" s="3">
        <f>ROUND(0.0,2)</f>
        <v/>
      </c>
      <c r="EG40" s="3">
        <f>ROUND(0.0,2)</f>
        <v/>
      </c>
      <c r="EH40" s="3">
        <f>ROUND(0.0,2)</f>
        <v/>
      </c>
      <c r="EI40" s="3">
        <f>ROUND(0.0,2)</f>
        <v/>
      </c>
      <c r="EJ40" s="4">
        <f>IFERROR((ED40/EC40),0)</f>
        <v/>
      </c>
      <c r="EK40" s="4">
        <f>IFERROR(((0+EB11+EB12+EB13+EB14+EB15+EB16+EB17+EB19+EB20+EB21+EB22+EB23+EB24+EB25+EB27+EB28+EB29+EB30+EB31+EB32+EB33+EB35+EB36+EB37+EB38+EB39+EB40)/T2),0)</f>
        <v/>
      </c>
      <c r="EL40" s="5">
        <f>IFERROR(ROUND(EB40/ED40,2),0)</f>
        <v/>
      </c>
      <c r="EM40" s="5">
        <f>IFERROR(ROUND(EB40/EE40,2),0)</f>
        <v/>
      </c>
      <c r="EN40" s="2" t="inlineStr">
        <is>
          <t>2023-10-16</t>
        </is>
      </c>
      <c r="EO40" s="5">
        <f>ROUND(0.0,2)</f>
        <v/>
      </c>
      <c r="EP40" s="3">
        <f>ROUND(0.0,2)</f>
        <v/>
      </c>
      <c r="EQ40" s="3">
        <f>ROUND(0.0,2)</f>
        <v/>
      </c>
      <c r="ER40" s="3">
        <f>ROUND(0.0,2)</f>
        <v/>
      </c>
      <c r="ES40" s="3">
        <f>ROUND(0.0,2)</f>
        <v/>
      </c>
      <c r="ET40" s="3">
        <f>ROUND(0.0,2)</f>
        <v/>
      </c>
      <c r="EU40" s="3">
        <f>ROUND(0.0,2)</f>
        <v/>
      </c>
      <c r="EV40" s="3">
        <f>ROUND(0.0,2)</f>
        <v/>
      </c>
      <c r="EW40" s="4">
        <f>IFERROR((EQ40/EP40),0)</f>
        <v/>
      </c>
      <c r="EX40" s="4">
        <f>IFERROR(((0+EO11+EO12+EO13+EO14+EO15+EO16+EO17+EO19+EO20+EO21+EO22+EO23+EO24+EO25+EO27+EO28+EO29+EO30+EO31+EO32+EO33+EO35+EO36+EO37+EO38+EO39+EO40)/T2),0)</f>
        <v/>
      </c>
      <c r="EY40" s="5">
        <f>IFERROR(ROUND(EO40/EQ40,2),0)</f>
        <v/>
      </c>
      <c r="EZ40" s="5">
        <f>IFERROR(ROUND(EO40/ER40,2),0)</f>
        <v/>
      </c>
      <c r="FA40" s="2" t="inlineStr">
        <is>
          <t>2023-10-16</t>
        </is>
      </c>
      <c r="FB40" s="5">
        <f>ROUND(0.0,2)</f>
        <v/>
      </c>
      <c r="FC40" s="3">
        <f>ROUND(0.0,2)</f>
        <v/>
      </c>
      <c r="FD40" s="3">
        <f>ROUND(0.0,2)</f>
        <v/>
      </c>
      <c r="FE40" s="3">
        <f>ROUND(0.0,2)</f>
        <v/>
      </c>
      <c r="FF40" s="3">
        <f>ROUND(0.0,2)</f>
        <v/>
      </c>
      <c r="FG40" s="3">
        <f>ROUND(0.0,2)</f>
        <v/>
      </c>
      <c r="FH40" s="3">
        <f>ROUND(0.0,2)</f>
        <v/>
      </c>
      <c r="FI40" s="3">
        <f>ROUND(0.0,2)</f>
        <v/>
      </c>
      <c r="FJ40" s="4">
        <f>IFERROR((FD40/FC40),0)</f>
        <v/>
      </c>
      <c r="FK40" s="4">
        <f>IFERROR(((0+FB11+FB12+FB13+FB14+FB15+FB16+FB17+FB19+FB20+FB21+FB22+FB23+FB24+FB25+FB27+FB28+FB29+FB30+FB31+FB32+FB33+FB35+FB36+FB37+FB38+FB39+FB40)/T2),0)</f>
        <v/>
      </c>
      <c r="FL40" s="5">
        <f>IFERROR(ROUND(FB40/FD40,2),0)</f>
        <v/>
      </c>
      <c r="FM40" s="5">
        <f>IFERROR(ROUND(FB40/FE40,2),0)</f>
        <v/>
      </c>
      <c r="FN40" s="2" t="inlineStr">
        <is>
          <t>2023-10-16</t>
        </is>
      </c>
      <c r="FO40" s="5">
        <f>ROUND(0.0,2)</f>
        <v/>
      </c>
      <c r="FP40" s="3">
        <f>ROUND(0.0,2)</f>
        <v/>
      </c>
      <c r="FQ40" s="3">
        <f>ROUND(0.0,2)</f>
        <v/>
      </c>
      <c r="FR40" s="3">
        <f>ROUND(0.0,2)</f>
        <v/>
      </c>
      <c r="FS40" s="3">
        <f>ROUND(0.0,2)</f>
        <v/>
      </c>
      <c r="FT40" s="3">
        <f>ROUND(0.0,2)</f>
        <v/>
      </c>
      <c r="FU40" s="3">
        <f>ROUND(0.0,2)</f>
        <v/>
      </c>
      <c r="FV40" s="3">
        <f>ROUND(0.0,2)</f>
        <v/>
      </c>
      <c r="FW40" s="4">
        <f>IFERROR((FQ40/FP40),0)</f>
        <v/>
      </c>
      <c r="FX40" s="4">
        <f>IFERROR(((0+FO11+FO12+FO13+FO14+FO15+FO16+FO17+FO19+FO20+FO21+FO22+FO23+FO24+FO25+FO27+FO28+FO29+FO30+FO31+FO32+FO33+FO35+FO36+FO37+FO38+FO39+FO40)/T2),0)</f>
        <v/>
      </c>
      <c r="FY40" s="5">
        <f>IFERROR(ROUND(FO40/FQ40,2),0)</f>
        <v/>
      </c>
      <c r="FZ40" s="5">
        <f>IFERROR(ROUND(FO40/FR40,2),0)</f>
        <v/>
      </c>
      <c r="GA40" s="2" t="inlineStr">
        <is>
          <t>2023-10-16</t>
        </is>
      </c>
      <c r="GB40" s="5">
        <f>ROUND(0.0,2)</f>
        <v/>
      </c>
      <c r="GC40" s="3">
        <f>ROUND(0.0,2)</f>
        <v/>
      </c>
      <c r="GD40" s="3">
        <f>ROUND(0.0,2)</f>
        <v/>
      </c>
      <c r="GE40" s="3">
        <f>ROUND(0.0,2)</f>
        <v/>
      </c>
      <c r="GF40" s="3">
        <f>ROUND(0.0,2)</f>
        <v/>
      </c>
      <c r="GG40" s="3">
        <f>ROUND(0.0,2)</f>
        <v/>
      </c>
      <c r="GH40" s="3">
        <f>ROUND(0.0,2)</f>
        <v/>
      </c>
      <c r="GI40" s="3">
        <f>ROUND(0.0,2)</f>
        <v/>
      </c>
      <c r="GJ40" s="4">
        <f>IFERROR((GD40/GC40),0)</f>
        <v/>
      </c>
      <c r="GK40" s="4">
        <f>IFERROR(((0+GB11+GB12+GB13+GB14+GB15+GB16+GB17+GB19+GB20+GB21+GB22+GB23+GB24+GB25+GB27+GB28+GB29+GB30+GB31+GB32+GB33+GB35+GB36+GB37+GB38+GB39+GB40)/T2),0)</f>
        <v/>
      </c>
      <c r="GL40" s="5">
        <f>IFERROR(ROUND(GB40/GD40,2),0)</f>
        <v/>
      </c>
      <c r="GM40" s="5">
        <f>IFERROR(ROUND(GB40/GE40,2),0)</f>
        <v/>
      </c>
    </row>
    <row r="41">
      <c r="A41" s="2" t="inlineStr">
        <is>
          <t>2023-10-17</t>
        </is>
      </c>
      <c r="B41" s="5">
        <f>ROUND(0.0,2)</f>
        <v/>
      </c>
      <c r="C41" s="3">
        <f>ROUND(0.0,2)</f>
        <v/>
      </c>
      <c r="D41" s="3">
        <f>ROUND(0.0,2)</f>
        <v/>
      </c>
      <c r="E41" s="3">
        <f>ROUND(0.0,2)</f>
        <v/>
      </c>
      <c r="F41" s="3">
        <f>ROUND(0.0,2)</f>
        <v/>
      </c>
      <c r="G41" s="3">
        <f>ROUND(0.0,2)</f>
        <v/>
      </c>
      <c r="H41" s="3">
        <f>ROUND(0.0,2)</f>
        <v/>
      </c>
      <c r="I41" s="3">
        <f>ROUND(0.0,2)</f>
        <v/>
      </c>
      <c r="J41" s="4">
        <f>IFERROR((D41/C41),0)</f>
        <v/>
      </c>
      <c r="K41" s="4">
        <f>IFERROR(((0+B11+B12+B13+B14+B15+B16+B17+B19+B20+B21+B22+B23+B24+B25+B27+B28+B29+B30+B31+B32+B33+B35+B36+B37+B38+B39+B40+B41)/T2),0)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2023-10-17</t>
        </is>
      </c>
      <c r="O41" s="5">
        <f>ROUND(0.0,2)</f>
        <v/>
      </c>
      <c r="P41" s="3">
        <f>ROUND(0.0,2)</f>
        <v/>
      </c>
      <c r="Q41" s="3">
        <f>ROUND(0.0,2)</f>
        <v/>
      </c>
      <c r="R41" s="3">
        <f>ROUND(0.0,2)</f>
        <v/>
      </c>
      <c r="S41" s="3">
        <f>ROUND(0.0,2)</f>
        <v/>
      </c>
      <c r="T41" s="3">
        <f>ROUND(0.0,2)</f>
        <v/>
      </c>
      <c r="U41" s="3">
        <f>ROUND(0.0,2)</f>
        <v/>
      </c>
      <c r="V41" s="3">
        <f>ROUND(0.0,2)</f>
        <v/>
      </c>
      <c r="W41" s="4">
        <f>IFERROR((Q41/P41),0)</f>
        <v/>
      </c>
      <c r="X41" s="4">
        <f>IFERROR(((0+O11+O12+O13+O14+O15+O16+O17+O19+O20+O21+O22+O23+O24+O25+O27+O28+O29+O30+O31+O32+O33+O35+O36+O37+O38+O39+O40+O41)/T2),0)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2023-10-17</t>
        </is>
      </c>
      <c r="AB41" s="5">
        <f>ROUND(0.0,2)</f>
        <v/>
      </c>
      <c r="AC41" s="3">
        <f>ROUND(0.0,2)</f>
        <v/>
      </c>
      <c r="AD41" s="3">
        <f>ROUND(0.0,2)</f>
        <v/>
      </c>
      <c r="AE41" s="3">
        <f>ROUND(0.0,2)</f>
        <v/>
      </c>
      <c r="AF41" s="3">
        <f>ROUND(0.0,2)</f>
        <v/>
      </c>
      <c r="AG41" s="3">
        <f>ROUND(0.0,2)</f>
        <v/>
      </c>
      <c r="AH41" s="3">
        <f>ROUND(0.0,2)</f>
        <v/>
      </c>
      <c r="AI41" s="3">
        <f>ROUND(0.0,2)</f>
        <v/>
      </c>
      <c r="AJ41" s="4">
        <f>IFERROR((AD41/AC41),0)</f>
        <v/>
      </c>
      <c r="AK41" s="4">
        <f>IFERROR(((0+AB11+AB12+AB13+AB14+AB15+AB16+AB17+AB19+AB20+AB21+AB22+AB23+AB24+AB25+AB27+AB28+AB29+AB30+AB31+AB32+AB33+AB35+AB36+AB37+AB38+AB39+AB40+AB41)/T2),0)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2023-10-17</t>
        </is>
      </c>
      <c r="AO41" s="5">
        <f>ROUND(0.0,2)</f>
        <v/>
      </c>
      <c r="AP41" s="3">
        <f>ROUND(0.0,2)</f>
        <v/>
      </c>
      <c r="AQ41" s="3">
        <f>ROUND(0.0,2)</f>
        <v/>
      </c>
      <c r="AR41" s="3">
        <f>ROUND(0.0,2)</f>
        <v/>
      </c>
      <c r="AS41" s="3">
        <f>ROUND(0.0,2)</f>
        <v/>
      </c>
      <c r="AT41" s="3">
        <f>ROUND(0.0,2)</f>
        <v/>
      </c>
      <c r="AU41" s="3">
        <f>ROUND(0.0,2)</f>
        <v/>
      </c>
      <c r="AV41" s="3">
        <f>ROUND(0.0,2)</f>
        <v/>
      </c>
      <c r="AW41" s="4">
        <f>IFERROR((AQ41/AP41),0)</f>
        <v/>
      </c>
      <c r="AX41" s="4">
        <f>IFERROR(((0+AO11+AO12+AO13+AO14+AO15+AO16+AO17+AO19+AO20+AO21+AO22+AO23+AO24+AO25+AO27+AO28+AO29+AO30+AO31+AO32+AO33+AO35+AO36+AO37+AO38+AO39+AO40+AO41)/T2),0)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2023-10-17</t>
        </is>
      </c>
      <c r="BB41" s="5">
        <f>ROUND(0.0,2)</f>
        <v/>
      </c>
      <c r="BC41" s="3">
        <f>ROUND(0.0,2)</f>
        <v/>
      </c>
      <c r="BD41" s="3">
        <f>ROUND(0.0,2)</f>
        <v/>
      </c>
      <c r="BE41" s="3">
        <f>ROUND(0.0,2)</f>
        <v/>
      </c>
      <c r="BF41" s="3">
        <f>ROUND(0.0,2)</f>
        <v/>
      </c>
      <c r="BG41" s="3">
        <f>ROUND(0.0,2)</f>
        <v/>
      </c>
      <c r="BH41" s="3">
        <f>ROUND(0.0,2)</f>
        <v/>
      </c>
      <c r="BI41" s="3">
        <f>ROUND(0.0,2)</f>
        <v/>
      </c>
      <c r="BJ41" s="4">
        <f>IFERROR((BD41/BC41),0)</f>
        <v/>
      </c>
      <c r="BK41" s="4">
        <f>IFERROR(((0+BB11+BB12+BB13+BB14+BB15+BB16+BB17+BB19+BB20+BB21+BB22+BB23+BB24+BB25+BB27+BB28+BB29+BB30+BB31+BB32+BB33+BB35+BB36+BB37+BB38+BB39+BB40+BB41)/T2),0)</f>
        <v/>
      </c>
      <c r="BL41" s="5">
        <f>IFERROR(ROUND(BB41/BD41,2),0)</f>
        <v/>
      </c>
      <c r="BM41" s="5">
        <f>IFERROR(ROUND(BB41/BE41,2),0)</f>
        <v/>
      </c>
      <c r="BN41" s="2" t="inlineStr">
        <is>
          <t>2023-10-17</t>
        </is>
      </c>
      <c r="BO41" s="5">
        <f>ROUND(0.0,2)</f>
        <v/>
      </c>
      <c r="BP41" s="3">
        <f>ROUND(0.0,2)</f>
        <v/>
      </c>
      <c r="BQ41" s="3">
        <f>ROUND(0.0,2)</f>
        <v/>
      </c>
      <c r="BR41" s="3">
        <f>ROUND(0.0,2)</f>
        <v/>
      </c>
      <c r="BS41" s="3">
        <f>ROUND(0.0,2)</f>
        <v/>
      </c>
      <c r="BT41" s="3">
        <f>ROUND(0.0,2)</f>
        <v/>
      </c>
      <c r="BU41" s="3">
        <f>ROUND(0.0,2)</f>
        <v/>
      </c>
      <c r="BV41" s="3">
        <f>ROUND(0.0,2)</f>
        <v/>
      </c>
      <c r="BW41" s="4">
        <f>IFERROR((BQ41/BP41),0)</f>
        <v/>
      </c>
      <c r="BX41" s="4">
        <f>IFERROR(((0+BO11+BO12+BO13+BO14+BO15+BO16+BO17+BO19+BO20+BO21+BO22+BO23+BO24+BO25+BO27+BO28+BO29+BO30+BO31+BO32+BO33+BO35+BO36+BO37+BO38+BO39+BO40+BO41)/T2),0)</f>
        <v/>
      </c>
      <c r="BY41" s="5">
        <f>IFERROR(ROUND(BO41/BQ41,2),0)</f>
        <v/>
      </c>
      <c r="BZ41" s="5">
        <f>IFERROR(ROUND(BO41/BR41,2),0)</f>
        <v/>
      </c>
      <c r="CA41" s="2" t="inlineStr">
        <is>
          <t>2023-10-17</t>
        </is>
      </c>
      <c r="CB41" s="5">
        <f>ROUND(0.0,2)</f>
        <v/>
      </c>
      <c r="CC41" s="3">
        <f>ROUND(0.0,2)</f>
        <v/>
      </c>
      <c r="CD41" s="3">
        <f>ROUND(0.0,2)</f>
        <v/>
      </c>
      <c r="CE41" s="3">
        <f>ROUND(0.0,2)</f>
        <v/>
      </c>
      <c r="CF41" s="3">
        <f>ROUND(0.0,2)</f>
        <v/>
      </c>
      <c r="CG41" s="3">
        <f>ROUND(0.0,2)</f>
        <v/>
      </c>
      <c r="CH41" s="3">
        <f>ROUND(0.0,2)</f>
        <v/>
      </c>
      <c r="CI41" s="3">
        <f>ROUND(0.0,2)</f>
        <v/>
      </c>
      <c r="CJ41" s="4">
        <f>IFERROR((CD41/CC41),0)</f>
        <v/>
      </c>
      <c r="CK41" s="4">
        <f>IFERROR(((0+CB11+CB12+CB13+CB14+CB15+CB16+CB17+CB19+CB20+CB21+CB22+CB23+CB24+CB25+CB27+CB28+CB29+CB30+CB31+CB32+CB33+CB35+CB36+CB37+CB38+CB39+CB40+CB41)/T2),0)</f>
        <v/>
      </c>
      <c r="CL41" s="5">
        <f>IFERROR(ROUND(CB41/CD41,2),0)</f>
        <v/>
      </c>
      <c r="CM41" s="5">
        <f>IFERROR(ROUND(CB41/CE41,2),0)</f>
        <v/>
      </c>
      <c r="CN41" s="2" t="inlineStr">
        <is>
          <t>2023-10-17</t>
        </is>
      </c>
      <c r="CO41" s="5">
        <f>ROUND(0.0,2)</f>
        <v/>
      </c>
      <c r="CP41" s="3">
        <f>ROUND(0.0,2)</f>
        <v/>
      </c>
      <c r="CQ41" s="3">
        <f>ROUND(0.0,2)</f>
        <v/>
      </c>
      <c r="CR41" s="3">
        <f>ROUND(0.0,2)</f>
        <v/>
      </c>
      <c r="CS41" s="3">
        <f>ROUND(0.0,2)</f>
        <v/>
      </c>
      <c r="CT41" s="3">
        <f>ROUND(0.0,2)</f>
        <v/>
      </c>
      <c r="CU41" s="3">
        <f>ROUND(0.0,2)</f>
        <v/>
      </c>
      <c r="CV41" s="3">
        <f>ROUND(0.0,2)</f>
        <v/>
      </c>
      <c r="CW41" s="4">
        <f>IFERROR((CQ41/CP41),0)</f>
        <v/>
      </c>
      <c r="CX41" s="4">
        <f>IFERROR(((0+CO11+CO12+CO13+CO14+CO15+CO16+CO17+CO19+CO20+CO21+CO22+CO23+CO24+CO25+CO27+CO28+CO29+CO30+CO31+CO32+CO33+CO35+CO36+CO37+CO38+CO39+CO40+CO41)/T2),0)</f>
        <v/>
      </c>
      <c r="CY41" s="5">
        <f>IFERROR(ROUND(CO41/CQ41,2),0)</f>
        <v/>
      </c>
      <c r="CZ41" s="5">
        <f>IFERROR(ROUND(CO41/CR41,2),0)</f>
        <v/>
      </c>
      <c r="DA41" s="2" t="inlineStr">
        <is>
          <t>2023-10-17</t>
        </is>
      </c>
      <c r="DB41" s="5">
        <f>ROUND(0.0,2)</f>
        <v/>
      </c>
      <c r="DC41" s="3">
        <f>ROUND(0.0,2)</f>
        <v/>
      </c>
      <c r="DD41" s="3">
        <f>ROUND(0.0,2)</f>
        <v/>
      </c>
      <c r="DE41" s="3">
        <f>ROUND(0.0,2)</f>
        <v/>
      </c>
      <c r="DF41" s="3">
        <f>ROUND(0.0,2)</f>
        <v/>
      </c>
      <c r="DG41" s="3">
        <f>ROUND(0.0,2)</f>
        <v/>
      </c>
      <c r="DH41" s="3">
        <f>ROUND(0.0,2)</f>
        <v/>
      </c>
      <c r="DI41" s="3">
        <f>ROUND(0.0,2)</f>
        <v/>
      </c>
      <c r="DJ41" s="4">
        <f>IFERROR((DD41/DC41),0)</f>
        <v/>
      </c>
      <c r="DK41" s="4">
        <f>IFERROR(((0+DB11+DB12+DB13+DB14+DB15+DB16+DB17+DB19+DB20+DB21+DB22+DB23+DB24+DB25+DB27+DB28+DB29+DB30+DB31+DB32+DB33+DB35+DB36+DB37+DB38+DB39+DB40+DB41)/T2),0)</f>
        <v/>
      </c>
      <c r="DL41" s="5">
        <f>IFERROR(ROUND(DB41/DD41,2),0)</f>
        <v/>
      </c>
      <c r="DM41" s="5">
        <f>IFERROR(ROUND(DB41/DE41,2),0)</f>
        <v/>
      </c>
      <c r="DN41" s="2" t="inlineStr">
        <is>
          <t>2023-10-17</t>
        </is>
      </c>
      <c r="DO41" s="5">
        <f>ROUND(0.0,2)</f>
        <v/>
      </c>
      <c r="DP41" s="3">
        <f>ROUND(0.0,2)</f>
        <v/>
      </c>
      <c r="DQ41" s="3">
        <f>ROUND(0.0,2)</f>
        <v/>
      </c>
      <c r="DR41" s="3">
        <f>ROUND(0.0,2)</f>
        <v/>
      </c>
      <c r="DS41" s="3">
        <f>ROUND(0.0,2)</f>
        <v/>
      </c>
      <c r="DT41" s="3">
        <f>ROUND(0.0,2)</f>
        <v/>
      </c>
      <c r="DU41" s="3">
        <f>ROUND(0.0,2)</f>
        <v/>
      </c>
      <c r="DV41" s="3">
        <f>ROUND(0.0,2)</f>
        <v/>
      </c>
      <c r="DW41" s="4">
        <f>IFERROR((DQ41/DP41),0)</f>
        <v/>
      </c>
      <c r="DX41" s="4">
        <f>IFERROR(((0+DO11+DO12+DO13+DO14+DO15+DO16+DO17+DO19+DO20+DO21+DO22+DO23+DO24+DO25+DO27+DO28+DO29+DO30+DO31+DO32+DO33+DO35+DO36+DO37+DO38+DO39+DO40+DO41)/T2),0)</f>
        <v/>
      </c>
      <c r="DY41" s="5">
        <f>IFERROR(ROUND(DO41/DQ41,2),0)</f>
        <v/>
      </c>
      <c r="DZ41" s="5">
        <f>IFERROR(ROUND(DO41/DR41,2),0)</f>
        <v/>
      </c>
      <c r="EA41" s="2" t="inlineStr">
        <is>
          <t>2023-10-17</t>
        </is>
      </c>
      <c r="EB41" s="5">
        <f>ROUND(0.0,2)</f>
        <v/>
      </c>
      <c r="EC41" s="3">
        <f>ROUND(0.0,2)</f>
        <v/>
      </c>
      <c r="ED41" s="3">
        <f>ROUND(0.0,2)</f>
        <v/>
      </c>
      <c r="EE41" s="3">
        <f>ROUND(0.0,2)</f>
        <v/>
      </c>
      <c r="EF41" s="3">
        <f>ROUND(0.0,2)</f>
        <v/>
      </c>
      <c r="EG41" s="3">
        <f>ROUND(0.0,2)</f>
        <v/>
      </c>
      <c r="EH41" s="3">
        <f>ROUND(0.0,2)</f>
        <v/>
      </c>
      <c r="EI41" s="3">
        <f>ROUND(0.0,2)</f>
        <v/>
      </c>
      <c r="EJ41" s="4">
        <f>IFERROR((ED41/EC41),0)</f>
        <v/>
      </c>
      <c r="EK41" s="4">
        <f>IFERROR(((0+EB11+EB12+EB13+EB14+EB15+EB16+EB17+EB19+EB20+EB21+EB22+EB23+EB24+EB25+EB27+EB28+EB29+EB30+EB31+EB32+EB33+EB35+EB36+EB37+EB38+EB39+EB40+EB41)/T2),0)</f>
        <v/>
      </c>
      <c r="EL41" s="5">
        <f>IFERROR(ROUND(EB41/ED41,2),0)</f>
        <v/>
      </c>
      <c r="EM41" s="5">
        <f>IFERROR(ROUND(EB41/EE41,2),0)</f>
        <v/>
      </c>
      <c r="EN41" s="2" t="inlineStr">
        <is>
          <t>2023-10-17</t>
        </is>
      </c>
      <c r="EO41" s="5">
        <f>ROUND(0.0,2)</f>
        <v/>
      </c>
      <c r="EP41" s="3">
        <f>ROUND(0.0,2)</f>
        <v/>
      </c>
      <c r="EQ41" s="3">
        <f>ROUND(0.0,2)</f>
        <v/>
      </c>
      <c r="ER41" s="3">
        <f>ROUND(0.0,2)</f>
        <v/>
      </c>
      <c r="ES41" s="3">
        <f>ROUND(0.0,2)</f>
        <v/>
      </c>
      <c r="ET41" s="3">
        <f>ROUND(0.0,2)</f>
        <v/>
      </c>
      <c r="EU41" s="3">
        <f>ROUND(0.0,2)</f>
        <v/>
      </c>
      <c r="EV41" s="3">
        <f>ROUND(0.0,2)</f>
        <v/>
      </c>
      <c r="EW41" s="4">
        <f>IFERROR((EQ41/EP41),0)</f>
        <v/>
      </c>
      <c r="EX41" s="4">
        <f>IFERROR(((0+EO11+EO12+EO13+EO14+EO15+EO16+EO17+EO19+EO20+EO21+EO22+EO23+EO24+EO25+EO27+EO28+EO29+EO30+EO31+EO32+EO33+EO35+EO36+EO37+EO38+EO39+EO40+EO41)/T2),0)</f>
        <v/>
      </c>
      <c r="EY41" s="5">
        <f>IFERROR(ROUND(EO41/EQ41,2),0)</f>
        <v/>
      </c>
      <c r="EZ41" s="5">
        <f>IFERROR(ROUND(EO41/ER41,2),0)</f>
        <v/>
      </c>
      <c r="FA41" s="2" t="inlineStr">
        <is>
          <t>2023-10-17</t>
        </is>
      </c>
      <c r="FB41" s="5">
        <f>ROUND(0.0,2)</f>
        <v/>
      </c>
      <c r="FC41" s="3">
        <f>ROUND(0.0,2)</f>
        <v/>
      </c>
      <c r="FD41" s="3">
        <f>ROUND(0.0,2)</f>
        <v/>
      </c>
      <c r="FE41" s="3">
        <f>ROUND(0.0,2)</f>
        <v/>
      </c>
      <c r="FF41" s="3">
        <f>ROUND(0.0,2)</f>
        <v/>
      </c>
      <c r="FG41" s="3">
        <f>ROUND(0.0,2)</f>
        <v/>
      </c>
      <c r="FH41" s="3">
        <f>ROUND(0.0,2)</f>
        <v/>
      </c>
      <c r="FI41" s="3">
        <f>ROUND(0.0,2)</f>
        <v/>
      </c>
      <c r="FJ41" s="4">
        <f>IFERROR((FD41/FC41),0)</f>
        <v/>
      </c>
      <c r="FK41" s="4">
        <f>IFERROR(((0+FB11+FB12+FB13+FB14+FB15+FB16+FB17+FB19+FB20+FB21+FB22+FB23+FB24+FB25+FB27+FB28+FB29+FB30+FB31+FB32+FB33+FB35+FB36+FB37+FB38+FB39+FB40+FB41)/T2),0)</f>
        <v/>
      </c>
      <c r="FL41" s="5">
        <f>IFERROR(ROUND(FB41/FD41,2),0)</f>
        <v/>
      </c>
      <c r="FM41" s="5">
        <f>IFERROR(ROUND(FB41/FE41,2),0)</f>
        <v/>
      </c>
      <c r="FN41" s="2" t="inlineStr">
        <is>
          <t>2023-10-17</t>
        </is>
      </c>
      <c r="FO41" s="5">
        <f>ROUND(0.0,2)</f>
        <v/>
      </c>
      <c r="FP41" s="3">
        <f>ROUND(0.0,2)</f>
        <v/>
      </c>
      <c r="FQ41" s="3">
        <f>ROUND(0.0,2)</f>
        <v/>
      </c>
      <c r="FR41" s="3">
        <f>ROUND(0.0,2)</f>
        <v/>
      </c>
      <c r="FS41" s="3">
        <f>ROUND(0.0,2)</f>
        <v/>
      </c>
      <c r="FT41" s="3">
        <f>ROUND(0.0,2)</f>
        <v/>
      </c>
      <c r="FU41" s="3">
        <f>ROUND(0.0,2)</f>
        <v/>
      </c>
      <c r="FV41" s="3">
        <f>ROUND(0.0,2)</f>
        <v/>
      </c>
      <c r="FW41" s="4">
        <f>IFERROR((FQ41/FP41),0)</f>
        <v/>
      </c>
      <c r="FX41" s="4">
        <f>IFERROR(((0+FO11+FO12+FO13+FO14+FO15+FO16+FO17+FO19+FO20+FO21+FO22+FO23+FO24+FO25+FO27+FO28+FO29+FO30+FO31+FO32+FO33+FO35+FO36+FO37+FO38+FO39+FO40+FO41)/T2),0)</f>
        <v/>
      </c>
      <c r="FY41" s="5">
        <f>IFERROR(ROUND(FO41/FQ41,2),0)</f>
        <v/>
      </c>
      <c r="FZ41" s="5">
        <f>IFERROR(ROUND(FO41/FR41,2),0)</f>
        <v/>
      </c>
      <c r="GA41" s="2" t="inlineStr">
        <is>
          <t>2023-10-17</t>
        </is>
      </c>
      <c r="GB41" s="5">
        <f>ROUND(0.0,2)</f>
        <v/>
      </c>
      <c r="GC41" s="3">
        <f>ROUND(0.0,2)</f>
        <v/>
      </c>
      <c r="GD41" s="3">
        <f>ROUND(0.0,2)</f>
        <v/>
      </c>
      <c r="GE41" s="3">
        <f>ROUND(0.0,2)</f>
        <v/>
      </c>
      <c r="GF41" s="3">
        <f>ROUND(0.0,2)</f>
        <v/>
      </c>
      <c r="GG41" s="3">
        <f>ROUND(0.0,2)</f>
        <v/>
      </c>
      <c r="GH41" s="3">
        <f>ROUND(0.0,2)</f>
        <v/>
      </c>
      <c r="GI41" s="3">
        <f>ROUND(0.0,2)</f>
        <v/>
      </c>
      <c r="GJ41" s="4">
        <f>IFERROR((GD41/GC41),0)</f>
        <v/>
      </c>
      <c r="GK41" s="4">
        <f>IFERROR(((0+GB11+GB12+GB13+GB14+GB15+GB16+GB17+GB19+GB20+GB21+GB22+GB23+GB24+GB25+GB27+GB28+GB29+GB30+GB31+GB32+GB33+GB35+GB36+GB37+GB38+GB39+GB40+GB41)/T2),0)</f>
        <v/>
      </c>
      <c r="GL41" s="5">
        <f>IFERROR(ROUND(GB41/GD41,2),0)</f>
        <v/>
      </c>
      <c r="GM41" s="5">
        <f>IFERROR(ROUND(GB41/GE41,2),0)</f>
        <v/>
      </c>
    </row>
    <row r="42">
      <c r="A42" s="2" t="inlineStr">
        <is>
          <t>4 Weekly Total</t>
        </is>
      </c>
      <c r="B42" s="5">
        <f>ROUND(0.0,2)</f>
        <v/>
      </c>
      <c r="C42" s="3">
        <f>ROUND(0.0,2)</f>
        <v/>
      </c>
      <c r="D42" s="3">
        <f>ROUND(0.0,2)</f>
        <v/>
      </c>
      <c r="E42" s="3">
        <f>ROUND(0.0,2)</f>
        <v/>
      </c>
      <c r="F42" s="3">
        <f>ROUND(0.0,2)</f>
        <v/>
      </c>
      <c r="G42" s="3">
        <f>ROUND(0.0,2)</f>
        <v/>
      </c>
      <c r="H42" s="3">
        <f>ROUND(0.0,2)</f>
        <v/>
      </c>
      <c r="I42" s="3">
        <f>ROUND(0.0,2)</f>
        <v/>
      </c>
      <c r="J42" s="4">
        <f>IFERROR((D42/C42),0)</f>
        <v/>
      </c>
      <c r="K42" s="4">
        <f>IFERROR(((0+B11+B12+B13+B14+B15+B16+B17+B19+B20+B21+B22+B23+B24+B25+B27+B28+B29+B30+B31+B32+B33+B35+B36+B37+B38+B39+B40+B41)/T2),0)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4 Weekly Total</t>
        </is>
      </c>
      <c r="O42" s="5">
        <f>ROUND(0.0,2)</f>
        <v/>
      </c>
      <c r="P42" s="3">
        <f>ROUND(0.0,2)</f>
        <v/>
      </c>
      <c r="Q42" s="3">
        <f>ROUND(0.0,2)</f>
        <v/>
      </c>
      <c r="R42" s="3">
        <f>ROUND(0.0,2)</f>
        <v/>
      </c>
      <c r="S42" s="3">
        <f>ROUND(0.0,2)</f>
        <v/>
      </c>
      <c r="T42" s="3">
        <f>ROUND(0.0,2)</f>
        <v/>
      </c>
      <c r="U42" s="3">
        <f>ROUND(0.0,2)</f>
        <v/>
      </c>
      <c r="V42" s="3">
        <f>ROUND(0.0,2)</f>
        <v/>
      </c>
      <c r="W42" s="4">
        <f>IFERROR((Q42/P42),0)</f>
        <v/>
      </c>
      <c r="X42" s="4">
        <f>IFERROR(((0+O11+O12+O13+O14+O15+O16+O17+O19+O20+O21+O22+O23+O24+O25+O27+O28+O29+O30+O31+O32+O33+O35+O36+O37+O38+O39+O40+O41)/T2),0)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4 Weekly Total</t>
        </is>
      </c>
      <c r="AB42" s="5">
        <f>ROUND(0.0,2)</f>
        <v/>
      </c>
      <c r="AC42" s="3">
        <f>ROUND(0.0,2)</f>
        <v/>
      </c>
      <c r="AD42" s="3">
        <f>ROUND(0.0,2)</f>
        <v/>
      </c>
      <c r="AE42" s="3">
        <f>ROUND(0.0,2)</f>
        <v/>
      </c>
      <c r="AF42" s="3">
        <f>ROUND(0.0,2)</f>
        <v/>
      </c>
      <c r="AG42" s="3">
        <f>ROUND(0.0,2)</f>
        <v/>
      </c>
      <c r="AH42" s="3">
        <f>ROUND(0.0,2)</f>
        <v/>
      </c>
      <c r="AI42" s="3">
        <f>ROUND(0.0,2)</f>
        <v/>
      </c>
      <c r="AJ42" s="4">
        <f>IFERROR((AD42/AC42),0)</f>
        <v/>
      </c>
      <c r="AK42" s="4">
        <f>IFERROR(((0+AB11+AB12+AB13+AB14+AB15+AB16+AB17+AB19+AB20+AB21+AB22+AB23+AB24+AB25+AB27+AB28+AB29+AB30+AB31+AB32+AB33+AB35+AB36+AB37+AB38+AB39+AB40+AB41)/T2),0)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4 Weekly Total</t>
        </is>
      </c>
      <c r="AO42" s="5">
        <f>ROUND(0.0,2)</f>
        <v/>
      </c>
      <c r="AP42" s="3">
        <f>ROUND(0.0,2)</f>
        <v/>
      </c>
      <c r="AQ42" s="3">
        <f>ROUND(0.0,2)</f>
        <v/>
      </c>
      <c r="AR42" s="3">
        <f>ROUND(0.0,2)</f>
        <v/>
      </c>
      <c r="AS42" s="3">
        <f>ROUND(0.0,2)</f>
        <v/>
      </c>
      <c r="AT42" s="3">
        <f>ROUND(0.0,2)</f>
        <v/>
      </c>
      <c r="AU42" s="3">
        <f>ROUND(0.0,2)</f>
        <v/>
      </c>
      <c r="AV42" s="3">
        <f>ROUND(0.0,2)</f>
        <v/>
      </c>
      <c r="AW42" s="4">
        <f>IFERROR((AQ42/AP42),0)</f>
        <v/>
      </c>
      <c r="AX42" s="4">
        <f>IFERROR(((0+AO11+AO12+AO13+AO14+AO15+AO16+AO17+AO19+AO20+AO21+AO22+AO23+AO24+AO25+AO27+AO28+AO29+AO30+AO31+AO32+AO33+AO35+AO36+AO37+AO38+AO39+AO40+AO41)/T2),0)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4 Weekly Total</t>
        </is>
      </c>
      <c r="BB42" s="5">
        <f>ROUND(0.0,2)</f>
        <v/>
      </c>
      <c r="BC42" s="3">
        <f>ROUND(0.0,2)</f>
        <v/>
      </c>
      <c r="BD42" s="3">
        <f>ROUND(0.0,2)</f>
        <v/>
      </c>
      <c r="BE42" s="3">
        <f>ROUND(0.0,2)</f>
        <v/>
      </c>
      <c r="BF42" s="3">
        <f>ROUND(0.0,2)</f>
        <v/>
      </c>
      <c r="BG42" s="3">
        <f>ROUND(0.0,2)</f>
        <v/>
      </c>
      <c r="BH42" s="3">
        <f>ROUND(0.0,2)</f>
        <v/>
      </c>
      <c r="BI42" s="3">
        <f>ROUND(0.0,2)</f>
        <v/>
      </c>
      <c r="BJ42" s="4">
        <f>IFERROR((BD42/BC42),0)</f>
        <v/>
      </c>
      <c r="BK42" s="4">
        <f>IFERROR(((0+BB11+BB12+BB13+BB14+BB15+BB16+BB17+BB19+BB20+BB21+BB22+BB23+BB24+BB25+BB27+BB28+BB29+BB30+BB31+BB32+BB33+BB35+BB36+BB37+BB38+BB39+BB40+BB41)/T2),0)</f>
        <v/>
      </c>
      <c r="BL42" s="5">
        <f>IFERROR(ROUND(BB42/BD42,2),0)</f>
        <v/>
      </c>
      <c r="BM42" s="5">
        <f>IFERROR(ROUND(BB42/BE42,2),0)</f>
        <v/>
      </c>
      <c r="BN42" s="2" t="inlineStr">
        <is>
          <t>4 Weekly Total</t>
        </is>
      </c>
      <c r="BO42" s="5">
        <f>ROUND(0.0,2)</f>
        <v/>
      </c>
      <c r="BP42" s="3">
        <f>ROUND(0.0,2)</f>
        <v/>
      </c>
      <c r="BQ42" s="3">
        <f>ROUND(0.0,2)</f>
        <v/>
      </c>
      <c r="BR42" s="3">
        <f>ROUND(0.0,2)</f>
        <v/>
      </c>
      <c r="BS42" s="3">
        <f>ROUND(0.0,2)</f>
        <v/>
      </c>
      <c r="BT42" s="3">
        <f>ROUND(0.0,2)</f>
        <v/>
      </c>
      <c r="BU42" s="3">
        <f>ROUND(0.0,2)</f>
        <v/>
      </c>
      <c r="BV42" s="3">
        <f>ROUND(0.0,2)</f>
        <v/>
      </c>
      <c r="BW42" s="4">
        <f>IFERROR((BQ42/BP42),0)</f>
        <v/>
      </c>
      <c r="BX42" s="4">
        <f>IFERROR(((0+BO11+BO12+BO13+BO14+BO15+BO16+BO17+BO19+BO20+BO21+BO22+BO23+BO24+BO25+BO27+BO28+BO29+BO30+BO31+BO32+BO33+BO35+BO36+BO37+BO38+BO39+BO40+BO41)/T2),0)</f>
        <v/>
      </c>
      <c r="BY42" s="5">
        <f>IFERROR(ROUND(BO42/BQ42,2),0)</f>
        <v/>
      </c>
      <c r="BZ42" s="5">
        <f>IFERROR(ROUND(BO42/BR42,2),0)</f>
        <v/>
      </c>
      <c r="CA42" s="2" t="inlineStr">
        <is>
          <t>4 Weekly Total</t>
        </is>
      </c>
      <c r="CB42" s="5">
        <f>ROUND(0.0,2)</f>
        <v/>
      </c>
      <c r="CC42" s="3">
        <f>ROUND(0.0,2)</f>
        <v/>
      </c>
      <c r="CD42" s="3">
        <f>ROUND(0.0,2)</f>
        <v/>
      </c>
      <c r="CE42" s="3">
        <f>ROUND(0.0,2)</f>
        <v/>
      </c>
      <c r="CF42" s="3">
        <f>ROUND(0.0,2)</f>
        <v/>
      </c>
      <c r="CG42" s="3">
        <f>ROUND(0.0,2)</f>
        <v/>
      </c>
      <c r="CH42" s="3">
        <f>ROUND(0.0,2)</f>
        <v/>
      </c>
      <c r="CI42" s="3">
        <f>ROUND(0.0,2)</f>
        <v/>
      </c>
      <c r="CJ42" s="4">
        <f>IFERROR((CD42/CC42),0)</f>
        <v/>
      </c>
      <c r="CK42" s="4">
        <f>IFERROR(((0+CB11+CB12+CB13+CB14+CB15+CB16+CB17+CB19+CB20+CB21+CB22+CB23+CB24+CB25+CB27+CB28+CB29+CB30+CB31+CB32+CB33+CB35+CB36+CB37+CB38+CB39+CB40+CB41)/T2),0)</f>
        <v/>
      </c>
      <c r="CL42" s="5">
        <f>IFERROR(ROUND(CB42/CD42,2),0)</f>
        <v/>
      </c>
      <c r="CM42" s="5">
        <f>IFERROR(ROUND(CB42/CE42,2),0)</f>
        <v/>
      </c>
      <c r="CN42" s="2" t="inlineStr">
        <is>
          <t>4 Weekly Total</t>
        </is>
      </c>
      <c r="CO42" s="5">
        <f>ROUND(0.0,2)</f>
        <v/>
      </c>
      <c r="CP42" s="3">
        <f>ROUND(0.0,2)</f>
        <v/>
      </c>
      <c r="CQ42" s="3">
        <f>ROUND(0.0,2)</f>
        <v/>
      </c>
      <c r="CR42" s="3">
        <f>ROUND(0.0,2)</f>
        <v/>
      </c>
      <c r="CS42" s="3">
        <f>ROUND(0.0,2)</f>
        <v/>
      </c>
      <c r="CT42" s="3">
        <f>ROUND(0.0,2)</f>
        <v/>
      </c>
      <c r="CU42" s="3">
        <f>ROUND(0.0,2)</f>
        <v/>
      </c>
      <c r="CV42" s="3">
        <f>ROUND(0.0,2)</f>
        <v/>
      </c>
      <c r="CW42" s="4">
        <f>IFERROR((CQ42/CP42),0)</f>
        <v/>
      </c>
      <c r="CX42" s="4">
        <f>IFERROR(((0+CO11+CO12+CO13+CO14+CO15+CO16+CO17+CO19+CO20+CO21+CO22+CO23+CO24+CO25+CO27+CO28+CO29+CO30+CO31+CO32+CO33+CO35+CO36+CO37+CO38+CO39+CO40+CO41)/T2),0)</f>
        <v/>
      </c>
      <c r="CY42" s="5">
        <f>IFERROR(ROUND(CO42/CQ42,2),0)</f>
        <v/>
      </c>
      <c r="CZ42" s="5">
        <f>IFERROR(ROUND(CO42/CR42,2),0)</f>
        <v/>
      </c>
      <c r="DA42" s="2" t="inlineStr">
        <is>
          <t>4 Weekly Total</t>
        </is>
      </c>
      <c r="DB42" s="5">
        <f>ROUND(0.0,2)</f>
        <v/>
      </c>
      <c r="DC42" s="3">
        <f>ROUND(0.0,2)</f>
        <v/>
      </c>
      <c r="DD42" s="3">
        <f>ROUND(0.0,2)</f>
        <v/>
      </c>
      <c r="DE42" s="3">
        <f>ROUND(0.0,2)</f>
        <v/>
      </c>
      <c r="DF42" s="3">
        <f>ROUND(0.0,2)</f>
        <v/>
      </c>
      <c r="DG42" s="3">
        <f>ROUND(0.0,2)</f>
        <v/>
      </c>
      <c r="DH42" s="3">
        <f>ROUND(0.0,2)</f>
        <v/>
      </c>
      <c r="DI42" s="3">
        <f>ROUND(0.0,2)</f>
        <v/>
      </c>
      <c r="DJ42" s="4">
        <f>IFERROR((DD42/DC42),0)</f>
        <v/>
      </c>
      <c r="DK42" s="4">
        <f>IFERROR(((0+DB11+DB12+DB13+DB14+DB15+DB16+DB17+DB19+DB20+DB21+DB22+DB23+DB24+DB25+DB27+DB28+DB29+DB30+DB31+DB32+DB33+DB35+DB36+DB37+DB38+DB39+DB40+DB41)/T2),0)</f>
        <v/>
      </c>
      <c r="DL42" s="5">
        <f>IFERROR(ROUND(DB42/DD42,2),0)</f>
        <v/>
      </c>
      <c r="DM42" s="5">
        <f>IFERROR(ROUND(DB42/DE42,2),0)</f>
        <v/>
      </c>
      <c r="DN42" s="2" t="inlineStr">
        <is>
          <t>4 Weekly Total</t>
        </is>
      </c>
      <c r="DO42" s="5">
        <f>ROUND(0.0,2)</f>
        <v/>
      </c>
      <c r="DP42" s="3">
        <f>ROUND(0.0,2)</f>
        <v/>
      </c>
      <c r="DQ42" s="3">
        <f>ROUND(0.0,2)</f>
        <v/>
      </c>
      <c r="DR42" s="3">
        <f>ROUND(0.0,2)</f>
        <v/>
      </c>
      <c r="DS42" s="3">
        <f>ROUND(0.0,2)</f>
        <v/>
      </c>
      <c r="DT42" s="3">
        <f>ROUND(0.0,2)</f>
        <v/>
      </c>
      <c r="DU42" s="3">
        <f>ROUND(0.0,2)</f>
        <v/>
      </c>
      <c r="DV42" s="3">
        <f>ROUND(0.0,2)</f>
        <v/>
      </c>
      <c r="DW42" s="4">
        <f>IFERROR((DQ42/DP42),0)</f>
        <v/>
      </c>
      <c r="DX42" s="4">
        <f>IFERROR(((0+DO11+DO12+DO13+DO14+DO15+DO16+DO17+DO19+DO20+DO21+DO22+DO23+DO24+DO25+DO27+DO28+DO29+DO30+DO31+DO32+DO33+DO35+DO36+DO37+DO38+DO39+DO40+DO41)/T2),0)</f>
        <v/>
      </c>
      <c r="DY42" s="5">
        <f>IFERROR(ROUND(DO42/DQ42,2),0)</f>
        <v/>
      </c>
      <c r="DZ42" s="5">
        <f>IFERROR(ROUND(DO42/DR42,2),0)</f>
        <v/>
      </c>
      <c r="EA42" s="2" t="inlineStr">
        <is>
          <t>4 Weekly Total</t>
        </is>
      </c>
      <c r="EB42" s="5">
        <f>ROUND(0.0,2)</f>
        <v/>
      </c>
      <c r="EC42" s="3">
        <f>ROUND(0.0,2)</f>
        <v/>
      </c>
      <c r="ED42" s="3">
        <f>ROUND(0.0,2)</f>
        <v/>
      </c>
      <c r="EE42" s="3">
        <f>ROUND(0.0,2)</f>
        <v/>
      </c>
      <c r="EF42" s="3">
        <f>ROUND(0.0,2)</f>
        <v/>
      </c>
      <c r="EG42" s="3">
        <f>ROUND(0.0,2)</f>
        <v/>
      </c>
      <c r="EH42" s="3">
        <f>ROUND(0.0,2)</f>
        <v/>
      </c>
      <c r="EI42" s="3">
        <f>ROUND(0.0,2)</f>
        <v/>
      </c>
      <c r="EJ42" s="4">
        <f>IFERROR((ED42/EC42),0)</f>
        <v/>
      </c>
      <c r="EK42" s="4">
        <f>IFERROR(((0+EB11+EB12+EB13+EB14+EB15+EB16+EB17+EB19+EB20+EB21+EB22+EB23+EB24+EB25+EB27+EB28+EB29+EB30+EB31+EB32+EB33+EB35+EB36+EB37+EB38+EB39+EB40+EB41)/T2),0)</f>
        <v/>
      </c>
      <c r="EL42" s="5">
        <f>IFERROR(ROUND(EB42/ED42,2),0)</f>
        <v/>
      </c>
      <c r="EM42" s="5">
        <f>IFERROR(ROUND(EB42/EE42,2),0)</f>
        <v/>
      </c>
      <c r="EN42" s="2" t="inlineStr">
        <is>
          <t>4 Weekly Total</t>
        </is>
      </c>
      <c r="EO42" s="5">
        <f>ROUND(0.0,2)</f>
        <v/>
      </c>
      <c r="EP42" s="3">
        <f>ROUND(0.0,2)</f>
        <v/>
      </c>
      <c r="EQ42" s="3">
        <f>ROUND(0.0,2)</f>
        <v/>
      </c>
      <c r="ER42" s="3">
        <f>ROUND(0.0,2)</f>
        <v/>
      </c>
      <c r="ES42" s="3">
        <f>ROUND(0.0,2)</f>
        <v/>
      </c>
      <c r="ET42" s="3">
        <f>ROUND(0.0,2)</f>
        <v/>
      </c>
      <c r="EU42" s="3">
        <f>ROUND(0.0,2)</f>
        <v/>
      </c>
      <c r="EV42" s="3">
        <f>ROUND(0.0,2)</f>
        <v/>
      </c>
      <c r="EW42" s="4">
        <f>IFERROR((EQ42/EP42),0)</f>
        <v/>
      </c>
      <c r="EX42" s="4">
        <f>IFERROR(((0+EO11+EO12+EO13+EO14+EO15+EO16+EO17+EO19+EO20+EO21+EO22+EO23+EO24+EO25+EO27+EO28+EO29+EO30+EO31+EO32+EO33+EO35+EO36+EO37+EO38+EO39+EO40+EO41)/T2),0)</f>
        <v/>
      </c>
      <c r="EY42" s="5">
        <f>IFERROR(ROUND(EO42/EQ42,2),0)</f>
        <v/>
      </c>
      <c r="EZ42" s="5">
        <f>IFERROR(ROUND(EO42/ER42,2),0)</f>
        <v/>
      </c>
      <c r="FA42" s="2" t="inlineStr">
        <is>
          <t>4 Weekly Total</t>
        </is>
      </c>
      <c r="FB42" s="5">
        <f>ROUND(0.0,2)</f>
        <v/>
      </c>
      <c r="FC42" s="3">
        <f>ROUND(0.0,2)</f>
        <v/>
      </c>
      <c r="FD42" s="3">
        <f>ROUND(0.0,2)</f>
        <v/>
      </c>
      <c r="FE42" s="3">
        <f>ROUND(0.0,2)</f>
        <v/>
      </c>
      <c r="FF42" s="3">
        <f>ROUND(0.0,2)</f>
        <v/>
      </c>
      <c r="FG42" s="3">
        <f>ROUND(0.0,2)</f>
        <v/>
      </c>
      <c r="FH42" s="3">
        <f>ROUND(0.0,2)</f>
        <v/>
      </c>
      <c r="FI42" s="3">
        <f>ROUND(0.0,2)</f>
        <v/>
      </c>
      <c r="FJ42" s="4">
        <f>IFERROR((FD42/FC42),0)</f>
        <v/>
      </c>
      <c r="FK42" s="4">
        <f>IFERROR(((0+FB11+FB12+FB13+FB14+FB15+FB16+FB17+FB19+FB20+FB21+FB22+FB23+FB24+FB25+FB27+FB28+FB29+FB30+FB31+FB32+FB33+FB35+FB36+FB37+FB38+FB39+FB40+FB41)/T2),0)</f>
        <v/>
      </c>
      <c r="FL42" s="5">
        <f>IFERROR(ROUND(FB42/FD42,2),0)</f>
        <v/>
      </c>
      <c r="FM42" s="5">
        <f>IFERROR(ROUND(FB42/FE42,2),0)</f>
        <v/>
      </c>
      <c r="FN42" s="2" t="inlineStr">
        <is>
          <t>4 Weekly Total</t>
        </is>
      </c>
      <c r="FO42" s="5">
        <f>ROUND(0.0,2)</f>
        <v/>
      </c>
      <c r="FP42" s="3">
        <f>ROUND(0.0,2)</f>
        <v/>
      </c>
      <c r="FQ42" s="3">
        <f>ROUND(0.0,2)</f>
        <v/>
      </c>
      <c r="FR42" s="3">
        <f>ROUND(0.0,2)</f>
        <v/>
      </c>
      <c r="FS42" s="3">
        <f>ROUND(0.0,2)</f>
        <v/>
      </c>
      <c r="FT42" s="3">
        <f>ROUND(0.0,2)</f>
        <v/>
      </c>
      <c r="FU42" s="3">
        <f>ROUND(0.0,2)</f>
        <v/>
      </c>
      <c r="FV42" s="3">
        <f>ROUND(0.0,2)</f>
        <v/>
      </c>
      <c r="FW42" s="4">
        <f>IFERROR((FQ42/FP42),0)</f>
        <v/>
      </c>
      <c r="FX42" s="4">
        <f>IFERROR(((0+FO11+FO12+FO13+FO14+FO15+FO16+FO17+FO19+FO20+FO21+FO22+FO23+FO24+FO25+FO27+FO28+FO29+FO30+FO31+FO32+FO33+FO35+FO36+FO37+FO38+FO39+FO40+FO41)/T2),0)</f>
        <v/>
      </c>
      <c r="FY42" s="5">
        <f>IFERROR(ROUND(FO42/FQ42,2),0)</f>
        <v/>
      </c>
      <c r="FZ42" s="5">
        <f>IFERROR(ROUND(FO42/FR42,2),0)</f>
        <v/>
      </c>
      <c r="GA42" s="2" t="inlineStr">
        <is>
          <t>4 Weekly Total</t>
        </is>
      </c>
      <c r="GB42" s="5">
        <f>ROUND(0.0,2)</f>
        <v/>
      </c>
      <c r="GC42" s="3">
        <f>ROUND(0.0,2)</f>
        <v/>
      </c>
      <c r="GD42" s="3">
        <f>ROUND(0.0,2)</f>
        <v/>
      </c>
      <c r="GE42" s="3">
        <f>ROUND(0.0,2)</f>
        <v/>
      </c>
      <c r="GF42" s="3">
        <f>ROUND(0.0,2)</f>
        <v/>
      </c>
      <c r="GG42" s="3">
        <f>ROUND(0.0,2)</f>
        <v/>
      </c>
      <c r="GH42" s="3">
        <f>ROUND(0.0,2)</f>
        <v/>
      </c>
      <c r="GI42" s="3">
        <f>ROUND(0.0,2)</f>
        <v/>
      </c>
      <c r="GJ42" s="4">
        <f>IFERROR((GD42/GC42),0)</f>
        <v/>
      </c>
      <c r="GK42" s="4">
        <f>IFERROR(((0+GB11+GB12+GB13+GB14+GB15+GB16+GB17+GB19+GB20+GB21+GB22+GB23+GB24+GB25+GB27+GB28+GB29+GB30+GB31+GB32+GB33+GB35+GB36+GB37+GB38+GB39+GB40+GB41)/T2),0)</f>
        <v/>
      </c>
      <c r="GL42" s="5">
        <f>IFERROR(ROUND(GB42/GD42,2),0)</f>
        <v/>
      </c>
      <c r="GM42" s="5">
        <f>IFERROR(ROUND(GB42/GE42,2),0)</f>
        <v/>
      </c>
    </row>
    <row r="43">
      <c r="A43" s="2" t="inlineStr">
        <is>
          <t>2023-10-18</t>
        </is>
      </c>
      <c r="B43" s="5">
        <f>ROUND(0.0,2)</f>
        <v/>
      </c>
      <c r="C43" s="3">
        <f>ROUND(0.0,2)</f>
        <v/>
      </c>
      <c r="D43" s="3">
        <f>ROUND(0.0,2)</f>
        <v/>
      </c>
      <c r="E43" s="3">
        <f>ROUND(0.0,2)</f>
        <v/>
      </c>
      <c r="F43" s="3">
        <f>ROUND(0.0,2)</f>
        <v/>
      </c>
      <c r="G43" s="3">
        <f>ROUND(0.0,2)</f>
        <v/>
      </c>
      <c r="H43" s="3">
        <f>ROUND(0.0,2)</f>
        <v/>
      </c>
      <c r="I43" s="3">
        <f>ROUND(0.0,2)</f>
        <v/>
      </c>
      <c r="J43" s="4">
        <f>IFERROR((D43/C43),0)</f>
        <v/>
      </c>
      <c r="K43" s="4">
        <f>IFERROR(((0+B11+B12+B13+B14+B15+B16+B17+B19+B20+B21+B22+B23+B24+B25+B27+B28+B29+B30+B31+B32+B33+B35+B36+B37+B38+B39+B40+B41+B43)/T2),0)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2023-10-18</t>
        </is>
      </c>
      <c r="O43" s="5">
        <f>ROUND(0.0,2)</f>
        <v/>
      </c>
      <c r="P43" s="3">
        <f>ROUND(0.0,2)</f>
        <v/>
      </c>
      <c r="Q43" s="3">
        <f>ROUND(0.0,2)</f>
        <v/>
      </c>
      <c r="R43" s="3">
        <f>ROUND(0.0,2)</f>
        <v/>
      </c>
      <c r="S43" s="3">
        <f>ROUND(0.0,2)</f>
        <v/>
      </c>
      <c r="T43" s="3">
        <f>ROUND(0.0,2)</f>
        <v/>
      </c>
      <c r="U43" s="3">
        <f>ROUND(0.0,2)</f>
        <v/>
      </c>
      <c r="V43" s="3">
        <f>ROUND(0.0,2)</f>
        <v/>
      </c>
      <c r="W43" s="4">
        <f>IFERROR((Q43/P43),0)</f>
        <v/>
      </c>
      <c r="X43" s="4">
        <f>IFERROR(((0+O11+O12+O13+O14+O15+O16+O17+O19+O20+O21+O22+O23+O24+O25+O27+O28+O29+O30+O31+O32+O33+O35+O36+O37+O38+O39+O40+O41+O43)/T2),0)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2023-10-18</t>
        </is>
      </c>
      <c r="AB43" s="5">
        <f>ROUND(0.0,2)</f>
        <v/>
      </c>
      <c r="AC43" s="3">
        <f>ROUND(0.0,2)</f>
        <v/>
      </c>
      <c r="AD43" s="3">
        <f>ROUND(0.0,2)</f>
        <v/>
      </c>
      <c r="AE43" s="3">
        <f>ROUND(0.0,2)</f>
        <v/>
      </c>
      <c r="AF43" s="3">
        <f>ROUND(0.0,2)</f>
        <v/>
      </c>
      <c r="AG43" s="3">
        <f>ROUND(0.0,2)</f>
        <v/>
      </c>
      <c r="AH43" s="3">
        <f>ROUND(0.0,2)</f>
        <v/>
      </c>
      <c r="AI43" s="3">
        <f>ROUND(0.0,2)</f>
        <v/>
      </c>
      <c r="AJ43" s="4">
        <f>IFERROR((AD43/AC43),0)</f>
        <v/>
      </c>
      <c r="AK43" s="4">
        <f>IFERROR(((0+AB11+AB12+AB13+AB14+AB15+AB16+AB17+AB19+AB20+AB21+AB22+AB23+AB24+AB25+AB27+AB28+AB29+AB30+AB31+AB32+AB33+AB35+AB36+AB37+AB38+AB39+AB40+AB41+AB43)/T2),0)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2023-10-18</t>
        </is>
      </c>
      <c r="AO43" s="5">
        <f>ROUND(0.0,2)</f>
        <v/>
      </c>
      <c r="AP43" s="3">
        <f>ROUND(0.0,2)</f>
        <v/>
      </c>
      <c r="AQ43" s="3">
        <f>ROUND(0.0,2)</f>
        <v/>
      </c>
      <c r="AR43" s="3">
        <f>ROUND(0.0,2)</f>
        <v/>
      </c>
      <c r="AS43" s="3">
        <f>ROUND(0.0,2)</f>
        <v/>
      </c>
      <c r="AT43" s="3">
        <f>ROUND(0.0,2)</f>
        <v/>
      </c>
      <c r="AU43" s="3">
        <f>ROUND(0.0,2)</f>
        <v/>
      </c>
      <c r="AV43" s="3">
        <f>ROUND(0.0,2)</f>
        <v/>
      </c>
      <c r="AW43" s="4">
        <f>IFERROR((AQ43/AP43),0)</f>
        <v/>
      </c>
      <c r="AX43" s="4">
        <f>IFERROR(((0+AO11+AO12+AO13+AO14+AO15+AO16+AO17+AO19+AO20+AO21+AO22+AO23+AO24+AO25+AO27+AO28+AO29+AO30+AO31+AO32+AO33+AO35+AO36+AO37+AO38+AO39+AO40+AO41+AO43)/T2),0)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2023-10-18</t>
        </is>
      </c>
      <c r="BB43" s="5">
        <f>ROUND(0.0,2)</f>
        <v/>
      </c>
      <c r="BC43" s="3">
        <f>ROUND(0.0,2)</f>
        <v/>
      </c>
      <c r="BD43" s="3">
        <f>ROUND(0.0,2)</f>
        <v/>
      </c>
      <c r="BE43" s="3">
        <f>ROUND(0.0,2)</f>
        <v/>
      </c>
      <c r="BF43" s="3">
        <f>ROUND(0.0,2)</f>
        <v/>
      </c>
      <c r="BG43" s="3">
        <f>ROUND(0.0,2)</f>
        <v/>
      </c>
      <c r="BH43" s="3">
        <f>ROUND(0.0,2)</f>
        <v/>
      </c>
      <c r="BI43" s="3">
        <f>ROUND(0.0,2)</f>
        <v/>
      </c>
      <c r="BJ43" s="4">
        <f>IFERROR((BD43/BC43),0)</f>
        <v/>
      </c>
      <c r="BK43" s="4">
        <f>IFERROR(((0+BB11+BB12+BB13+BB14+BB15+BB16+BB17+BB19+BB20+BB21+BB22+BB23+BB24+BB25+BB27+BB28+BB29+BB30+BB31+BB32+BB33+BB35+BB36+BB37+BB38+BB39+BB40+BB41+BB43)/T2),0)</f>
        <v/>
      </c>
      <c r="BL43" s="5">
        <f>IFERROR(ROUND(BB43/BD43,2),0)</f>
        <v/>
      </c>
      <c r="BM43" s="5">
        <f>IFERROR(ROUND(BB43/BE43,2),0)</f>
        <v/>
      </c>
      <c r="BN43" s="2" t="inlineStr">
        <is>
          <t>2023-10-18</t>
        </is>
      </c>
      <c r="BO43" s="5">
        <f>ROUND(0.0,2)</f>
        <v/>
      </c>
      <c r="BP43" s="3">
        <f>ROUND(0.0,2)</f>
        <v/>
      </c>
      <c r="BQ43" s="3">
        <f>ROUND(0.0,2)</f>
        <v/>
      </c>
      <c r="BR43" s="3">
        <f>ROUND(0.0,2)</f>
        <v/>
      </c>
      <c r="BS43" s="3">
        <f>ROUND(0.0,2)</f>
        <v/>
      </c>
      <c r="BT43" s="3">
        <f>ROUND(0.0,2)</f>
        <v/>
      </c>
      <c r="BU43" s="3">
        <f>ROUND(0.0,2)</f>
        <v/>
      </c>
      <c r="BV43" s="3">
        <f>ROUND(0.0,2)</f>
        <v/>
      </c>
      <c r="BW43" s="4">
        <f>IFERROR((BQ43/BP43),0)</f>
        <v/>
      </c>
      <c r="BX43" s="4">
        <f>IFERROR(((0+BO11+BO12+BO13+BO14+BO15+BO16+BO17+BO19+BO20+BO21+BO22+BO23+BO24+BO25+BO27+BO28+BO29+BO30+BO31+BO32+BO33+BO35+BO36+BO37+BO38+BO39+BO40+BO41+BO43)/T2),0)</f>
        <v/>
      </c>
      <c r="BY43" s="5">
        <f>IFERROR(ROUND(BO43/BQ43,2),0)</f>
        <v/>
      </c>
      <c r="BZ43" s="5">
        <f>IFERROR(ROUND(BO43/BR43,2),0)</f>
        <v/>
      </c>
      <c r="CA43" s="2" t="inlineStr">
        <is>
          <t>2023-10-18</t>
        </is>
      </c>
      <c r="CB43" s="5">
        <f>ROUND(0.0,2)</f>
        <v/>
      </c>
      <c r="CC43" s="3">
        <f>ROUND(0.0,2)</f>
        <v/>
      </c>
      <c r="CD43" s="3">
        <f>ROUND(0.0,2)</f>
        <v/>
      </c>
      <c r="CE43" s="3">
        <f>ROUND(0.0,2)</f>
        <v/>
      </c>
      <c r="CF43" s="3">
        <f>ROUND(0.0,2)</f>
        <v/>
      </c>
      <c r="CG43" s="3">
        <f>ROUND(0.0,2)</f>
        <v/>
      </c>
      <c r="CH43" s="3">
        <f>ROUND(0.0,2)</f>
        <v/>
      </c>
      <c r="CI43" s="3">
        <f>ROUND(0.0,2)</f>
        <v/>
      </c>
      <c r="CJ43" s="4">
        <f>IFERROR((CD43/CC43),0)</f>
        <v/>
      </c>
      <c r="CK43" s="4">
        <f>IFERROR(((0+CB11+CB12+CB13+CB14+CB15+CB16+CB17+CB19+CB20+CB21+CB22+CB23+CB24+CB25+CB27+CB28+CB29+CB30+CB31+CB32+CB33+CB35+CB36+CB37+CB38+CB39+CB40+CB41+CB43)/T2),0)</f>
        <v/>
      </c>
      <c r="CL43" s="5">
        <f>IFERROR(ROUND(CB43/CD43,2),0)</f>
        <v/>
      </c>
      <c r="CM43" s="5">
        <f>IFERROR(ROUND(CB43/CE43,2),0)</f>
        <v/>
      </c>
      <c r="CN43" s="2" t="inlineStr">
        <is>
          <t>2023-10-18</t>
        </is>
      </c>
      <c r="CO43" s="5">
        <f>ROUND(0.0,2)</f>
        <v/>
      </c>
      <c r="CP43" s="3">
        <f>ROUND(0.0,2)</f>
        <v/>
      </c>
      <c r="CQ43" s="3">
        <f>ROUND(0.0,2)</f>
        <v/>
      </c>
      <c r="CR43" s="3">
        <f>ROUND(0.0,2)</f>
        <v/>
      </c>
      <c r="CS43" s="3">
        <f>ROUND(0.0,2)</f>
        <v/>
      </c>
      <c r="CT43" s="3">
        <f>ROUND(0.0,2)</f>
        <v/>
      </c>
      <c r="CU43" s="3">
        <f>ROUND(0.0,2)</f>
        <v/>
      </c>
      <c r="CV43" s="3">
        <f>ROUND(0.0,2)</f>
        <v/>
      </c>
      <c r="CW43" s="4">
        <f>IFERROR((CQ43/CP43),0)</f>
        <v/>
      </c>
      <c r="CX43" s="4">
        <f>IFERROR(((0+CO11+CO12+CO13+CO14+CO15+CO16+CO17+CO19+CO20+CO21+CO22+CO23+CO24+CO25+CO27+CO28+CO29+CO30+CO31+CO32+CO33+CO35+CO36+CO37+CO38+CO39+CO40+CO41+CO43)/T2),0)</f>
        <v/>
      </c>
      <c r="CY43" s="5">
        <f>IFERROR(ROUND(CO43/CQ43,2),0)</f>
        <v/>
      </c>
      <c r="CZ43" s="5">
        <f>IFERROR(ROUND(CO43/CR43,2),0)</f>
        <v/>
      </c>
      <c r="DA43" s="2" t="inlineStr">
        <is>
          <t>2023-10-18</t>
        </is>
      </c>
      <c r="DB43" s="5">
        <f>ROUND(0.0,2)</f>
        <v/>
      </c>
      <c r="DC43" s="3">
        <f>ROUND(0.0,2)</f>
        <v/>
      </c>
      <c r="DD43" s="3">
        <f>ROUND(0.0,2)</f>
        <v/>
      </c>
      <c r="DE43" s="3">
        <f>ROUND(0.0,2)</f>
        <v/>
      </c>
      <c r="DF43" s="3">
        <f>ROUND(0.0,2)</f>
        <v/>
      </c>
      <c r="DG43" s="3">
        <f>ROUND(0.0,2)</f>
        <v/>
      </c>
      <c r="DH43" s="3">
        <f>ROUND(0.0,2)</f>
        <v/>
      </c>
      <c r="DI43" s="3">
        <f>ROUND(0.0,2)</f>
        <v/>
      </c>
      <c r="DJ43" s="4">
        <f>IFERROR((DD43/DC43),0)</f>
        <v/>
      </c>
      <c r="DK43" s="4">
        <f>IFERROR(((0+DB11+DB12+DB13+DB14+DB15+DB16+DB17+DB19+DB20+DB21+DB22+DB23+DB24+DB25+DB27+DB28+DB29+DB30+DB31+DB32+DB33+DB35+DB36+DB37+DB38+DB39+DB40+DB41+DB43)/T2),0)</f>
        <v/>
      </c>
      <c r="DL43" s="5">
        <f>IFERROR(ROUND(DB43/DD43,2),0)</f>
        <v/>
      </c>
      <c r="DM43" s="5">
        <f>IFERROR(ROUND(DB43/DE43,2),0)</f>
        <v/>
      </c>
      <c r="DN43" s="2" t="inlineStr">
        <is>
          <t>2023-10-18</t>
        </is>
      </c>
      <c r="DO43" s="5">
        <f>ROUND(0.0,2)</f>
        <v/>
      </c>
      <c r="DP43" s="3">
        <f>ROUND(0.0,2)</f>
        <v/>
      </c>
      <c r="DQ43" s="3">
        <f>ROUND(0.0,2)</f>
        <v/>
      </c>
      <c r="DR43" s="3">
        <f>ROUND(0.0,2)</f>
        <v/>
      </c>
      <c r="DS43" s="3">
        <f>ROUND(0.0,2)</f>
        <v/>
      </c>
      <c r="DT43" s="3">
        <f>ROUND(0.0,2)</f>
        <v/>
      </c>
      <c r="DU43" s="3">
        <f>ROUND(0.0,2)</f>
        <v/>
      </c>
      <c r="DV43" s="3">
        <f>ROUND(0.0,2)</f>
        <v/>
      </c>
      <c r="DW43" s="4">
        <f>IFERROR((DQ43/DP43),0)</f>
        <v/>
      </c>
      <c r="DX43" s="4">
        <f>IFERROR(((0+DO11+DO12+DO13+DO14+DO15+DO16+DO17+DO19+DO20+DO21+DO22+DO23+DO24+DO25+DO27+DO28+DO29+DO30+DO31+DO32+DO33+DO35+DO36+DO37+DO38+DO39+DO40+DO41+DO43)/T2),0)</f>
        <v/>
      </c>
      <c r="DY43" s="5">
        <f>IFERROR(ROUND(DO43/DQ43,2),0)</f>
        <v/>
      </c>
      <c r="DZ43" s="5">
        <f>IFERROR(ROUND(DO43/DR43,2),0)</f>
        <v/>
      </c>
      <c r="EA43" s="2" t="inlineStr">
        <is>
          <t>2023-10-18</t>
        </is>
      </c>
      <c r="EB43" s="5">
        <f>ROUND(0.0,2)</f>
        <v/>
      </c>
      <c r="EC43" s="3">
        <f>ROUND(0.0,2)</f>
        <v/>
      </c>
      <c r="ED43" s="3">
        <f>ROUND(0.0,2)</f>
        <v/>
      </c>
      <c r="EE43" s="3">
        <f>ROUND(0.0,2)</f>
        <v/>
      </c>
      <c r="EF43" s="3">
        <f>ROUND(0.0,2)</f>
        <v/>
      </c>
      <c r="EG43" s="3">
        <f>ROUND(0.0,2)</f>
        <v/>
      </c>
      <c r="EH43" s="3">
        <f>ROUND(0.0,2)</f>
        <v/>
      </c>
      <c r="EI43" s="3">
        <f>ROUND(0.0,2)</f>
        <v/>
      </c>
      <c r="EJ43" s="4">
        <f>IFERROR((ED43/EC43),0)</f>
        <v/>
      </c>
      <c r="EK43" s="4">
        <f>IFERROR(((0+EB11+EB12+EB13+EB14+EB15+EB16+EB17+EB19+EB20+EB21+EB22+EB23+EB24+EB25+EB27+EB28+EB29+EB30+EB31+EB32+EB33+EB35+EB36+EB37+EB38+EB39+EB40+EB41+EB43)/T2),0)</f>
        <v/>
      </c>
      <c r="EL43" s="5">
        <f>IFERROR(ROUND(EB43/ED43,2),0)</f>
        <v/>
      </c>
      <c r="EM43" s="5">
        <f>IFERROR(ROUND(EB43/EE43,2),0)</f>
        <v/>
      </c>
      <c r="EN43" s="2" t="inlineStr">
        <is>
          <t>2023-10-18</t>
        </is>
      </c>
      <c r="EO43" s="5">
        <f>ROUND(0.0,2)</f>
        <v/>
      </c>
      <c r="EP43" s="3">
        <f>ROUND(0.0,2)</f>
        <v/>
      </c>
      <c r="EQ43" s="3">
        <f>ROUND(0.0,2)</f>
        <v/>
      </c>
      <c r="ER43" s="3">
        <f>ROUND(0.0,2)</f>
        <v/>
      </c>
      <c r="ES43" s="3">
        <f>ROUND(0.0,2)</f>
        <v/>
      </c>
      <c r="ET43" s="3">
        <f>ROUND(0.0,2)</f>
        <v/>
      </c>
      <c r="EU43" s="3">
        <f>ROUND(0.0,2)</f>
        <v/>
      </c>
      <c r="EV43" s="3">
        <f>ROUND(0.0,2)</f>
        <v/>
      </c>
      <c r="EW43" s="4">
        <f>IFERROR((EQ43/EP43),0)</f>
        <v/>
      </c>
      <c r="EX43" s="4">
        <f>IFERROR(((0+EO11+EO12+EO13+EO14+EO15+EO16+EO17+EO19+EO20+EO21+EO22+EO23+EO24+EO25+EO27+EO28+EO29+EO30+EO31+EO32+EO33+EO35+EO36+EO37+EO38+EO39+EO40+EO41+EO43)/T2),0)</f>
        <v/>
      </c>
      <c r="EY43" s="5">
        <f>IFERROR(ROUND(EO43/EQ43,2),0)</f>
        <v/>
      </c>
      <c r="EZ43" s="5">
        <f>IFERROR(ROUND(EO43/ER43,2),0)</f>
        <v/>
      </c>
      <c r="FA43" s="2" t="inlineStr">
        <is>
          <t>2023-10-18</t>
        </is>
      </c>
      <c r="FB43" s="5">
        <f>ROUND(0.0,2)</f>
        <v/>
      </c>
      <c r="FC43" s="3">
        <f>ROUND(0.0,2)</f>
        <v/>
      </c>
      <c r="FD43" s="3">
        <f>ROUND(0.0,2)</f>
        <v/>
      </c>
      <c r="FE43" s="3">
        <f>ROUND(0.0,2)</f>
        <v/>
      </c>
      <c r="FF43" s="3">
        <f>ROUND(0.0,2)</f>
        <v/>
      </c>
      <c r="FG43" s="3">
        <f>ROUND(0.0,2)</f>
        <v/>
      </c>
      <c r="FH43" s="3">
        <f>ROUND(0.0,2)</f>
        <v/>
      </c>
      <c r="FI43" s="3">
        <f>ROUND(0.0,2)</f>
        <v/>
      </c>
      <c r="FJ43" s="4">
        <f>IFERROR((FD43/FC43),0)</f>
        <v/>
      </c>
      <c r="FK43" s="4">
        <f>IFERROR(((0+FB11+FB12+FB13+FB14+FB15+FB16+FB17+FB19+FB20+FB21+FB22+FB23+FB24+FB25+FB27+FB28+FB29+FB30+FB31+FB32+FB33+FB35+FB36+FB37+FB38+FB39+FB40+FB41+FB43)/T2),0)</f>
        <v/>
      </c>
      <c r="FL43" s="5">
        <f>IFERROR(ROUND(FB43/FD43,2),0)</f>
        <v/>
      </c>
      <c r="FM43" s="5">
        <f>IFERROR(ROUND(FB43/FE43,2),0)</f>
        <v/>
      </c>
      <c r="FN43" s="2" t="inlineStr">
        <is>
          <t>2023-10-18</t>
        </is>
      </c>
      <c r="FO43" s="5">
        <f>ROUND(0.0,2)</f>
        <v/>
      </c>
      <c r="FP43" s="3">
        <f>ROUND(0.0,2)</f>
        <v/>
      </c>
      <c r="FQ43" s="3">
        <f>ROUND(0.0,2)</f>
        <v/>
      </c>
      <c r="FR43" s="3">
        <f>ROUND(0.0,2)</f>
        <v/>
      </c>
      <c r="FS43" s="3">
        <f>ROUND(0.0,2)</f>
        <v/>
      </c>
      <c r="FT43" s="3">
        <f>ROUND(0.0,2)</f>
        <v/>
      </c>
      <c r="FU43" s="3">
        <f>ROUND(0.0,2)</f>
        <v/>
      </c>
      <c r="FV43" s="3">
        <f>ROUND(0.0,2)</f>
        <v/>
      </c>
      <c r="FW43" s="4">
        <f>IFERROR((FQ43/FP43),0)</f>
        <v/>
      </c>
      <c r="FX43" s="4">
        <f>IFERROR(((0+FO11+FO12+FO13+FO14+FO15+FO16+FO17+FO19+FO20+FO21+FO22+FO23+FO24+FO25+FO27+FO28+FO29+FO30+FO31+FO32+FO33+FO35+FO36+FO37+FO38+FO39+FO40+FO41+FO43)/T2),0)</f>
        <v/>
      </c>
      <c r="FY43" s="5">
        <f>IFERROR(ROUND(FO43/FQ43,2),0)</f>
        <v/>
      </c>
      <c r="FZ43" s="5">
        <f>IFERROR(ROUND(FO43/FR43,2),0)</f>
        <v/>
      </c>
      <c r="GA43" s="2" t="inlineStr">
        <is>
          <t>2023-10-18</t>
        </is>
      </c>
      <c r="GB43" s="5">
        <f>ROUND(0.0,2)</f>
        <v/>
      </c>
      <c r="GC43" s="3">
        <f>ROUND(0.0,2)</f>
        <v/>
      </c>
      <c r="GD43" s="3">
        <f>ROUND(0.0,2)</f>
        <v/>
      </c>
      <c r="GE43" s="3">
        <f>ROUND(0.0,2)</f>
        <v/>
      </c>
      <c r="GF43" s="3">
        <f>ROUND(0.0,2)</f>
        <v/>
      </c>
      <c r="GG43" s="3">
        <f>ROUND(0.0,2)</f>
        <v/>
      </c>
      <c r="GH43" s="3">
        <f>ROUND(0.0,2)</f>
        <v/>
      </c>
      <c r="GI43" s="3">
        <f>ROUND(0.0,2)</f>
        <v/>
      </c>
      <c r="GJ43" s="4">
        <f>IFERROR((GD43/GC43),0)</f>
        <v/>
      </c>
      <c r="GK43" s="4">
        <f>IFERROR(((0+GB11+GB12+GB13+GB14+GB15+GB16+GB17+GB19+GB20+GB21+GB22+GB23+GB24+GB25+GB27+GB28+GB29+GB30+GB31+GB32+GB33+GB35+GB36+GB37+GB38+GB39+GB40+GB41+GB43)/T2),0)</f>
        <v/>
      </c>
      <c r="GL43" s="5">
        <f>IFERROR(ROUND(GB43/GD43,2),0)</f>
        <v/>
      </c>
      <c r="GM43" s="5">
        <f>IFERROR(ROUND(GB43/GE43,2),0)</f>
        <v/>
      </c>
    </row>
    <row r="44">
      <c r="A44" s="2" t="inlineStr">
        <is>
          <t>2023-10-19</t>
        </is>
      </c>
      <c r="B44" s="5">
        <f>ROUND(0.0,2)</f>
        <v/>
      </c>
      <c r="C44" s="3">
        <f>ROUND(0.0,2)</f>
        <v/>
      </c>
      <c r="D44" s="3">
        <f>ROUND(0.0,2)</f>
        <v/>
      </c>
      <c r="E44" s="3">
        <f>ROUND(0.0,2)</f>
        <v/>
      </c>
      <c r="F44" s="3">
        <f>ROUND(0.0,2)</f>
        <v/>
      </c>
      <c r="G44" s="3">
        <f>ROUND(0.0,2)</f>
        <v/>
      </c>
      <c r="H44" s="3">
        <f>ROUND(0.0,2)</f>
        <v/>
      </c>
      <c r="I44" s="3">
        <f>ROUND(0.0,2)</f>
        <v/>
      </c>
      <c r="J44" s="4">
        <f>IFERROR((D44/C44),0)</f>
        <v/>
      </c>
      <c r="K44" s="4">
        <f>IFERROR(((0+B11+B12+B13+B14+B15+B16+B17+B19+B20+B21+B22+B23+B24+B25+B27+B28+B29+B30+B31+B32+B33+B35+B36+B37+B38+B39+B40+B41+B43+B44)/T2),0)</f>
        <v/>
      </c>
      <c r="L44" s="5">
        <f>IFERROR(ROUND(B44/D44,2),0)</f>
        <v/>
      </c>
      <c r="M44" s="5">
        <f>IFERROR(ROUND(B44/E44,2),0)</f>
        <v/>
      </c>
      <c r="N44" s="2" t="inlineStr">
        <is>
          <t>2023-10-19</t>
        </is>
      </c>
      <c r="O44" s="5">
        <f>ROUND(0.0,2)</f>
        <v/>
      </c>
      <c r="P44" s="3">
        <f>ROUND(0.0,2)</f>
        <v/>
      </c>
      <c r="Q44" s="3">
        <f>ROUND(0.0,2)</f>
        <v/>
      </c>
      <c r="R44" s="3">
        <f>ROUND(0.0,2)</f>
        <v/>
      </c>
      <c r="S44" s="3">
        <f>ROUND(0.0,2)</f>
        <v/>
      </c>
      <c r="T44" s="3">
        <f>ROUND(0.0,2)</f>
        <v/>
      </c>
      <c r="U44" s="3">
        <f>ROUND(0.0,2)</f>
        <v/>
      </c>
      <c r="V44" s="3">
        <f>ROUND(0.0,2)</f>
        <v/>
      </c>
      <c r="W44" s="4">
        <f>IFERROR((Q44/P44),0)</f>
        <v/>
      </c>
      <c r="X44" s="4">
        <f>IFERROR(((0+O11+O12+O13+O14+O15+O16+O17+O19+O20+O21+O22+O23+O24+O25+O27+O28+O29+O30+O31+O32+O33+O35+O36+O37+O38+O39+O40+O41+O43+O44)/T2),0)</f>
        <v/>
      </c>
      <c r="Y44" s="5">
        <f>IFERROR(ROUND(O44/Q44,2),0)</f>
        <v/>
      </c>
      <c r="Z44" s="5">
        <f>IFERROR(ROUND(O44/R44,2),0)</f>
        <v/>
      </c>
      <c r="AA44" s="2" t="inlineStr">
        <is>
          <t>2023-10-19</t>
        </is>
      </c>
      <c r="AB44" s="5">
        <f>ROUND(0.0,2)</f>
        <v/>
      </c>
      <c r="AC44" s="3">
        <f>ROUND(0.0,2)</f>
        <v/>
      </c>
      <c r="AD44" s="3">
        <f>ROUND(0.0,2)</f>
        <v/>
      </c>
      <c r="AE44" s="3">
        <f>ROUND(0.0,2)</f>
        <v/>
      </c>
      <c r="AF44" s="3">
        <f>ROUND(0.0,2)</f>
        <v/>
      </c>
      <c r="AG44" s="3">
        <f>ROUND(0.0,2)</f>
        <v/>
      </c>
      <c r="AH44" s="3">
        <f>ROUND(0.0,2)</f>
        <v/>
      </c>
      <c r="AI44" s="3">
        <f>ROUND(0.0,2)</f>
        <v/>
      </c>
      <c r="AJ44" s="4">
        <f>IFERROR((AD44/AC44),0)</f>
        <v/>
      </c>
      <c r="AK44" s="4">
        <f>IFERROR(((0+AB11+AB12+AB13+AB14+AB15+AB16+AB17+AB19+AB20+AB21+AB22+AB23+AB24+AB25+AB27+AB28+AB29+AB30+AB31+AB32+AB33+AB35+AB36+AB37+AB38+AB39+AB40+AB41+AB43+AB44)/T2),0)</f>
        <v/>
      </c>
      <c r="AL44" s="5">
        <f>IFERROR(ROUND(AB44/AD44,2),0)</f>
        <v/>
      </c>
      <c r="AM44" s="5">
        <f>IFERROR(ROUND(AB44/AE44,2),0)</f>
        <v/>
      </c>
      <c r="AN44" s="2" t="inlineStr">
        <is>
          <t>2023-10-19</t>
        </is>
      </c>
      <c r="AO44" s="5">
        <f>ROUND(0.0,2)</f>
        <v/>
      </c>
      <c r="AP44" s="3">
        <f>ROUND(0.0,2)</f>
        <v/>
      </c>
      <c r="AQ44" s="3">
        <f>ROUND(0.0,2)</f>
        <v/>
      </c>
      <c r="AR44" s="3">
        <f>ROUND(0.0,2)</f>
        <v/>
      </c>
      <c r="AS44" s="3">
        <f>ROUND(0.0,2)</f>
        <v/>
      </c>
      <c r="AT44" s="3">
        <f>ROUND(0.0,2)</f>
        <v/>
      </c>
      <c r="AU44" s="3">
        <f>ROUND(0.0,2)</f>
        <v/>
      </c>
      <c r="AV44" s="3">
        <f>ROUND(0.0,2)</f>
        <v/>
      </c>
      <c r="AW44" s="4">
        <f>IFERROR((AQ44/AP44),0)</f>
        <v/>
      </c>
      <c r="AX44" s="4">
        <f>IFERROR(((0+AO11+AO12+AO13+AO14+AO15+AO16+AO17+AO19+AO20+AO21+AO22+AO23+AO24+AO25+AO27+AO28+AO29+AO30+AO31+AO32+AO33+AO35+AO36+AO37+AO38+AO39+AO40+AO41+AO43+AO44)/T2),0)</f>
        <v/>
      </c>
      <c r="AY44" s="5">
        <f>IFERROR(ROUND(AO44/AQ44,2),0)</f>
        <v/>
      </c>
      <c r="AZ44" s="5">
        <f>IFERROR(ROUND(AO44/AR44,2),0)</f>
        <v/>
      </c>
      <c r="BA44" s="2" t="inlineStr">
        <is>
          <t>2023-10-19</t>
        </is>
      </c>
      <c r="BB44" s="5">
        <f>ROUND(0.0,2)</f>
        <v/>
      </c>
      <c r="BC44" s="3">
        <f>ROUND(0.0,2)</f>
        <v/>
      </c>
      <c r="BD44" s="3">
        <f>ROUND(0.0,2)</f>
        <v/>
      </c>
      <c r="BE44" s="3">
        <f>ROUND(0.0,2)</f>
        <v/>
      </c>
      <c r="BF44" s="3">
        <f>ROUND(0.0,2)</f>
        <v/>
      </c>
      <c r="BG44" s="3">
        <f>ROUND(0.0,2)</f>
        <v/>
      </c>
      <c r="BH44" s="3">
        <f>ROUND(0.0,2)</f>
        <v/>
      </c>
      <c r="BI44" s="3">
        <f>ROUND(0.0,2)</f>
        <v/>
      </c>
      <c r="BJ44" s="4">
        <f>IFERROR((BD44/BC44),0)</f>
        <v/>
      </c>
      <c r="BK44" s="4">
        <f>IFERROR(((0+BB11+BB12+BB13+BB14+BB15+BB16+BB17+BB19+BB20+BB21+BB22+BB23+BB24+BB25+BB27+BB28+BB29+BB30+BB31+BB32+BB33+BB35+BB36+BB37+BB38+BB39+BB40+BB41+BB43+BB44)/T2),0)</f>
        <v/>
      </c>
      <c r="BL44" s="5">
        <f>IFERROR(ROUND(BB44/BD44,2),0)</f>
        <v/>
      </c>
      <c r="BM44" s="5">
        <f>IFERROR(ROUND(BB44/BE44,2),0)</f>
        <v/>
      </c>
      <c r="BN44" s="2" t="inlineStr">
        <is>
          <t>2023-10-19</t>
        </is>
      </c>
      <c r="BO44" s="5">
        <f>ROUND(0.0,2)</f>
        <v/>
      </c>
      <c r="BP44" s="3">
        <f>ROUND(0.0,2)</f>
        <v/>
      </c>
      <c r="BQ44" s="3">
        <f>ROUND(0.0,2)</f>
        <v/>
      </c>
      <c r="BR44" s="3">
        <f>ROUND(0.0,2)</f>
        <v/>
      </c>
      <c r="BS44" s="3">
        <f>ROUND(0.0,2)</f>
        <v/>
      </c>
      <c r="BT44" s="3">
        <f>ROUND(0.0,2)</f>
        <v/>
      </c>
      <c r="BU44" s="3">
        <f>ROUND(0.0,2)</f>
        <v/>
      </c>
      <c r="BV44" s="3">
        <f>ROUND(0.0,2)</f>
        <v/>
      </c>
      <c r="BW44" s="4">
        <f>IFERROR((BQ44/BP44),0)</f>
        <v/>
      </c>
      <c r="BX44" s="4">
        <f>IFERROR(((0+BO11+BO12+BO13+BO14+BO15+BO16+BO17+BO19+BO20+BO21+BO22+BO23+BO24+BO25+BO27+BO28+BO29+BO30+BO31+BO32+BO33+BO35+BO36+BO37+BO38+BO39+BO40+BO41+BO43+BO44)/T2),0)</f>
        <v/>
      </c>
      <c r="BY44" s="5">
        <f>IFERROR(ROUND(BO44/BQ44,2),0)</f>
        <v/>
      </c>
      <c r="BZ44" s="5">
        <f>IFERROR(ROUND(BO44/BR44,2),0)</f>
        <v/>
      </c>
      <c r="CA44" s="2" t="inlineStr">
        <is>
          <t>2023-10-19</t>
        </is>
      </c>
      <c r="CB44" s="5">
        <f>ROUND(0.0,2)</f>
        <v/>
      </c>
      <c r="CC44" s="3">
        <f>ROUND(0.0,2)</f>
        <v/>
      </c>
      <c r="CD44" s="3">
        <f>ROUND(0.0,2)</f>
        <v/>
      </c>
      <c r="CE44" s="3">
        <f>ROUND(0.0,2)</f>
        <v/>
      </c>
      <c r="CF44" s="3">
        <f>ROUND(0.0,2)</f>
        <v/>
      </c>
      <c r="CG44" s="3">
        <f>ROUND(0.0,2)</f>
        <v/>
      </c>
      <c r="CH44" s="3">
        <f>ROUND(0.0,2)</f>
        <v/>
      </c>
      <c r="CI44" s="3">
        <f>ROUND(0.0,2)</f>
        <v/>
      </c>
      <c r="CJ44" s="4">
        <f>IFERROR((CD44/CC44),0)</f>
        <v/>
      </c>
      <c r="CK44" s="4">
        <f>IFERROR(((0+CB11+CB12+CB13+CB14+CB15+CB16+CB17+CB19+CB20+CB21+CB22+CB23+CB24+CB25+CB27+CB28+CB29+CB30+CB31+CB32+CB33+CB35+CB36+CB37+CB38+CB39+CB40+CB41+CB43+CB44)/T2),0)</f>
        <v/>
      </c>
      <c r="CL44" s="5">
        <f>IFERROR(ROUND(CB44/CD44,2),0)</f>
        <v/>
      </c>
      <c r="CM44" s="5">
        <f>IFERROR(ROUND(CB44/CE44,2),0)</f>
        <v/>
      </c>
      <c r="CN44" s="2" t="inlineStr">
        <is>
          <t>2023-10-19</t>
        </is>
      </c>
      <c r="CO44" s="5">
        <f>ROUND(0.0,2)</f>
        <v/>
      </c>
      <c r="CP44" s="3">
        <f>ROUND(0.0,2)</f>
        <v/>
      </c>
      <c r="CQ44" s="3">
        <f>ROUND(0.0,2)</f>
        <v/>
      </c>
      <c r="CR44" s="3">
        <f>ROUND(0.0,2)</f>
        <v/>
      </c>
      <c r="CS44" s="3">
        <f>ROUND(0.0,2)</f>
        <v/>
      </c>
      <c r="CT44" s="3">
        <f>ROUND(0.0,2)</f>
        <v/>
      </c>
      <c r="CU44" s="3">
        <f>ROUND(0.0,2)</f>
        <v/>
      </c>
      <c r="CV44" s="3">
        <f>ROUND(0.0,2)</f>
        <v/>
      </c>
      <c r="CW44" s="4">
        <f>IFERROR((CQ44/CP44),0)</f>
        <v/>
      </c>
      <c r="CX44" s="4">
        <f>IFERROR(((0+CO11+CO12+CO13+CO14+CO15+CO16+CO17+CO19+CO20+CO21+CO22+CO23+CO24+CO25+CO27+CO28+CO29+CO30+CO31+CO32+CO33+CO35+CO36+CO37+CO38+CO39+CO40+CO41+CO43+CO44)/T2),0)</f>
        <v/>
      </c>
      <c r="CY44" s="5">
        <f>IFERROR(ROUND(CO44/CQ44,2),0)</f>
        <v/>
      </c>
      <c r="CZ44" s="5">
        <f>IFERROR(ROUND(CO44/CR44,2),0)</f>
        <v/>
      </c>
      <c r="DA44" s="2" t="inlineStr">
        <is>
          <t>2023-10-19</t>
        </is>
      </c>
      <c r="DB44" s="5">
        <f>ROUND(0.0,2)</f>
        <v/>
      </c>
      <c r="DC44" s="3">
        <f>ROUND(0.0,2)</f>
        <v/>
      </c>
      <c r="DD44" s="3">
        <f>ROUND(0.0,2)</f>
        <v/>
      </c>
      <c r="DE44" s="3">
        <f>ROUND(0.0,2)</f>
        <v/>
      </c>
      <c r="DF44" s="3">
        <f>ROUND(0.0,2)</f>
        <v/>
      </c>
      <c r="DG44" s="3">
        <f>ROUND(0.0,2)</f>
        <v/>
      </c>
      <c r="DH44" s="3">
        <f>ROUND(0.0,2)</f>
        <v/>
      </c>
      <c r="DI44" s="3">
        <f>ROUND(0.0,2)</f>
        <v/>
      </c>
      <c r="DJ44" s="4">
        <f>IFERROR((DD44/DC44),0)</f>
        <v/>
      </c>
      <c r="DK44" s="4">
        <f>IFERROR(((0+DB11+DB12+DB13+DB14+DB15+DB16+DB17+DB19+DB20+DB21+DB22+DB23+DB24+DB25+DB27+DB28+DB29+DB30+DB31+DB32+DB33+DB35+DB36+DB37+DB38+DB39+DB40+DB41+DB43+DB44)/T2),0)</f>
        <v/>
      </c>
      <c r="DL44" s="5">
        <f>IFERROR(ROUND(DB44/DD44,2),0)</f>
        <v/>
      </c>
      <c r="DM44" s="5">
        <f>IFERROR(ROUND(DB44/DE44,2),0)</f>
        <v/>
      </c>
      <c r="DN44" s="2" t="inlineStr">
        <is>
          <t>2023-10-19</t>
        </is>
      </c>
      <c r="DO44" s="5">
        <f>ROUND(0.0,2)</f>
        <v/>
      </c>
      <c r="DP44" s="3">
        <f>ROUND(0.0,2)</f>
        <v/>
      </c>
      <c r="DQ44" s="3">
        <f>ROUND(0.0,2)</f>
        <v/>
      </c>
      <c r="DR44" s="3">
        <f>ROUND(0.0,2)</f>
        <v/>
      </c>
      <c r="DS44" s="3">
        <f>ROUND(0.0,2)</f>
        <v/>
      </c>
      <c r="DT44" s="3">
        <f>ROUND(0.0,2)</f>
        <v/>
      </c>
      <c r="DU44" s="3">
        <f>ROUND(0.0,2)</f>
        <v/>
      </c>
      <c r="DV44" s="3">
        <f>ROUND(0.0,2)</f>
        <v/>
      </c>
      <c r="DW44" s="4">
        <f>IFERROR((DQ44/DP44),0)</f>
        <v/>
      </c>
      <c r="DX44" s="4">
        <f>IFERROR(((0+DO11+DO12+DO13+DO14+DO15+DO16+DO17+DO19+DO20+DO21+DO22+DO23+DO24+DO25+DO27+DO28+DO29+DO30+DO31+DO32+DO33+DO35+DO36+DO37+DO38+DO39+DO40+DO41+DO43+DO44)/T2),0)</f>
        <v/>
      </c>
      <c r="DY44" s="5">
        <f>IFERROR(ROUND(DO44/DQ44,2),0)</f>
        <v/>
      </c>
      <c r="DZ44" s="5">
        <f>IFERROR(ROUND(DO44/DR44,2),0)</f>
        <v/>
      </c>
      <c r="EA44" s="2" t="inlineStr">
        <is>
          <t>2023-10-19</t>
        </is>
      </c>
      <c r="EB44" s="5">
        <f>ROUND(0.0,2)</f>
        <v/>
      </c>
      <c r="EC44" s="3">
        <f>ROUND(0.0,2)</f>
        <v/>
      </c>
      <c r="ED44" s="3">
        <f>ROUND(0.0,2)</f>
        <v/>
      </c>
      <c r="EE44" s="3">
        <f>ROUND(0.0,2)</f>
        <v/>
      </c>
      <c r="EF44" s="3">
        <f>ROUND(0.0,2)</f>
        <v/>
      </c>
      <c r="EG44" s="3">
        <f>ROUND(0.0,2)</f>
        <v/>
      </c>
      <c r="EH44" s="3">
        <f>ROUND(0.0,2)</f>
        <v/>
      </c>
      <c r="EI44" s="3">
        <f>ROUND(0.0,2)</f>
        <v/>
      </c>
      <c r="EJ44" s="4">
        <f>IFERROR((ED44/EC44),0)</f>
        <v/>
      </c>
      <c r="EK44" s="4">
        <f>IFERROR(((0+EB11+EB12+EB13+EB14+EB15+EB16+EB17+EB19+EB20+EB21+EB22+EB23+EB24+EB25+EB27+EB28+EB29+EB30+EB31+EB32+EB33+EB35+EB36+EB37+EB38+EB39+EB40+EB41+EB43+EB44)/T2),0)</f>
        <v/>
      </c>
      <c r="EL44" s="5">
        <f>IFERROR(ROUND(EB44/ED44,2),0)</f>
        <v/>
      </c>
      <c r="EM44" s="5">
        <f>IFERROR(ROUND(EB44/EE44,2),0)</f>
        <v/>
      </c>
      <c r="EN44" s="2" t="inlineStr">
        <is>
          <t>2023-10-19</t>
        </is>
      </c>
      <c r="EO44" s="5">
        <f>ROUND(0.0,2)</f>
        <v/>
      </c>
      <c r="EP44" s="3">
        <f>ROUND(0.0,2)</f>
        <v/>
      </c>
      <c r="EQ44" s="3">
        <f>ROUND(0.0,2)</f>
        <v/>
      </c>
      <c r="ER44" s="3">
        <f>ROUND(0.0,2)</f>
        <v/>
      </c>
      <c r="ES44" s="3">
        <f>ROUND(0.0,2)</f>
        <v/>
      </c>
      <c r="ET44" s="3">
        <f>ROUND(0.0,2)</f>
        <v/>
      </c>
      <c r="EU44" s="3">
        <f>ROUND(0.0,2)</f>
        <v/>
      </c>
      <c r="EV44" s="3">
        <f>ROUND(0.0,2)</f>
        <v/>
      </c>
      <c r="EW44" s="4">
        <f>IFERROR((EQ44/EP44),0)</f>
        <v/>
      </c>
      <c r="EX44" s="4">
        <f>IFERROR(((0+EO11+EO12+EO13+EO14+EO15+EO16+EO17+EO19+EO20+EO21+EO22+EO23+EO24+EO25+EO27+EO28+EO29+EO30+EO31+EO32+EO33+EO35+EO36+EO37+EO38+EO39+EO40+EO41+EO43+EO44)/T2),0)</f>
        <v/>
      </c>
      <c r="EY44" s="5">
        <f>IFERROR(ROUND(EO44/EQ44,2),0)</f>
        <v/>
      </c>
      <c r="EZ44" s="5">
        <f>IFERROR(ROUND(EO44/ER44,2),0)</f>
        <v/>
      </c>
      <c r="FA44" s="2" t="inlineStr">
        <is>
          <t>2023-10-19</t>
        </is>
      </c>
      <c r="FB44" s="5">
        <f>ROUND(0.0,2)</f>
        <v/>
      </c>
      <c r="FC44" s="3">
        <f>ROUND(0.0,2)</f>
        <v/>
      </c>
      <c r="FD44" s="3">
        <f>ROUND(0.0,2)</f>
        <v/>
      </c>
      <c r="FE44" s="3">
        <f>ROUND(0.0,2)</f>
        <v/>
      </c>
      <c r="FF44" s="3">
        <f>ROUND(0.0,2)</f>
        <v/>
      </c>
      <c r="FG44" s="3">
        <f>ROUND(0.0,2)</f>
        <v/>
      </c>
      <c r="FH44" s="3">
        <f>ROUND(0.0,2)</f>
        <v/>
      </c>
      <c r="FI44" s="3">
        <f>ROUND(0.0,2)</f>
        <v/>
      </c>
      <c r="FJ44" s="4">
        <f>IFERROR((FD44/FC44),0)</f>
        <v/>
      </c>
      <c r="FK44" s="4">
        <f>IFERROR(((0+FB11+FB12+FB13+FB14+FB15+FB16+FB17+FB19+FB20+FB21+FB22+FB23+FB24+FB25+FB27+FB28+FB29+FB30+FB31+FB32+FB33+FB35+FB36+FB37+FB38+FB39+FB40+FB41+FB43+FB44)/T2),0)</f>
        <v/>
      </c>
      <c r="FL44" s="5">
        <f>IFERROR(ROUND(FB44/FD44,2),0)</f>
        <v/>
      </c>
      <c r="FM44" s="5">
        <f>IFERROR(ROUND(FB44/FE44,2),0)</f>
        <v/>
      </c>
      <c r="FN44" s="2" t="inlineStr">
        <is>
          <t>2023-10-19</t>
        </is>
      </c>
      <c r="FO44" s="5">
        <f>ROUND(0.0,2)</f>
        <v/>
      </c>
      <c r="FP44" s="3">
        <f>ROUND(0.0,2)</f>
        <v/>
      </c>
      <c r="FQ44" s="3">
        <f>ROUND(0.0,2)</f>
        <v/>
      </c>
      <c r="FR44" s="3">
        <f>ROUND(0.0,2)</f>
        <v/>
      </c>
      <c r="FS44" s="3">
        <f>ROUND(0.0,2)</f>
        <v/>
      </c>
      <c r="FT44" s="3">
        <f>ROUND(0.0,2)</f>
        <v/>
      </c>
      <c r="FU44" s="3">
        <f>ROUND(0.0,2)</f>
        <v/>
      </c>
      <c r="FV44" s="3">
        <f>ROUND(0.0,2)</f>
        <v/>
      </c>
      <c r="FW44" s="4">
        <f>IFERROR((FQ44/FP44),0)</f>
        <v/>
      </c>
      <c r="FX44" s="4">
        <f>IFERROR(((0+FO11+FO12+FO13+FO14+FO15+FO16+FO17+FO19+FO20+FO21+FO22+FO23+FO24+FO25+FO27+FO28+FO29+FO30+FO31+FO32+FO33+FO35+FO36+FO37+FO38+FO39+FO40+FO41+FO43+FO44)/T2),0)</f>
        <v/>
      </c>
      <c r="FY44" s="5">
        <f>IFERROR(ROUND(FO44/FQ44,2),0)</f>
        <v/>
      </c>
      <c r="FZ44" s="5">
        <f>IFERROR(ROUND(FO44/FR44,2),0)</f>
        <v/>
      </c>
      <c r="GA44" s="2" t="inlineStr">
        <is>
          <t>2023-10-19</t>
        </is>
      </c>
      <c r="GB44" s="5">
        <f>ROUND(0.0,2)</f>
        <v/>
      </c>
      <c r="GC44" s="3">
        <f>ROUND(0.0,2)</f>
        <v/>
      </c>
      <c r="GD44" s="3">
        <f>ROUND(0.0,2)</f>
        <v/>
      </c>
      <c r="GE44" s="3">
        <f>ROUND(0.0,2)</f>
        <v/>
      </c>
      <c r="GF44" s="3">
        <f>ROUND(0.0,2)</f>
        <v/>
      </c>
      <c r="GG44" s="3">
        <f>ROUND(0.0,2)</f>
        <v/>
      </c>
      <c r="GH44" s="3">
        <f>ROUND(0.0,2)</f>
        <v/>
      </c>
      <c r="GI44" s="3">
        <f>ROUND(0.0,2)</f>
        <v/>
      </c>
      <c r="GJ44" s="4">
        <f>IFERROR((GD44/GC44),0)</f>
        <v/>
      </c>
      <c r="GK44" s="4">
        <f>IFERROR(((0+GB11+GB12+GB13+GB14+GB15+GB16+GB17+GB19+GB20+GB21+GB22+GB23+GB24+GB25+GB27+GB28+GB29+GB30+GB31+GB32+GB33+GB35+GB36+GB37+GB38+GB39+GB40+GB41+GB43+GB44)/T2),0)</f>
        <v/>
      </c>
      <c r="GL44" s="5">
        <f>IFERROR(ROUND(GB44/GD44,2),0)</f>
        <v/>
      </c>
      <c r="GM44" s="5">
        <f>IFERROR(ROUND(GB44/GE44,2),0)</f>
        <v/>
      </c>
    </row>
    <row r="45">
      <c r="A45" s="2" t="inlineStr">
        <is>
          <t>2023-10-20</t>
        </is>
      </c>
      <c r="B45" s="5">
        <f>ROUND(0.0,2)</f>
        <v/>
      </c>
      <c r="C45" s="3">
        <f>ROUND(0.0,2)</f>
        <v/>
      </c>
      <c r="D45" s="3">
        <f>ROUND(0.0,2)</f>
        <v/>
      </c>
      <c r="E45" s="3">
        <f>ROUND(0.0,2)</f>
        <v/>
      </c>
      <c r="F45" s="3">
        <f>ROUND(0.0,2)</f>
        <v/>
      </c>
      <c r="G45" s="3">
        <f>ROUND(0.0,2)</f>
        <v/>
      </c>
      <c r="H45" s="3">
        <f>ROUND(0.0,2)</f>
        <v/>
      </c>
      <c r="I45" s="3">
        <f>ROUND(0.0,2)</f>
        <v/>
      </c>
      <c r="J45" s="4">
        <f>IFERROR((D45/C45),0)</f>
        <v/>
      </c>
      <c r="K45" s="4">
        <f>IFERROR(((0+B11+B12+B13+B14+B15+B16+B17+B19+B20+B21+B22+B23+B24+B25+B27+B28+B29+B30+B31+B32+B33+B35+B36+B37+B38+B39+B40+B41+B43+B44+B45)/T2),0)</f>
        <v/>
      </c>
      <c r="L45" s="5">
        <f>IFERROR(ROUND(B45/D45,2),0)</f>
        <v/>
      </c>
      <c r="M45" s="5">
        <f>IFERROR(ROUND(B45/E45,2),0)</f>
        <v/>
      </c>
      <c r="N45" s="2" t="inlineStr">
        <is>
          <t>2023-10-20</t>
        </is>
      </c>
      <c r="O45" s="5">
        <f>ROUND(0.0,2)</f>
        <v/>
      </c>
      <c r="P45" s="3">
        <f>ROUND(0.0,2)</f>
        <v/>
      </c>
      <c r="Q45" s="3">
        <f>ROUND(0.0,2)</f>
        <v/>
      </c>
      <c r="R45" s="3">
        <f>ROUND(0.0,2)</f>
        <v/>
      </c>
      <c r="S45" s="3">
        <f>ROUND(0.0,2)</f>
        <v/>
      </c>
      <c r="T45" s="3">
        <f>ROUND(0.0,2)</f>
        <v/>
      </c>
      <c r="U45" s="3">
        <f>ROUND(0.0,2)</f>
        <v/>
      </c>
      <c r="V45" s="3">
        <f>ROUND(0.0,2)</f>
        <v/>
      </c>
      <c r="W45" s="4">
        <f>IFERROR((Q45/P45),0)</f>
        <v/>
      </c>
      <c r="X45" s="4">
        <f>IFERROR(((0+O11+O12+O13+O14+O15+O16+O17+O19+O20+O21+O22+O23+O24+O25+O27+O28+O29+O30+O31+O32+O33+O35+O36+O37+O38+O39+O40+O41+O43+O44+O45)/T2),0)</f>
        <v/>
      </c>
      <c r="Y45" s="5">
        <f>IFERROR(ROUND(O45/Q45,2),0)</f>
        <v/>
      </c>
      <c r="Z45" s="5">
        <f>IFERROR(ROUND(O45/R45,2),0)</f>
        <v/>
      </c>
      <c r="AA45" s="2" t="inlineStr">
        <is>
          <t>2023-10-20</t>
        </is>
      </c>
      <c r="AB45" s="5">
        <f>ROUND(0.0,2)</f>
        <v/>
      </c>
      <c r="AC45" s="3">
        <f>ROUND(0.0,2)</f>
        <v/>
      </c>
      <c r="AD45" s="3">
        <f>ROUND(0.0,2)</f>
        <v/>
      </c>
      <c r="AE45" s="3">
        <f>ROUND(0.0,2)</f>
        <v/>
      </c>
      <c r="AF45" s="3">
        <f>ROUND(0.0,2)</f>
        <v/>
      </c>
      <c r="AG45" s="3">
        <f>ROUND(0.0,2)</f>
        <v/>
      </c>
      <c r="AH45" s="3">
        <f>ROUND(0.0,2)</f>
        <v/>
      </c>
      <c r="AI45" s="3">
        <f>ROUND(0.0,2)</f>
        <v/>
      </c>
      <c r="AJ45" s="4">
        <f>IFERROR((AD45/AC45),0)</f>
        <v/>
      </c>
      <c r="AK45" s="4">
        <f>IFERROR(((0+AB11+AB12+AB13+AB14+AB15+AB16+AB17+AB19+AB20+AB21+AB22+AB23+AB24+AB25+AB27+AB28+AB29+AB30+AB31+AB32+AB33+AB35+AB36+AB37+AB38+AB39+AB40+AB41+AB43+AB44+AB45)/T2),0)</f>
        <v/>
      </c>
      <c r="AL45" s="5">
        <f>IFERROR(ROUND(AB45/AD45,2),0)</f>
        <v/>
      </c>
      <c r="AM45" s="5">
        <f>IFERROR(ROUND(AB45/AE45,2),0)</f>
        <v/>
      </c>
      <c r="AN45" s="2" t="inlineStr">
        <is>
          <t>2023-10-20</t>
        </is>
      </c>
      <c r="AO45" s="5">
        <f>ROUND(0.0,2)</f>
        <v/>
      </c>
      <c r="AP45" s="3">
        <f>ROUND(0.0,2)</f>
        <v/>
      </c>
      <c r="AQ45" s="3">
        <f>ROUND(0.0,2)</f>
        <v/>
      </c>
      <c r="AR45" s="3">
        <f>ROUND(0.0,2)</f>
        <v/>
      </c>
      <c r="AS45" s="3">
        <f>ROUND(0.0,2)</f>
        <v/>
      </c>
      <c r="AT45" s="3">
        <f>ROUND(0.0,2)</f>
        <v/>
      </c>
      <c r="AU45" s="3">
        <f>ROUND(0.0,2)</f>
        <v/>
      </c>
      <c r="AV45" s="3">
        <f>ROUND(0.0,2)</f>
        <v/>
      </c>
      <c r="AW45" s="4">
        <f>IFERROR((AQ45/AP45),0)</f>
        <v/>
      </c>
      <c r="AX45" s="4">
        <f>IFERROR(((0+AO11+AO12+AO13+AO14+AO15+AO16+AO17+AO19+AO20+AO21+AO22+AO23+AO24+AO25+AO27+AO28+AO29+AO30+AO31+AO32+AO33+AO35+AO36+AO37+AO38+AO39+AO40+AO41+AO43+AO44+AO45)/T2),0)</f>
        <v/>
      </c>
      <c r="AY45" s="5">
        <f>IFERROR(ROUND(AO45/AQ45,2),0)</f>
        <v/>
      </c>
      <c r="AZ45" s="5">
        <f>IFERROR(ROUND(AO45/AR45,2),0)</f>
        <v/>
      </c>
      <c r="BA45" s="2" t="inlineStr">
        <is>
          <t>2023-10-20</t>
        </is>
      </c>
      <c r="BB45" s="5">
        <f>ROUND(0.0,2)</f>
        <v/>
      </c>
      <c r="BC45" s="3">
        <f>ROUND(0.0,2)</f>
        <v/>
      </c>
      <c r="BD45" s="3">
        <f>ROUND(0.0,2)</f>
        <v/>
      </c>
      <c r="BE45" s="3">
        <f>ROUND(0.0,2)</f>
        <v/>
      </c>
      <c r="BF45" s="3">
        <f>ROUND(0.0,2)</f>
        <v/>
      </c>
      <c r="BG45" s="3">
        <f>ROUND(0.0,2)</f>
        <v/>
      </c>
      <c r="BH45" s="3">
        <f>ROUND(0.0,2)</f>
        <v/>
      </c>
      <c r="BI45" s="3">
        <f>ROUND(0.0,2)</f>
        <v/>
      </c>
      <c r="BJ45" s="4">
        <f>IFERROR((BD45/BC45),0)</f>
        <v/>
      </c>
      <c r="BK45" s="4">
        <f>IFERROR(((0+BB11+BB12+BB13+BB14+BB15+BB16+BB17+BB19+BB20+BB21+BB22+BB23+BB24+BB25+BB27+BB28+BB29+BB30+BB31+BB32+BB33+BB35+BB36+BB37+BB38+BB39+BB40+BB41+BB43+BB44+BB45)/T2),0)</f>
        <v/>
      </c>
      <c r="BL45" s="5">
        <f>IFERROR(ROUND(BB45/BD45,2),0)</f>
        <v/>
      </c>
      <c r="BM45" s="5">
        <f>IFERROR(ROUND(BB45/BE45,2),0)</f>
        <v/>
      </c>
      <c r="BN45" s="2" t="inlineStr">
        <is>
          <t>2023-10-20</t>
        </is>
      </c>
      <c r="BO45" s="5">
        <f>ROUND(0.0,2)</f>
        <v/>
      </c>
      <c r="BP45" s="3">
        <f>ROUND(0.0,2)</f>
        <v/>
      </c>
      <c r="BQ45" s="3">
        <f>ROUND(0.0,2)</f>
        <v/>
      </c>
      <c r="BR45" s="3">
        <f>ROUND(0.0,2)</f>
        <v/>
      </c>
      <c r="BS45" s="3">
        <f>ROUND(0.0,2)</f>
        <v/>
      </c>
      <c r="BT45" s="3">
        <f>ROUND(0.0,2)</f>
        <v/>
      </c>
      <c r="BU45" s="3">
        <f>ROUND(0.0,2)</f>
        <v/>
      </c>
      <c r="BV45" s="3">
        <f>ROUND(0.0,2)</f>
        <v/>
      </c>
      <c r="BW45" s="4">
        <f>IFERROR((BQ45/BP45),0)</f>
        <v/>
      </c>
      <c r="BX45" s="4">
        <f>IFERROR(((0+BO11+BO12+BO13+BO14+BO15+BO16+BO17+BO19+BO20+BO21+BO22+BO23+BO24+BO25+BO27+BO28+BO29+BO30+BO31+BO32+BO33+BO35+BO36+BO37+BO38+BO39+BO40+BO41+BO43+BO44+BO45)/T2),0)</f>
        <v/>
      </c>
      <c r="BY45" s="5">
        <f>IFERROR(ROUND(BO45/BQ45,2),0)</f>
        <v/>
      </c>
      <c r="BZ45" s="5">
        <f>IFERROR(ROUND(BO45/BR45,2),0)</f>
        <v/>
      </c>
      <c r="CA45" s="2" t="inlineStr">
        <is>
          <t>2023-10-20</t>
        </is>
      </c>
      <c r="CB45" s="5">
        <f>ROUND(0.0,2)</f>
        <v/>
      </c>
      <c r="CC45" s="3">
        <f>ROUND(0.0,2)</f>
        <v/>
      </c>
      <c r="CD45" s="3">
        <f>ROUND(0.0,2)</f>
        <v/>
      </c>
      <c r="CE45" s="3">
        <f>ROUND(0.0,2)</f>
        <v/>
      </c>
      <c r="CF45" s="3">
        <f>ROUND(0.0,2)</f>
        <v/>
      </c>
      <c r="CG45" s="3">
        <f>ROUND(0.0,2)</f>
        <v/>
      </c>
      <c r="CH45" s="3">
        <f>ROUND(0.0,2)</f>
        <v/>
      </c>
      <c r="CI45" s="3">
        <f>ROUND(0.0,2)</f>
        <v/>
      </c>
      <c r="CJ45" s="4">
        <f>IFERROR((CD45/CC45),0)</f>
        <v/>
      </c>
      <c r="CK45" s="4">
        <f>IFERROR(((0+CB11+CB12+CB13+CB14+CB15+CB16+CB17+CB19+CB20+CB21+CB22+CB23+CB24+CB25+CB27+CB28+CB29+CB30+CB31+CB32+CB33+CB35+CB36+CB37+CB38+CB39+CB40+CB41+CB43+CB44+CB45)/T2),0)</f>
        <v/>
      </c>
      <c r="CL45" s="5">
        <f>IFERROR(ROUND(CB45/CD45,2),0)</f>
        <v/>
      </c>
      <c r="CM45" s="5">
        <f>IFERROR(ROUND(CB45/CE45,2),0)</f>
        <v/>
      </c>
      <c r="CN45" s="2" t="inlineStr">
        <is>
          <t>2023-10-20</t>
        </is>
      </c>
      <c r="CO45" s="5">
        <f>ROUND(0.0,2)</f>
        <v/>
      </c>
      <c r="CP45" s="3">
        <f>ROUND(0.0,2)</f>
        <v/>
      </c>
      <c r="CQ45" s="3">
        <f>ROUND(0.0,2)</f>
        <v/>
      </c>
      <c r="CR45" s="3">
        <f>ROUND(0.0,2)</f>
        <v/>
      </c>
      <c r="CS45" s="3">
        <f>ROUND(0.0,2)</f>
        <v/>
      </c>
      <c r="CT45" s="3">
        <f>ROUND(0.0,2)</f>
        <v/>
      </c>
      <c r="CU45" s="3">
        <f>ROUND(0.0,2)</f>
        <v/>
      </c>
      <c r="CV45" s="3">
        <f>ROUND(0.0,2)</f>
        <v/>
      </c>
      <c r="CW45" s="4">
        <f>IFERROR((CQ45/CP45),0)</f>
        <v/>
      </c>
      <c r="CX45" s="4">
        <f>IFERROR(((0+CO11+CO12+CO13+CO14+CO15+CO16+CO17+CO19+CO20+CO21+CO22+CO23+CO24+CO25+CO27+CO28+CO29+CO30+CO31+CO32+CO33+CO35+CO36+CO37+CO38+CO39+CO40+CO41+CO43+CO44+CO45)/T2),0)</f>
        <v/>
      </c>
      <c r="CY45" s="5">
        <f>IFERROR(ROUND(CO45/CQ45,2),0)</f>
        <v/>
      </c>
      <c r="CZ45" s="5">
        <f>IFERROR(ROUND(CO45/CR45,2),0)</f>
        <v/>
      </c>
      <c r="DA45" s="2" t="inlineStr">
        <is>
          <t>2023-10-20</t>
        </is>
      </c>
      <c r="DB45" s="5">
        <f>ROUND(0.0,2)</f>
        <v/>
      </c>
      <c r="DC45" s="3">
        <f>ROUND(0.0,2)</f>
        <v/>
      </c>
      <c r="DD45" s="3">
        <f>ROUND(0.0,2)</f>
        <v/>
      </c>
      <c r="DE45" s="3">
        <f>ROUND(0.0,2)</f>
        <v/>
      </c>
      <c r="DF45" s="3">
        <f>ROUND(0.0,2)</f>
        <v/>
      </c>
      <c r="DG45" s="3">
        <f>ROUND(0.0,2)</f>
        <v/>
      </c>
      <c r="DH45" s="3">
        <f>ROUND(0.0,2)</f>
        <v/>
      </c>
      <c r="DI45" s="3">
        <f>ROUND(0.0,2)</f>
        <v/>
      </c>
      <c r="DJ45" s="4">
        <f>IFERROR((DD45/DC45),0)</f>
        <v/>
      </c>
      <c r="DK45" s="4">
        <f>IFERROR(((0+DB11+DB12+DB13+DB14+DB15+DB16+DB17+DB19+DB20+DB21+DB22+DB23+DB24+DB25+DB27+DB28+DB29+DB30+DB31+DB32+DB33+DB35+DB36+DB37+DB38+DB39+DB40+DB41+DB43+DB44+DB45)/T2),0)</f>
        <v/>
      </c>
      <c r="DL45" s="5">
        <f>IFERROR(ROUND(DB45/DD45,2),0)</f>
        <v/>
      </c>
      <c r="DM45" s="5">
        <f>IFERROR(ROUND(DB45/DE45,2),0)</f>
        <v/>
      </c>
      <c r="DN45" s="2" t="inlineStr">
        <is>
          <t>2023-10-20</t>
        </is>
      </c>
      <c r="DO45" s="5">
        <f>ROUND(0.0,2)</f>
        <v/>
      </c>
      <c r="DP45" s="3">
        <f>ROUND(0.0,2)</f>
        <v/>
      </c>
      <c r="DQ45" s="3">
        <f>ROUND(0.0,2)</f>
        <v/>
      </c>
      <c r="DR45" s="3">
        <f>ROUND(0.0,2)</f>
        <v/>
      </c>
      <c r="DS45" s="3">
        <f>ROUND(0.0,2)</f>
        <v/>
      </c>
      <c r="DT45" s="3">
        <f>ROUND(0.0,2)</f>
        <v/>
      </c>
      <c r="DU45" s="3">
        <f>ROUND(0.0,2)</f>
        <v/>
      </c>
      <c r="DV45" s="3">
        <f>ROUND(0.0,2)</f>
        <v/>
      </c>
      <c r="DW45" s="4">
        <f>IFERROR((DQ45/DP45),0)</f>
        <v/>
      </c>
      <c r="DX45" s="4">
        <f>IFERROR(((0+DO11+DO12+DO13+DO14+DO15+DO16+DO17+DO19+DO20+DO21+DO22+DO23+DO24+DO25+DO27+DO28+DO29+DO30+DO31+DO32+DO33+DO35+DO36+DO37+DO38+DO39+DO40+DO41+DO43+DO44+DO45)/T2),0)</f>
        <v/>
      </c>
      <c r="DY45" s="5">
        <f>IFERROR(ROUND(DO45/DQ45,2),0)</f>
        <v/>
      </c>
      <c r="DZ45" s="5">
        <f>IFERROR(ROUND(DO45/DR45,2),0)</f>
        <v/>
      </c>
      <c r="EA45" s="2" t="inlineStr">
        <is>
          <t>2023-10-20</t>
        </is>
      </c>
      <c r="EB45" s="5">
        <f>ROUND(0.0,2)</f>
        <v/>
      </c>
      <c r="EC45" s="3">
        <f>ROUND(0.0,2)</f>
        <v/>
      </c>
      <c r="ED45" s="3">
        <f>ROUND(0.0,2)</f>
        <v/>
      </c>
      <c r="EE45" s="3">
        <f>ROUND(0.0,2)</f>
        <v/>
      </c>
      <c r="EF45" s="3">
        <f>ROUND(0.0,2)</f>
        <v/>
      </c>
      <c r="EG45" s="3">
        <f>ROUND(0.0,2)</f>
        <v/>
      </c>
      <c r="EH45" s="3">
        <f>ROUND(0.0,2)</f>
        <v/>
      </c>
      <c r="EI45" s="3">
        <f>ROUND(0.0,2)</f>
        <v/>
      </c>
      <c r="EJ45" s="4">
        <f>IFERROR((ED45/EC45),0)</f>
        <v/>
      </c>
      <c r="EK45" s="4">
        <f>IFERROR(((0+EB11+EB12+EB13+EB14+EB15+EB16+EB17+EB19+EB20+EB21+EB22+EB23+EB24+EB25+EB27+EB28+EB29+EB30+EB31+EB32+EB33+EB35+EB36+EB37+EB38+EB39+EB40+EB41+EB43+EB44+EB45)/T2),0)</f>
        <v/>
      </c>
      <c r="EL45" s="5">
        <f>IFERROR(ROUND(EB45/ED45,2),0)</f>
        <v/>
      </c>
      <c r="EM45" s="5">
        <f>IFERROR(ROUND(EB45/EE45,2),0)</f>
        <v/>
      </c>
      <c r="EN45" s="2" t="inlineStr">
        <is>
          <t>2023-10-20</t>
        </is>
      </c>
      <c r="EO45" s="5">
        <f>ROUND(0.0,2)</f>
        <v/>
      </c>
      <c r="EP45" s="3">
        <f>ROUND(0.0,2)</f>
        <v/>
      </c>
      <c r="EQ45" s="3">
        <f>ROUND(0.0,2)</f>
        <v/>
      </c>
      <c r="ER45" s="3">
        <f>ROUND(0.0,2)</f>
        <v/>
      </c>
      <c r="ES45" s="3">
        <f>ROUND(0.0,2)</f>
        <v/>
      </c>
      <c r="ET45" s="3">
        <f>ROUND(0.0,2)</f>
        <v/>
      </c>
      <c r="EU45" s="3">
        <f>ROUND(0.0,2)</f>
        <v/>
      </c>
      <c r="EV45" s="3">
        <f>ROUND(0.0,2)</f>
        <v/>
      </c>
      <c r="EW45" s="4">
        <f>IFERROR((EQ45/EP45),0)</f>
        <v/>
      </c>
      <c r="EX45" s="4">
        <f>IFERROR(((0+EO11+EO12+EO13+EO14+EO15+EO16+EO17+EO19+EO20+EO21+EO22+EO23+EO24+EO25+EO27+EO28+EO29+EO30+EO31+EO32+EO33+EO35+EO36+EO37+EO38+EO39+EO40+EO41+EO43+EO44+EO45)/T2),0)</f>
        <v/>
      </c>
      <c r="EY45" s="5">
        <f>IFERROR(ROUND(EO45/EQ45,2),0)</f>
        <v/>
      </c>
      <c r="EZ45" s="5">
        <f>IFERROR(ROUND(EO45/ER45,2),0)</f>
        <v/>
      </c>
      <c r="FA45" s="2" t="inlineStr">
        <is>
          <t>2023-10-20</t>
        </is>
      </c>
      <c r="FB45" s="5">
        <f>ROUND(0.0,2)</f>
        <v/>
      </c>
      <c r="FC45" s="3">
        <f>ROUND(0.0,2)</f>
        <v/>
      </c>
      <c r="FD45" s="3">
        <f>ROUND(0.0,2)</f>
        <v/>
      </c>
      <c r="FE45" s="3">
        <f>ROUND(0.0,2)</f>
        <v/>
      </c>
      <c r="FF45" s="3">
        <f>ROUND(0.0,2)</f>
        <v/>
      </c>
      <c r="FG45" s="3">
        <f>ROUND(0.0,2)</f>
        <v/>
      </c>
      <c r="FH45" s="3">
        <f>ROUND(0.0,2)</f>
        <v/>
      </c>
      <c r="FI45" s="3">
        <f>ROUND(0.0,2)</f>
        <v/>
      </c>
      <c r="FJ45" s="4">
        <f>IFERROR((FD45/FC45),0)</f>
        <v/>
      </c>
      <c r="FK45" s="4">
        <f>IFERROR(((0+FB11+FB12+FB13+FB14+FB15+FB16+FB17+FB19+FB20+FB21+FB22+FB23+FB24+FB25+FB27+FB28+FB29+FB30+FB31+FB32+FB33+FB35+FB36+FB37+FB38+FB39+FB40+FB41+FB43+FB44+FB45)/T2),0)</f>
        <v/>
      </c>
      <c r="FL45" s="5">
        <f>IFERROR(ROUND(FB45/FD45,2),0)</f>
        <v/>
      </c>
      <c r="FM45" s="5">
        <f>IFERROR(ROUND(FB45/FE45,2),0)</f>
        <v/>
      </c>
      <c r="FN45" s="2" t="inlineStr">
        <is>
          <t>2023-10-20</t>
        </is>
      </c>
      <c r="FO45" s="5">
        <f>ROUND(0.0,2)</f>
        <v/>
      </c>
      <c r="FP45" s="3">
        <f>ROUND(0.0,2)</f>
        <v/>
      </c>
      <c r="FQ45" s="3">
        <f>ROUND(0.0,2)</f>
        <v/>
      </c>
      <c r="FR45" s="3">
        <f>ROUND(0.0,2)</f>
        <v/>
      </c>
      <c r="FS45" s="3">
        <f>ROUND(0.0,2)</f>
        <v/>
      </c>
      <c r="FT45" s="3">
        <f>ROUND(0.0,2)</f>
        <v/>
      </c>
      <c r="FU45" s="3">
        <f>ROUND(0.0,2)</f>
        <v/>
      </c>
      <c r="FV45" s="3">
        <f>ROUND(0.0,2)</f>
        <v/>
      </c>
      <c r="FW45" s="4">
        <f>IFERROR((FQ45/FP45),0)</f>
        <v/>
      </c>
      <c r="FX45" s="4">
        <f>IFERROR(((0+FO11+FO12+FO13+FO14+FO15+FO16+FO17+FO19+FO20+FO21+FO22+FO23+FO24+FO25+FO27+FO28+FO29+FO30+FO31+FO32+FO33+FO35+FO36+FO37+FO38+FO39+FO40+FO41+FO43+FO44+FO45)/T2),0)</f>
        <v/>
      </c>
      <c r="FY45" s="5">
        <f>IFERROR(ROUND(FO45/FQ45,2),0)</f>
        <v/>
      </c>
      <c r="FZ45" s="5">
        <f>IFERROR(ROUND(FO45/FR45,2),0)</f>
        <v/>
      </c>
      <c r="GA45" s="2" t="inlineStr">
        <is>
          <t>2023-10-20</t>
        </is>
      </c>
      <c r="GB45" s="5">
        <f>ROUND(0.0,2)</f>
        <v/>
      </c>
      <c r="GC45" s="3">
        <f>ROUND(0.0,2)</f>
        <v/>
      </c>
      <c r="GD45" s="3">
        <f>ROUND(0.0,2)</f>
        <v/>
      </c>
      <c r="GE45" s="3">
        <f>ROUND(0.0,2)</f>
        <v/>
      </c>
      <c r="GF45" s="3">
        <f>ROUND(0.0,2)</f>
        <v/>
      </c>
      <c r="GG45" s="3">
        <f>ROUND(0.0,2)</f>
        <v/>
      </c>
      <c r="GH45" s="3">
        <f>ROUND(0.0,2)</f>
        <v/>
      </c>
      <c r="GI45" s="3">
        <f>ROUND(0.0,2)</f>
        <v/>
      </c>
      <c r="GJ45" s="4">
        <f>IFERROR((GD45/GC45),0)</f>
        <v/>
      </c>
      <c r="GK45" s="4">
        <f>IFERROR(((0+GB11+GB12+GB13+GB14+GB15+GB16+GB17+GB19+GB20+GB21+GB22+GB23+GB24+GB25+GB27+GB28+GB29+GB30+GB31+GB32+GB33+GB35+GB36+GB37+GB38+GB39+GB40+GB41+GB43+GB44+GB45)/T2),0)</f>
        <v/>
      </c>
      <c r="GL45" s="5">
        <f>IFERROR(ROUND(GB45/GD45,2),0)</f>
        <v/>
      </c>
      <c r="GM45" s="5">
        <f>IFERROR(ROUND(GB45/GE45,2),0)</f>
        <v/>
      </c>
    </row>
    <row r="46">
      <c r="A46" s="2" t="inlineStr">
        <is>
          <t>2023-10-21</t>
        </is>
      </c>
      <c r="B46" s="5">
        <f>ROUND(8.38,2)</f>
        <v/>
      </c>
      <c r="C46" s="3">
        <f>ROUND(16583.0,2)</f>
        <v/>
      </c>
      <c r="D46" s="3">
        <f>ROUND(838.0,2)</f>
        <v/>
      </c>
      <c r="E46" s="3">
        <f>ROUND(0.0,2)</f>
        <v/>
      </c>
      <c r="F46" s="3">
        <f>ROUND(0.0,2)</f>
        <v/>
      </c>
      <c r="G46" s="3">
        <f>ROUND(0.0,2)</f>
        <v/>
      </c>
      <c r="H46" s="3">
        <f>ROUND(0.0,2)</f>
        <v/>
      </c>
      <c r="I46" s="3">
        <f>ROUND(0.0,2)</f>
        <v/>
      </c>
      <c r="J46" s="4">
        <f>IFERROR((D46/C46),0)</f>
        <v/>
      </c>
      <c r="K46" s="4">
        <f>IFERROR(((0+B11+B12+B13+B14+B15+B16+B17+B19+B20+B21+B22+B23+B24+B25+B27+B28+B29+B30+B31+B32+B33+B35+B36+B37+B38+B39+B40+B41+B43+B44+B45+B46)/T2),0)</f>
        <v/>
      </c>
      <c r="L46" s="5">
        <f>IFERROR(ROUND(B46/D46,2),0)</f>
        <v/>
      </c>
      <c r="M46" s="5">
        <f>IFERROR(ROUND(B46/E46,2),0)</f>
        <v/>
      </c>
      <c r="N46" s="2" t="inlineStr">
        <is>
          <t>2023-10-21</t>
        </is>
      </c>
      <c r="O46" s="5">
        <f>ROUND(0.41000000000000003,2)</f>
        <v/>
      </c>
      <c r="P46" s="3">
        <f>ROUND(1120.0,2)</f>
        <v/>
      </c>
      <c r="Q46" s="3">
        <f>ROUND(41.0,2)</f>
        <v/>
      </c>
      <c r="R46" s="3">
        <f>ROUND(0.0,2)</f>
        <v/>
      </c>
      <c r="S46" s="3">
        <f>ROUND(0.0,2)</f>
        <v/>
      </c>
      <c r="T46" s="3">
        <f>ROUND(0.0,2)</f>
        <v/>
      </c>
      <c r="U46" s="3">
        <f>ROUND(0.0,2)</f>
        <v/>
      </c>
      <c r="V46" s="3">
        <f>ROUND(0.0,2)</f>
        <v/>
      </c>
      <c r="W46" s="4">
        <f>IFERROR((Q46/P46),0)</f>
        <v/>
      </c>
      <c r="X46" s="4">
        <f>IFERROR(((0+O11+O12+O13+O14+O15+O16+O17+O19+O20+O21+O22+O23+O24+O25+O27+O28+O29+O30+O31+O32+O33+O35+O36+O37+O38+O39+O40+O41+O43+O44+O45+O46)/T2),0)</f>
        <v/>
      </c>
      <c r="Y46" s="5">
        <f>IFERROR(ROUND(O46/Q46,2),0)</f>
        <v/>
      </c>
      <c r="Z46" s="5">
        <f>IFERROR(ROUND(O46/R46,2),0)</f>
        <v/>
      </c>
      <c r="AA46" s="2" t="inlineStr">
        <is>
          <t>2023-10-21</t>
        </is>
      </c>
      <c r="AB46" s="5">
        <f>ROUND(1.46,2)</f>
        <v/>
      </c>
      <c r="AC46" s="3">
        <f>ROUND(2739.0,2)</f>
        <v/>
      </c>
      <c r="AD46" s="3">
        <f>ROUND(146.0,2)</f>
        <v/>
      </c>
      <c r="AE46" s="3">
        <f>ROUND(0.0,2)</f>
        <v/>
      </c>
      <c r="AF46" s="3">
        <f>ROUND(0.0,2)</f>
        <v/>
      </c>
      <c r="AG46" s="3">
        <f>ROUND(0.0,2)</f>
        <v/>
      </c>
      <c r="AH46" s="3">
        <f>ROUND(0.0,2)</f>
        <v/>
      </c>
      <c r="AI46" s="3">
        <f>ROUND(0.0,2)</f>
        <v/>
      </c>
      <c r="AJ46" s="4">
        <f>IFERROR((AD46/AC46),0)</f>
        <v/>
      </c>
      <c r="AK46" s="4">
        <f>IFERROR(((0+AB11+AB12+AB13+AB14+AB15+AB16+AB17+AB19+AB20+AB21+AB22+AB23+AB24+AB25+AB27+AB28+AB29+AB30+AB31+AB32+AB33+AB35+AB36+AB37+AB38+AB39+AB40+AB41+AB43+AB44+AB45+AB46)/T2),0)</f>
        <v/>
      </c>
      <c r="AL46" s="5">
        <f>IFERROR(ROUND(AB46/AD46,2),0)</f>
        <v/>
      </c>
      <c r="AM46" s="5">
        <f>IFERROR(ROUND(AB46/AE46,2),0)</f>
        <v/>
      </c>
      <c r="AN46" s="2" t="inlineStr">
        <is>
          <t>2023-10-21</t>
        </is>
      </c>
      <c r="AO46" s="5">
        <f>ROUND(0.11,2)</f>
        <v/>
      </c>
      <c r="AP46" s="3">
        <f>ROUND(242.0,2)</f>
        <v/>
      </c>
      <c r="AQ46" s="3">
        <f>ROUND(11.0,2)</f>
        <v/>
      </c>
      <c r="AR46" s="3">
        <f>ROUND(0.0,2)</f>
        <v/>
      </c>
      <c r="AS46" s="3">
        <f>ROUND(0.0,2)</f>
        <v/>
      </c>
      <c r="AT46" s="3">
        <f>ROUND(0.0,2)</f>
        <v/>
      </c>
      <c r="AU46" s="3">
        <f>ROUND(0.0,2)</f>
        <v/>
      </c>
      <c r="AV46" s="3">
        <f>ROUND(0.0,2)</f>
        <v/>
      </c>
      <c r="AW46" s="4">
        <f>IFERROR((AQ46/AP46),0)</f>
        <v/>
      </c>
      <c r="AX46" s="4">
        <f>IFERROR(((0+AO11+AO12+AO13+AO14+AO15+AO16+AO17+AO19+AO20+AO21+AO22+AO23+AO24+AO25+AO27+AO28+AO29+AO30+AO31+AO32+AO33+AO35+AO36+AO37+AO38+AO39+AO40+AO41+AO43+AO44+AO45+AO46)/T2),0)</f>
        <v/>
      </c>
      <c r="AY46" s="5">
        <f>IFERROR(ROUND(AO46/AQ46,2),0)</f>
        <v/>
      </c>
      <c r="AZ46" s="5">
        <f>IFERROR(ROUND(AO46/AR46,2),0)</f>
        <v/>
      </c>
      <c r="BA46" s="2" t="inlineStr">
        <is>
          <t>2023-10-21</t>
        </is>
      </c>
      <c r="BB46" s="5">
        <f>ROUND(0.34,2)</f>
        <v/>
      </c>
      <c r="BC46" s="3">
        <f>ROUND(589.0,2)</f>
        <v/>
      </c>
      <c r="BD46" s="3">
        <f>ROUND(34.0,2)</f>
        <v/>
      </c>
      <c r="BE46" s="3">
        <f>ROUND(0.0,2)</f>
        <v/>
      </c>
      <c r="BF46" s="3">
        <f>ROUND(0.0,2)</f>
        <v/>
      </c>
      <c r="BG46" s="3">
        <f>ROUND(0.0,2)</f>
        <v/>
      </c>
      <c r="BH46" s="3">
        <f>ROUND(0.0,2)</f>
        <v/>
      </c>
      <c r="BI46" s="3">
        <f>ROUND(0.0,2)</f>
        <v/>
      </c>
      <c r="BJ46" s="4">
        <f>IFERROR((BD46/BC46),0)</f>
        <v/>
      </c>
      <c r="BK46" s="4">
        <f>IFERROR(((0+BB11+BB12+BB13+BB14+BB15+BB16+BB17+BB19+BB20+BB21+BB22+BB23+BB24+BB25+BB27+BB28+BB29+BB30+BB31+BB32+BB33+BB35+BB36+BB37+BB38+BB39+BB40+BB41+BB43+BB44+BB45+BB46)/T2),0)</f>
        <v/>
      </c>
      <c r="BL46" s="5">
        <f>IFERROR(ROUND(BB46/BD46,2),0)</f>
        <v/>
      </c>
      <c r="BM46" s="5">
        <f>IFERROR(ROUND(BB46/BE46,2),0)</f>
        <v/>
      </c>
      <c r="BN46" s="2" t="inlineStr">
        <is>
          <t>2023-10-21</t>
        </is>
      </c>
      <c r="BO46" s="5">
        <f>ROUND(0.9500000000000001,2)</f>
        <v/>
      </c>
      <c r="BP46" s="3">
        <f>ROUND(2127.0,2)</f>
        <v/>
      </c>
      <c r="BQ46" s="3">
        <f>ROUND(95.0,2)</f>
        <v/>
      </c>
      <c r="BR46" s="3">
        <f>ROUND(0.0,2)</f>
        <v/>
      </c>
      <c r="BS46" s="3">
        <f>ROUND(0.0,2)</f>
        <v/>
      </c>
      <c r="BT46" s="3">
        <f>ROUND(0.0,2)</f>
        <v/>
      </c>
      <c r="BU46" s="3">
        <f>ROUND(0.0,2)</f>
        <v/>
      </c>
      <c r="BV46" s="3">
        <f>ROUND(0.0,2)</f>
        <v/>
      </c>
      <c r="BW46" s="4">
        <f>IFERROR((BQ46/BP46),0)</f>
        <v/>
      </c>
      <c r="BX46" s="4">
        <f>IFERROR(((0+BO11+BO12+BO13+BO14+BO15+BO16+BO17+BO19+BO20+BO21+BO22+BO23+BO24+BO25+BO27+BO28+BO29+BO30+BO31+BO32+BO33+BO35+BO36+BO37+BO38+BO39+BO40+BO41+BO43+BO44+BO45+BO46)/T2),0)</f>
        <v/>
      </c>
      <c r="BY46" s="5">
        <f>IFERROR(ROUND(BO46/BQ46,2),0)</f>
        <v/>
      </c>
      <c r="BZ46" s="5">
        <f>IFERROR(ROUND(BO46/BR46,2),0)</f>
        <v/>
      </c>
      <c r="CA46" s="2" t="inlineStr">
        <is>
          <t>2023-10-21</t>
        </is>
      </c>
      <c r="CB46" s="5">
        <f>ROUND(0.04,2)</f>
        <v/>
      </c>
      <c r="CC46" s="3">
        <f>ROUND(186.0,2)</f>
        <v/>
      </c>
      <c r="CD46" s="3">
        <f>ROUND(4.0,2)</f>
        <v/>
      </c>
      <c r="CE46" s="3">
        <f>ROUND(0.0,2)</f>
        <v/>
      </c>
      <c r="CF46" s="3">
        <f>ROUND(0.0,2)</f>
        <v/>
      </c>
      <c r="CG46" s="3">
        <f>ROUND(0.0,2)</f>
        <v/>
      </c>
      <c r="CH46" s="3">
        <f>ROUND(0.0,2)</f>
        <v/>
      </c>
      <c r="CI46" s="3">
        <f>ROUND(0.0,2)</f>
        <v/>
      </c>
      <c r="CJ46" s="4">
        <f>IFERROR((CD46/CC46),0)</f>
        <v/>
      </c>
      <c r="CK46" s="4">
        <f>IFERROR(((0+CB11+CB12+CB13+CB14+CB15+CB16+CB17+CB19+CB20+CB21+CB22+CB23+CB24+CB25+CB27+CB28+CB29+CB30+CB31+CB32+CB33+CB35+CB36+CB37+CB38+CB39+CB40+CB41+CB43+CB44+CB45+CB46)/T2),0)</f>
        <v/>
      </c>
      <c r="CL46" s="5">
        <f>IFERROR(ROUND(CB46/CD46,2),0)</f>
        <v/>
      </c>
      <c r="CM46" s="5">
        <f>IFERROR(ROUND(CB46/CE46,2),0)</f>
        <v/>
      </c>
      <c r="CN46" s="2" t="inlineStr">
        <is>
          <t>2023-10-21</t>
        </is>
      </c>
      <c r="CO46" s="5">
        <f>ROUND(0.05,2)</f>
        <v/>
      </c>
      <c r="CP46" s="3">
        <f>ROUND(91.0,2)</f>
        <v/>
      </c>
      <c r="CQ46" s="3">
        <f>ROUND(5.0,2)</f>
        <v/>
      </c>
      <c r="CR46" s="3">
        <f>ROUND(0.0,2)</f>
        <v/>
      </c>
      <c r="CS46" s="3">
        <f>ROUND(0.0,2)</f>
        <v/>
      </c>
      <c r="CT46" s="3">
        <f>ROUND(0.0,2)</f>
        <v/>
      </c>
      <c r="CU46" s="3">
        <f>ROUND(0.0,2)</f>
        <v/>
      </c>
      <c r="CV46" s="3">
        <f>ROUND(0.0,2)</f>
        <v/>
      </c>
      <c r="CW46" s="4">
        <f>IFERROR((CQ46/CP46),0)</f>
        <v/>
      </c>
      <c r="CX46" s="4">
        <f>IFERROR(((0+CO11+CO12+CO13+CO14+CO15+CO16+CO17+CO19+CO20+CO21+CO22+CO23+CO24+CO25+CO27+CO28+CO29+CO30+CO31+CO32+CO33+CO35+CO36+CO37+CO38+CO39+CO40+CO41+CO43+CO44+CO45+CO46)/T2),0)</f>
        <v/>
      </c>
      <c r="CY46" s="5">
        <f>IFERROR(ROUND(CO46/CQ46,2),0)</f>
        <v/>
      </c>
      <c r="CZ46" s="5">
        <f>IFERROR(ROUND(CO46/CR46,2),0)</f>
        <v/>
      </c>
      <c r="DA46" s="2" t="inlineStr">
        <is>
          <t>2023-10-21</t>
        </is>
      </c>
      <c r="DB46" s="5">
        <f>ROUND(0.7300000000000001,2)</f>
        <v/>
      </c>
      <c r="DC46" s="3">
        <f>ROUND(1312.0,2)</f>
        <v/>
      </c>
      <c r="DD46" s="3">
        <f>ROUND(73.0,2)</f>
        <v/>
      </c>
      <c r="DE46" s="3">
        <f>ROUND(0.0,2)</f>
        <v/>
      </c>
      <c r="DF46" s="3">
        <f>ROUND(0.0,2)</f>
        <v/>
      </c>
      <c r="DG46" s="3">
        <f>ROUND(0.0,2)</f>
        <v/>
      </c>
      <c r="DH46" s="3">
        <f>ROUND(0.0,2)</f>
        <v/>
      </c>
      <c r="DI46" s="3">
        <f>ROUND(0.0,2)</f>
        <v/>
      </c>
      <c r="DJ46" s="4">
        <f>IFERROR((DD46/DC46),0)</f>
        <v/>
      </c>
      <c r="DK46" s="4">
        <f>IFERROR(((0+DB11+DB12+DB13+DB14+DB15+DB16+DB17+DB19+DB20+DB21+DB22+DB23+DB24+DB25+DB27+DB28+DB29+DB30+DB31+DB32+DB33+DB35+DB36+DB37+DB38+DB39+DB40+DB41+DB43+DB44+DB45+DB46)/T2),0)</f>
        <v/>
      </c>
      <c r="DL46" s="5">
        <f>IFERROR(ROUND(DB46/DD46,2),0)</f>
        <v/>
      </c>
      <c r="DM46" s="5">
        <f>IFERROR(ROUND(DB46/DE46,2),0)</f>
        <v/>
      </c>
      <c r="DN46" s="2" t="inlineStr">
        <is>
          <t>2023-10-21</t>
        </is>
      </c>
      <c r="DO46" s="5">
        <f>ROUND(0.28,2)</f>
        <v/>
      </c>
      <c r="DP46" s="3">
        <f>ROUND(571.0,2)</f>
        <v/>
      </c>
      <c r="DQ46" s="3">
        <f>ROUND(28.0,2)</f>
        <v/>
      </c>
      <c r="DR46" s="3">
        <f>ROUND(0.0,2)</f>
        <v/>
      </c>
      <c r="DS46" s="3">
        <f>ROUND(0.0,2)</f>
        <v/>
      </c>
      <c r="DT46" s="3">
        <f>ROUND(0.0,2)</f>
        <v/>
      </c>
      <c r="DU46" s="3">
        <f>ROUND(0.0,2)</f>
        <v/>
      </c>
      <c r="DV46" s="3">
        <f>ROUND(0.0,2)</f>
        <v/>
      </c>
      <c r="DW46" s="4">
        <f>IFERROR((DQ46/DP46),0)</f>
        <v/>
      </c>
      <c r="DX46" s="4">
        <f>IFERROR(((0+DO11+DO12+DO13+DO14+DO15+DO16+DO17+DO19+DO20+DO21+DO22+DO23+DO24+DO25+DO27+DO28+DO29+DO30+DO31+DO32+DO33+DO35+DO36+DO37+DO38+DO39+DO40+DO41+DO43+DO44+DO45+DO46)/T2),0)</f>
        <v/>
      </c>
      <c r="DY46" s="5">
        <f>IFERROR(ROUND(DO46/DQ46,2),0)</f>
        <v/>
      </c>
      <c r="DZ46" s="5">
        <f>IFERROR(ROUND(DO46/DR46,2),0)</f>
        <v/>
      </c>
      <c r="EA46" s="2" t="inlineStr">
        <is>
          <t>2023-10-21</t>
        </is>
      </c>
      <c r="EB46" s="5">
        <f>ROUND(1.56,2)</f>
        <v/>
      </c>
      <c r="EC46" s="3">
        <f>ROUND(4893.0,2)</f>
        <v/>
      </c>
      <c r="ED46" s="3">
        <f>ROUND(156.0,2)</f>
        <v/>
      </c>
      <c r="EE46" s="3">
        <f>ROUND(0.0,2)</f>
        <v/>
      </c>
      <c r="EF46" s="3">
        <f>ROUND(0.0,2)</f>
        <v/>
      </c>
      <c r="EG46" s="3">
        <f>ROUND(0.0,2)</f>
        <v/>
      </c>
      <c r="EH46" s="3">
        <f>ROUND(0.0,2)</f>
        <v/>
      </c>
      <c r="EI46" s="3">
        <f>ROUND(0.0,2)</f>
        <v/>
      </c>
      <c r="EJ46" s="4">
        <f>IFERROR((ED46/EC46),0)</f>
        <v/>
      </c>
      <c r="EK46" s="4">
        <f>IFERROR(((0+EB11+EB12+EB13+EB14+EB15+EB16+EB17+EB19+EB20+EB21+EB22+EB23+EB24+EB25+EB27+EB28+EB29+EB30+EB31+EB32+EB33+EB35+EB36+EB37+EB38+EB39+EB40+EB41+EB43+EB44+EB45+EB46)/T2),0)</f>
        <v/>
      </c>
      <c r="EL46" s="5">
        <f>IFERROR(ROUND(EB46/ED46,2),0)</f>
        <v/>
      </c>
      <c r="EM46" s="5">
        <f>IFERROR(ROUND(EB46/EE46,2),0)</f>
        <v/>
      </c>
      <c r="EN46" s="2" t="inlineStr">
        <is>
          <t>2023-10-21</t>
        </is>
      </c>
      <c r="EO46" s="5">
        <f>ROUND(0.79,2)</f>
        <v/>
      </c>
      <c r="EP46" s="3">
        <f>ROUND(810.0,2)</f>
        <v/>
      </c>
      <c r="EQ46" s="3">
        <f>ROUND(79.0,2)</f>
        <v/>
      </c>
      <c r="ER46" s="3">
        <f>ROUND(0.0,2)</f>
        <v/>
      </c>
      <c r="ES46" s="3">
        <f>ROUND(0.0,2)</f>
        <v/>
      </c>
      <c r="ET46" s="3">
        <f>ROUND(0.0,2)</f>
        <v/>
      </c>
      <c r="EU46" s="3">
        <f>ROUND(0.0,2)</f>
        <v/>
      </c>
      <c r="EV46" s="3">
        <f>ROUND(0.0,2)</f>
        <v/>
      </c>
      <c r="EW46" s="4">
        <f>IFERROR((EQ46/EP46),0)</f>
        <v/>
      </c>
      <c r="EX46" s="4">
        <f>IFERROR(((0+EO11+EO12+EO13+EO14+EO15+EO16+EO17+EO19+EO20+EO21+EO22+EO23+EO24+EO25+EO27+EO28+EO29+EO30+EO31+EO32+EO33+EO35+EO36+EO37+EO38+EO39+EO40+EO41+EO43+EO44+EO45+EO46)/T2),0)</f>
        <v/>
      </c>
      <c r="EY46" s="5">
        <f>IFERROR(ROUND(EO46/EQ46,2),0)</f>
        <v/>
      </c>
      <c r="EZ46" s="5">
        <f>IFERROR(ROUND(EO46/ER46,2),0)</f>
        <v/>
      </c>
      <c r="FA46" s="2" t="inlineStr">
        <is>
          <t>2023-10-21</t>
        </is>
      </c>
      <c r="FB46" s="5">
        <f>ROUND(0.74,2)</f>
        <v/>
      </c>
      <c r="FC46" s="3">
        <f>ROUND(1139.0,2)</f>
        <v/>
      </c>
      <c r="FD46" s="3">
        <f>ROUND(74.0,2)</f>
        <v/>
      </c>
      <c r="FE46" s="3">
        <f>ROUND(0.0,2)</f>
        <v/>
      </c>
      <c r="FF46" s="3">
        <f>ROUND(0.0,2)</f>
        <v/>
      </c>
      <c r="FG46" s="3">
        <f>ROUND(0.0,2)</f>
        <v/>
      </c>
      <c r="FH46" s="3">
        <f>ROUND(0.0,2)</f>
        <v/>
      </c>
      <c r="FI46" s="3">
        <f>ROUND(0.0,2)</f>
        <v/>
      </c>
      <c r="FJ46" s="4">
        <f>IFERROR((FD46/FC46),0)</f>
        <v/>
      </c>
      <c r="FK46" s="4">
        <f>IFERROR(((0+FB11+FB12+FB13+FB14+FB15+FB16+FB17+FB19+FB20+FB21+FB22+FB23+FB24+FB25+FB27+FB28+FB29+FB30+FB31+FB32+FB33+FB35+FB36+FB37+FB38+FB39+FB40+FB41+FB43+FB44+FB45+FB46)/T2),0)</f>
        <v/>
      </c>
      <c r="FL46" s="5">
        <f>IFERROR(ROUND(FB46/FD46,2),0)</f>
        <v/>
      </c>
      <c r="FM46" s="5">
        <f>IFERROR(ROUND(FB46/FE46,2),0)</f>
        <v/>
      </c>
      <c r="FN46" s="2" t="inlineStr">
        <is>
          <t>2023-10-21</t>
        </is>
      </c>
      <c r="FO46" s="5">
        <f>ROUND(0.9199999999999999,2)</f>
        <v/>
      </c>
      <c r="FP46" s="3">
        <f>ROUND(764.0,2)</f>
        <v/>
      </c>
      <c r="FQ46" s="3">
        <f>ROUND(92.0,2)</f>
        <v/>
      </c>
      <c r="FR46" s="3">
        <f>ROUND(0.0,2)</f>
        <v/>
      </c>
      <c r="FS46" s="3">
        <f>ROUND(0.0,2)</f>
        <v/>
      </c>
      <c r="FT46" s="3">
        <f>ROUND(0.0,2)</f>
        <v/>
      </c>
      <c r="FU46" s="3">
        <f>ROUND(0.0,2)</f>
        <v/>
      </c>
      <c r="FV46" s="3">
        <f>ROUND(0.0,2)</f>
        <v/>
      </c>
      <c r="FW46" s="4">
        <f>IFERROR((FQ46/FP46),0)</f>
        <v/>
      </c>
      <c r="FX46" s="4">
        <f>IFERROR(((0+FO11+FO12+FO13+FO14+FO15+FO16+FO17+FO19+FO20+FO21+FO22+FO23+FO24+FO25+FO27+FO28+FO29+FO30+FO31+FO32+FO33+FO35+FO36+FO37+FO38+FO39+FO40+FO41+FO43+FO44+FO45+FO46)/T2),0)</f>
        <v/>
      </c>
      <c r="FY46" s="5">
        <f>IFERROR(ROUND(FO46/FQ46,2),0)</f>
        <v/>
      </c>
      <c r="FZ46" s="5">
        <f>IFERROR(ROUND(FO46/FR46,2),0)</f>
        <v/>
      </c>
      <c r="GA46" s="2" t="inlineStr">
        <is>
          <t>2023-10-21</t>
        </is>
      </c>
      <c r="GB46" s="5">
        <f>ROUND(0.0,2)</f>
        <v/>
      </c>
      <c r="GC46" s="3">
        <f>ROUND(0.0,2)</f>
        <v/>
      </c>
      <c r="GD46" s="3">
        <f>ROUND(0.0,2)</f>
        <v/>
      </c>
      <c r="GE46" s="3">
        <f>ROUND(0.0,2)</f>
        <v/>
      </c>
      <c r="GF46" s="3">
        <f>ROUND(0.0,2)</f>
        <v/>
      </c>
      <c r="GG46" s="3">
        <f>ROUND(0.0,2)</f>
        <v/>
      </c>
      <c r="GH46" s="3">
        <f>ROUND(0.0,2)</f>
        <v/>
      </c>
      <c r="GI46" s="3">
        <f>ROUND(0.0,2)</f>
        <v/>
      </c>
      <c r="GJ46" s="4">
        <f>IFERROR((GD46/GC46),0)</f>
        <v/>
      </c>
      <c r="GK46" s="4">
        <f>IFERROR(((0+GB11+GB12+GB13+GB14+GB15+GB16+GB17+GB19+GB20+GB21+GB22+GB23+GB24+GB25+GB27+GB28+GB29+GB30+GB31+GB32+GB33+GB35+GB36+GB37+GB38+GB39+GB40+GB41+GB43+GB44+GB45+GB46)/T2),0)</f>
        <v/>
      </c>
      <c r="GL46" s="5">
        <f>IFERROR(ROUND(GB46/GD46,2),0)</f>
        <v/>
      </c>
      <c r="GM46" s="5">
        <f>IFERROR(ROUND(GB46/GE46,2),0)</f>
        <v/>
      </c>
    </row>
    <row r="47">
      <c r="A47" s="2" t="inlineStr">
        <is>
          <t>2023-10-22</t>
        </is>
      </c>
      <c r="B47" s="5">
        <f>ROUND(12.1,2)</f>
        <v/>
      </c>
      <c r="C47" s="3">
        <f>ROUND(23587.0,2)</f>
        <v/>
      </c>
      <c r="D47" s="3">
        <f>ROUND(1210.0,2)</f>
        <v/>
      </c>
      <c r="E47" s="3">
        <f>ROUND(0.0,2)</f>
        <v/>
      </c>
      <c r="F47" s="3">
        <f>ROUND(0.0,2)</f>
        <v/>
      </c>
      <c r="G47" s="3">
        <f>ROUND(0.0,2)</f>
        <v/>
      </c>
      <c r="H47" s="3">
        <f>ROUND(0.0,2)</f>
        <v/>
      </c>
      <c r="I47" s="3">
        <f>ROUND(0.0,2)</f>
        <v/>
      </c>
      <c r="J47" s="4">
        <f>IFERROR((D47/C47),0)</f>
        <v/>
      </c>
      <c r="K47" s="4">
        <f>IFERROR(((0+B11+B12+B13+B14+B15+B16+B17+B19+B20+B21+B22+B23+B24+B25+B27+B28+B29+B30+B31+B32+B33+B35+B36+B37+B38+B39+B40+B41+B43+B44+B45+B46+B47)/T2),0)</f>
        <v/>
      </c>
      <c r="L47" s="5">
        <f>IFERROR(ROUND(B47/D47,2),0)</f>
        <v/>
      </c>
      <c r="M47" s="5">
        <f>IFERROR(ROUND(B47/E47,2),0)</f>
        <v/>
      </c>
      <c r="N47" s="2" t="inlineStr">
        <is>
          <t>2023-10-22</t>
        </is>
      </c>
      <c r="O47" s="5">
        <f>ROUND(0.18,2)</f>
        <v/>
      </c>
      <c r="P47" s="3">
        <f>ROUND(565.0,2)</f>
        <v/>
      </c>
      <c r="Q47" s="3">
        <f>ROUND(18.0,2)</f>
        <v/>
      </c>
      <c r="R47" s="3">
        <f>ROUND(0.0,2)</f>
        <v/>
      </c>
      <c r="S47" s="3">
        <f>ROUND(0.0,2)</f>
        <v/>
      </c>
      <c r="T47" s="3">
        <f>ROUND(0.0,2)</f>
        <v/>
      </c>
      <c r="U47" s="3">
        <f>ROUND(0.0,2)</f>
        <v/>
      </c>
      <c r="V47" s="3">
        <f>ROUND(0.0,2)</f>
        <v/>
      </c>
      <c r="W47" s="4">
        <f>IFERROR((Q47/P47),0)</f>
        <v/>
      </c>
      <c r="X47" s="4">
        <f>IFERROR(((0+O11+O12+O13+O14+O15+O16+O17+O19+O20+O21+O22+O23+O24+O25+O27+O28+O29+O30+O31+O32+O33+O35+O36+O37+O38+O39+O40+O41+O43+O44+O45+O46+O47)/T2),0)</f>
        <v/>
      </c>
      <c r="Y47" s="5">
        <f>IFERROR(ROUND(O47/Q47,2),0)</f>
        <v/>
      </c>
      <c r="Z47" s="5">
        <f>IFERROR(ROUND(O47/R47,2),0)</f>
        <v/>
      </c>
      <c r="AA47" s="2" t="inlineStr">
        <is>
          <t>2023-10-22</t>
        </is>
      </c>
      <c r="AB47" s="5">
        <f>ROUND(1.78,2)</f>
        <v/>
      </c>
      <c r="AC47" s="3">
        <f>ROUND(3255.0,2)</f>
        <v/>
      </c>
      <c r="AD47" s="3">
        <f>ROUND(178.0,2)</f>
        <v/>
      </c>
      <c r="AE47" s="3">
        <f>ROUND(0.0,2)</f>
        <v/>
      </c>
      <c r="AF47" s="3">
        <f>ROUND(0.0,2)</f>
        <v/>
      </c>
      <c r="AG47" s="3">
        <f>ROUND(0.0,2)</f>
        <v/>
      </c>
      <c r="AH47" s="3">
        <f>ROUND(0.0,2)</f>
        <v/>
      </c>
      <c r="AI47" s="3">
        <f>ROUND(0.0,2)</f>
        <v/>
      </c>
      <c r="AJ47" s="4">
        <f>IFERROR((AD47/AC47),0)</f>
        <v/>
      </c>
      <c r="AK47" s="4">
        <f>IFERROR(((0+AB11+AB12+AB13+AB14+AB15+AB16+AB17+AB19+AB20+AB21+AB22+AB23+AB24+AB25+AB27+AB28+AB29+AB30+AB31+AB32+AB33+AB35+AB36+AB37+AB38+AB39+AB40+AB41+AB43+AB44+AB45+AB46+AB47)/T2),0)</f>
        <v/>
      </c>
      <c r="AL47" s="5">
        <f>IFERROR(ROUND(AB47/AD47,2),0)</f>
        <v/>
      </c>
      <c r="AM47" s="5">
        <f>IFERROR(ROUND(AB47/AE47,2),0)</f>
        <v/>
      </c>
      <c r="AN47" s="2" t="inlineStr">
        <is>
          <t>2023-10-22</t>
        </is>
      </c>
      <c r="AO47" s="5">
        <f>ROUND(0.16,2)</f>
        <v/>
      </c>
      <c r="AP47" s="3">
        <f>ROUND(364.0,2)</f>
        <v/>
      </c>
      <c r="AQ47" s="3">
        <f>ROUND(16.0,2)</f>
        <v/>
      </c>
      <c r="AR47" s="3">
        <f>ROUND(0.0,2)</f>
        <v/>
      </c>
      <c r="AS47" s="3">
        <f>ROUND(0.0,2)</f>
        <v/>
      </c>
      <c r="AT47" s="3">
        <f>ROUND(0.0,2)</f>
        <v/>
      </c>
      <c r="AU47" s="3">
        <f>ROUND(0.0,2)</f>
        <v/>
      </c>
      <c r="AV47" s="3">
        <f>ROUND(0.0,2)</f>
        <v/>
      </c>
      <c r="AW47" s="4">
        <f>IFERROR((AQ47/AP47),0)</f>
        <v/>
      </c>
      <c r="AX47" s="4">
        <f>IFERROR(((0+AO11+AO12+AO13+AO14+AO15+AO16+AO17+AO19+AO20+AO21+AO22+AO23+AO24+AO25+AO27+AO28+AO29+AO30+AO31+AO32+AO33+AO35+AO36+AO37+AO38+AO39+AO40+AO41+AO43+AO44+AO45+AO46+AO47)/T2),0)</f>
        <v/>
      </c>
      <c r="AY47" s="5">
        <f>IFERROR(ROUND(AO47/AQ47,2),0)</f>
        <v/>
      </c>
      <c r="AZ47" s="5">
        <f>IFERROR(ROUND(AO47/AR47,2),0)</f>
        <v/>
      </c>
      <c r="BA47" s="2" t="inlineStr">
        <is>
          <t>2023-10-22</t>
        </is>
      </c>
      <c r="BB47" s="5">
        <f>ROUND(1.4000000000000001,2)</f>
        <v/>
      </c>
      <c r="BC47" s="3">
        <f>ROUND(2074.0,2)</f>
        <v/>
      </c>
      <c r="BD47" s="3">
        <f>ROUND(140.0,2)</f>
        <v/>
      </c>
      <c r="BE47" s="3">
        <f>ROUND(0.0,2)</f>
        <v/>
      </c>
      <c r="BF47" s="3">
        <f>ROUND(0.0,2)</f>
        <v/>
      </c>
      <c r="BG47" s="3">
        <f>ROUND(0.0,2)</f>
        <v/>
      </c>
      <c r="BH47" s="3">
        <f>ROUND(0.0,2)</f>
        <v/>
      </c>
      <c r="BI47" s="3">
        <f>ROUND(0.0,2)</f>
        <v/>
      </c>
      <c r="BJ47" s="4">
        <f>IFERROR((BD47/BC47),0)</f>
        <v/>
      </c>
      <c r="BK47" s="4">
        <f>IFERROR(((0+BB11+BB12+BB13+BB14+BB15+BB16+BB17+BB19+BB20+BB21+BB22+BB23+BB24+BB25+BB27+BB28+BB29+BB30+BB31+BB32+BB33+BB35+BB36+BB37+BB38+BB39+BB40+BB41+BB43+BB44+BB45+BB46+BB47)/T2),0)</f>
        <v/>
      </c>
      <c r="BL47" s="5">
        <f>IFERROR(ROUND(BB47/BD47,2),0)</f>
        <v/>
      </c>
      <c r="BM47" s="5">
        <f>IFERROR(ROUND(BB47/BE47,2),0)</f>
        <v/>
      </c>
      <c r="BN47" s="2" t="inlineStr">
        <is>
          <t>2023-10-22</t>
        </is>
      </c>
      <c r="BO47" s="5">
        <f>ROUND(4.02,2)</f>
        <v/>
      </c>
      <c r="BP47" s="3">
        <f>ROUND(7840.0,2)</f>
        <v/>
      </c>
      <c r="BQ47" s="3">
        <f>ROUND(402.0,2)</f>
        <v/>
      </c>
      <c r="BR47" s="3">
        <f>ROUND(0.0,2)</f>
        <v/>
      </c>
      <c r="BS47" s="3">
        <f>ROUND(0.0,2)</f>
        <v/>
      </c>
      <c r="BT47" s="3">
        <f>ROUND(0.0,2)</f>
        <v/>
      </c>
      <c r="BU47" s="3">
        <f>ROUND(0.0,2)</f>
        <v/>
      </c>
      <c r="BV47" s="3">
        <f>ROUND(0.0,2)</f>
        <v/>
      </c>
      <c r="BW47" s="4">
        <f>IFERROR((BQ47/BP47),0)</f>
        <v/>
      </c>
      <c r="BX47" s="4">
        <f>IFERROR(((0+BO11+BO12+BO13+BO14+BO15+BO16+BO17+BO19+BO20+BO21+BO22+BO23+BO24+BO25+BO27+BO28+BO29+BO30+BO31+BO32+BO33+BO35+BO36+BO37+BO38+BO39+BO40+BO41+BO43+BO44+BO45+BO46+BO47)/T2),0)</f>
        <v/>
      </c>
      <c r="BY47" s="5">
        <f>IFERROR(ROUND(BO47/BQ47,2),0)</f>
        <v/>
      </c>
      <c r="BZ47" s="5">
        <f>IFERROR(ROUND(BO47/BR47,2),0)</f>
        <v/>
      </c>
      <c r="CA47" s="2" t="inlineStr">
        <is>
          <t>2023-10-22</t>
        </is>
      </c>
      <c r="CB47" s="5">
        <f>ROUND(0.02,2)</f>
        <v/>
      </c>
      <c r="CC47" s="3">
        <f>ROUND(126.0,2)</f>
        <v/>
      </c>
      <c r="CD47" s="3">
        <f>ROUND(2.0,2)</f>
        <v/>
      </c>
      <c r="CE47" s="3">
        <f>ROUND(0.0,2)</f>
        <v/>
      </c>
      <c r="CF47" s="3">
        <f>ROUND(0.0,2)</f>
        <v/>
      </c>
      <c r="CG47" s="3">
        <f>ROUND(0.0,2)</f>
        <v/>
      </c>
      <c r="CH47" s="3">
        <f>ROUND(0.0,2)</f>
        <v/>
      </c>
      <c r="CI47" s="3">
        <f>ROUND(0.0,2)</f>
        <v/>
      </c>
      <c r="CJ47" s="4">
        <f>IFERROR((CD47/CC47),0)</f>
        <v/>
      </c>
      <c r="CK47" s="4">
        <f>IFERROR(((0+CB11+CB12+CB13+CB14+CB15+CB16+CB17+CB19+CB20+CB21+CB22+CB23+CB24+CB25+CB27+CB28+CB29+CB30+CB31+CB32+CB33+CB35+CB36+CB37+CB38+CB39+CB40+CB41+CB43+CB44+CB45+CB46+CB47)/T2),0)</f>
        <v/>
      </c>
      <c r="CL47" s="5">
        <f>IFERROR(ROUND(CB47/CD47,2),0)</f>
        <v/>
      </c>
      <c r="CM47" s="5">
        <f>IFERROR(ROUND(CB47/CE47,2),0)</f>
        <v/>
      </c>
      <c r="CN47" s="2" t="inlineStr">
        <is>
          <t>2023-10-22</t>
        </is>
      </c>
      <c r="CO47" s="5">
        <f>ROUND(0.22,2)</f>
        <v/>
      </c>
      <c r="CP47" s="3">
        <f>ROUND(330.0,2)</f>
        <v/>
      </c>
      <c r="CQ47" s="3">
        <f>ROUND(22.0,2)</f>
        <v/>
      </c>
      <c r="CR47" s="3">
        <f>ROUND(0.0,2)</f>
        <v/>
      </c>
      <c r="CS47" s="3">
        <f>ROUND(0.0,2)</f>
        <v/>
      </c>
      <c r="CT47" s="3">
        <f>ROUND(0.0,2)</f>
        <v/>
      </c>
      <c r="CU47" s="3">
        <f>ROUND(0.0,2)</f>
        <v/>
      </c>
      <c r="CV47" s="3">
        <f>ROUND(0.0,2)</f>
        <v/>
      </c>
      <c r="CW47" s="4">
        <f>IFERROR((CQ47/CP47),0)</f>
        <v/>
      </c>
      <c r="CX47" s="4">
        <f>IFERROR(((0+CO11+CO12+CO13+CO14+CO15+CO16+CO17+CO19+CO20+CO21+CO22+CO23+CO24+CO25+CO27+CO28+CO29+CO30+CO31+CO32+CO33+CO35+CO36+CO37+CO38+CO39+CO40+CO41+CO43+CO44+CO45+CO46+CO47)/T2),0)</f>
        <v/>
      </c>
      <c r="CY47" s="5">
        <f>IFERROR(ROUND(CO47/CQ47,2),0)</f>
        <v/>
      </c>
      <c r="CZ47" s="5">
        <f>IFERROR(ROUND(CO47/CR47,2),0)</f>
        <v/>
      </c>
      <c r="DA47" s="2" t="inlineStr">
        <is>
          <t>2023-10-22</t>
        </is>
      </c>
      <c r="DB47" s="5">
        <f>ROUND(0.66,2)</f>
        <v/>
      </c>
      <c r="DC47" s="3">
        <f>ROUND(1955.0,2)</f>
        <v/>
      </c>
      <c r="DD47" s="3">
        <f>ROUND(66.0,2)</f>
        <v/>
      </c>
      <c r="DE47" s="3">
        <f>ROUND(0.0,2)</f>
        <v/>
      </c>
      <c r="DF47" s="3">
        <f>ROUND(0.0,2)</f>
        <v/>
      </c>
      <c r="DG47" s="3">
        <f>ROUND(0.0,2)</f>
        <v/>
      </c>
      <c r="DH47" s="3">
        <f>ROUND(0.0,2)</f>
        <v/>
      </c>
      <c r="DI47" s="3">
        <f>ROUND(0.0,2)</f>
        <v/>
      </c>
      <c r="DJ47" s="4">
        <f>IFERROR((DD47/DC47),0)</f>
        <v/>
      </c>
      <c r="DK47" s="4">
        <f>IFERROR(((0+DB11+DB12+DB13+DB14+DB15+DB16+DB17+DB19+DB20+DB21+DB22+DB23+DB24+DB25+DB27+DB28+DB29+DB30+DB31+DB32+DB33+DB35+DB36+DB37+DB38+DB39+DB40+DB41+DB43+DB44+DB45+DB46+DB47)/T2),0)</f>
        <v/>
      </c>
      <c r="DL47" s="5">
        <f>IFERROR(ROUND(DB47/DD47,2),0)</f>
        <v/>
      </c>
      <c r="DM47" s="5">
        <f>IFERROR(ROUND(DB47/DE47,2),0)</f>
        <v/>
      </c>
      <c r="DN47" s="2" t="inlineStr">
        <is>
          <t>2023-10-22</t>
        </is>
      </c>
      <c r="DO47" s="5">
        <f>ROUND(0.6000000000000001,2)</f>
        <v/>
      </c>
      <c r="DP47" s="3">
        <f>ROUND(1418.0,2)</f>
        <v/>
      </c>
      <c r="DQ47" s="3">
        <f>ROUND(60.0,2)</f>
        <v/>
      </c>
      <c r="DR47" s="3">
        <f>ROUND(0.0,2)</f>
        <v/>
      </c>
      <c r="DS47" s="3">
        <f>ROUND(0.0,2)</f>
        <v/>
      </c>
      <c r="DT47" s="3">
        <f>ROUND(0.0,2)</f>
        <v/>
      </c>
      <c r="DU47" s="3">
        <f>ROUND(0.0,2)</f>
        <v/>
      </c>
      <c r="DV47" s="3">
        <f>ROUND(0.0,2)</f>
        <v/>
      </c>
      <c r="DW47" s="4">
        <f>IFERROR((DQ47/DP47),0)</f>
        <v/>
      </c>
      <c r="DX47" s="4">
        <f>IFERROR(((0+DO11+DO12+DO13+DO14+DO15+DO16+DO17+DO19+DO20+DO21+DO22+DO23+DO24+DO25+DO27+DO28+DO29+DO30+DO31+DO32+DO33+DO35+DO36+DO37+DO38+DO39+DO40+DO41+DO43+DO44+DO45+DO46+DO47)/T2),0)</f>
        <v/>
      </c>
      <c r="DY47" s="5">
        <f>IFERROR(ROUND(DO47/DQ47,2),0)</f>
        <v/>
      </c>
      <c r="DZ47" s="5">
        <f>IFERROR(ROUND(DO47/DR47,2),0)</f>
        <v/>
      </c>
      <c r="EA47" s="2" t="inlineStr">
        <is>
          <t>2023-10-22</t>
        </is>
      </c>
      <c r="EB47" s="5">
        <f>ROUND(1.22,2)</f>
        <v/>
      </c>
      <c r="EC47" s="3">
        <f>ROUND(3629.0,2)</f>
        <v/>
      </c>
      <c r="ED47" s="3">
        <f>ROUND(122.0,2)</f>
        <v/>
      </c>
      <c r="EE47" s="3">
        <f>ROUND(0.0,2)</f>
        <v/>
      </c>
      <c r="EF47" s="3">
        <f>ROUND(0.0,2)</f>
        <v/>
      </c>
      <c r="EG47" s="3">
        <f>ROUND(0.0,2)</f>
        <v/>
      </c>
      <c r="EH47" s="3">
        <f>ROUND(0.0,2)</f>
        <v/>
      </c>
      <c r="EI47" s="3">
        <f>ROUND(0.0,2)</f>
        <v/>
      </c>
      <c r="EJ47" s="4">
        <f>IFERROR((ED47/EC47),0)</f>
        <v/>
      </c>
      <c r="EK47" s="4">
        <f>IFERROR(((0+EB11+EB12+EB13+EB14+EB15+EB16+EB17+EB19+EB20+EB21+EB22+EB23+EB24+EB25+EB27+EB28+EB29+EB30+EB31+EB32+EB33+EB35+EB36+EB37+EB38+EB39+EB40+EB41+EB43+EB44+EB45+EB46+EB47)/T2),0)</f>
        <v/>
      </c>
      <c r="EL47" s="5">
        <f>IFERROR(ROUND(EB47/ED47,2),0)</f>
        <v/>
      </c>
      <c r="EM47" s="5">
        <f>IFERROR(ROUND(EB47/EE47,2),0)</f>
        <v/>
      </c>
      <c r="EN47" s="2" t="inlineStr">
        <is>
          <t>2023-10-22</t>
        </is>
      </c>
      <c r="EO47" s="5">
        <f>ROUND(0.73,2)</f>
        <v/>
      </c>
      <c r="EP47" s="3">
        <f>ROUND(867.0,2)</f>
        <v/>
      </c>
      <c r="EQ47" s="3">
        <f>ROUND(73.0,2)</f>
        <v/>
      </c>
      <c r="ER47" s="3">
        <f>ROUND(0.0,2)</f>
        <v/>
      </c>
      <c r="ES47" s="3">
        <f>ROUND(0.0,2)</f>
        <v/>
      </c>
      <c r="ET47" s="3">
        <f>ROUND(0.0,2)</f>
        <v/>
      </c>
      <c r="EU47" s="3">
        <f>ROUND(0.0,2)</f>
        <v/>
      </c>
      <c r="EV47" s="3">
        <f>ROUND(0.0,2)</f>
        <v/>
      </c>
      <c r="EW47" s="4">
        <f>IFERROR((EQ47/EP47),0)</f>
        <v/>
      </c>
      <c r="EX47" s="4">
        <f>IFERROR(((0+EO11+EO12+EO13+EO14+EO15+EO16+EO17+EO19+EO20+EO21+EO22+EO23+EO24+EO25+EO27+EO28+EO29+EO30+EO31+EO32+EO33+EO35+EO36+EO37+EO38+EO39+EO40+EO41+EO43+EO44+EO45+EO46+EO47)/T2),0)</f>
        <v/>
      </c>
      <c r="EY47" s="5">
        <f>IFERROR(ROUND(EO47/EQ47,2),0)</f>
        <v/>
      </c>
      <c r="EZ47" s="5">
        <f>IFERROR(ROUND(EO47/ER47,2),0)</f>
        <v/>
      </c>
      <c r="FA47" s="2" t="inlineStr">
        <is>
          <t>2023-10-22</t>
        </is>
      </c>
      <c r="FB47" s="5">
        <f>ROUND(0.62,2)</f>
        <v/>
      </c>
      <c r="FC47" s="3">
        <f>ROUND(746.0,2)</f>
        <v/>
      </c>
      <c r="FD47" s="3">
        <f>ROUND(62.0,2)</f>
        <v/>
      </c>
      <c r="FE47" s="3">
        <f>ROUND(0.0,2)</f>
        <v/>
      </c>
      <c r="FF47" s="3">
        <f>ROUND(0.0,2)</f>
        <v/>
      </c>
      <c r="FG47" s="3">
        <f>ROUND(0.0,2)</f>
        <v/>
      </c>
      <c r="FH47" s="3">
        <f>ROUND(0.0,2)</f>
        <v/>
      </c>
      <c r="FI47" s="3">
        <f>ROUND(0.0,2)</f>
        <v/>
      </c>
      <c r="FJ47" s="4">
        <f>IFERROR((FD47/FC47),0)</f>
        <v/>
      </c>
      <c r="FK47" s="4">
        <f>IFERROR(((0+FB11+FB12+FB13+FB14+FB15+FB16+FB17+FB19+FB20+FB21+FB22+FB23+FB24+FB25+FB27+FB28+FB29+FB30+FB31+FB32+FB33+FB35+FB36+FB37+FB38+FB39+FB40+FB41+FB43+FB44+FB45+FB46+FB47)/T2),0)</f>
        <v/>
      </c>
      <c r="FL47" s="5">
        <f>IFERROR(ROUND(FB47/FD47,2),0)</f>
        <v/>
      </c>
      <c r="FM47" s="5">
        <f>IFERROR(ROUND(FB47/FE47,2),0)</f>
        <v/>
      </c>
      <c r="FN47" s="2" t="inlineStr">
        <is>
          <t>2023-10-22</t>
        </is>
      </c>
      <c r="FO47" s="5">
        <f>ROUND(0.49000000000000005,2)</f>
        <v/>
      </c>
      <c r="FP47" s="3">
        <f>ROUND(418.0,2)</f>
        <v/>
      </c>
      <c r="FQ47" s="3">
        <f>ROUND(49.0,2)</f>
        <v/>
      </c>
      <c r="FR47" s="3">
        <f>ROUND(0.0,2)</f>
        <v/>
      </c>
      <c r="FS47" s="3">
        <f>ROUND(0.0,2)</f>
        <v/>
      </c>
      <c r="FT47" s="3">
        <f>ROUND(0.0,2)</f>
        <v/>
      </c>
      <c r="FU47" s="3">
        <f>ROUND(0.0,2)</f>
        <v/>
      </c>
      <c r="FV47" s="3">
        <f>ROUND(0.0,2)</f>
        <v/>
      </c>
      <c r="FW47" s="4">
        <f>IFERROR((FQ47/FP47),0)</f>
        <v/>
      </c>
      <c r="FX47" s="4">
        <f>IFERROR(((0+FO11+FO12+FO13+FO14+FO15+FO16+FO17+FO19+FO20+FO21+FO22+FO23+FO24+FO25+FO27+FO28+FO29+FO30+FO31+FO32+FO33+FO35+FO36+FO37+FO38+FO39+FO40+FO41+FO43+FO44+FO45+FO46+FO47)/T2),0)</f>
        <v/>
      </c>
      <c r="FY47" s="5">
        <f>IFERROR(ROUND(FO47/FQ47,2),0)</f>
        <v/>
      </c>
      <c r="FZ47" s="5">
        <f>IFERROR(ROUND(FO47/FR47,2),0)</f>
        <v/>
      </c>
      <c r="GA47" s="2" t="inlineStr">
        <is>
          <t>2023-10-22</t>
        </is>
      </c>
      <c r="GB47" s="5">
        <f>ROUND(0.0,2)</f>
        <v/>
      </c>
      <c r="GC47" s="3">
        <f>ROUND(0.0,2)</f>
        <v/>
      </c>
      <c r="GD47" s="3">
        <f>ROUND(0.0,2)</f>
        <v/>
      </c>
      <c r="GE47" s="3">
        <f>ROUND(0.0,2)</f>
        <v/>
      </c>
      <c r="GF47" s="3">
        <f>ROUND(0.0,2)</f>
        <v/>
      </c>
      <c r="GG47" s="3">
        <f>ROUND(0.0,2)</f>
        <v/>
      </c>
      <c r="GH47" s="3">
        <f>ROUND(0.0,2)</f>
        <v/>
      </c>
      <c r="GI47" s="3">
        <f>ROUND(0.0,2)</f>
        <v/>
      </c>
      <c r="GJ47" s="4">
        <f>IFERROR((GD47/GC47),0)</f>
        <v/>
      </c>
      <c r="GK47" s="4">
        <f>IFERROR(((0+GB11+GB12+GB13+GB14+GB15+GB16+GB17+GB19+GB20+GB21+GB22+GB23+GB24+GB25+GB27+GB28+GB29+GB30+GB31+GB32+GB33+GB35+GB36+GB37+GB38+GB39+GB40+GB41+GB43+GB44+GB45+GB46+GB47)/T2),0)</f>
        <v/>
      </c>
      <c r="GL47" s="5">
        <f>IFERROR(ROUND(GB47/GD47,2),0)</f>
        <v/>
      </c>
      <c r="GM47" s="5">
        <f>IFERROR(ROUND(GB47/GE47,2),0)</f>
        <v/>
      </c>
    </row>
    <row r="48">
      <c r="A48" s="2" t="inlineStr">
        <is>
          <t>2023-10-23</t>
        </is>
      </c>
      <c r="B48" s="5">
        <f>ROUND(14.78,2)</f>
        <v/>
      </c>
      <c r="C48" s="3">
        <f>ROUND(24968.0,2)</f>
        <v/>
      </c>
      <c r="D48" s="3">
        <f>ROUND(1452.0,2)</f>
        <v/>
      </c>
      <c r="E48" s="3">
        <f>ROUND(0.0,2)</f>
        <v/>
      </c>
      <c r="F48" s="3">
        <f>ROUND(0.0,2)</f>
        <v/>
      </c>
      <c r="G48" s="3">
        <f>ROUND(0.0,2)</f>
        <v/>
      </c>
      <c r="H48" s="3">
        <f>ROUND(0.0,2)</f>
        <v/>
      </c>
      <c r="I48" s="3">
        <f>ROUND(0.0,2)</f>
        <v/>
      </c>
      <c r="J48" s="4">
        <f>IFERROR((D48/C48),0)</f>
        <v/>
      </c>
      <c r="K48" s="4">
        <f>IFERROR(((0+B11+B12+B13+B14+B15+B16+B17+B19+B20+B21+B22+B23+B24+B25+B27+B28+B29+B30+B31+B32+B33+B35+B36+B37+B38+B39+B40+B41+B43+B44+B45+B46+B47+B48)/T2),0)</f>
        <v/>
      </c>
      <c r="L48" s="5">
        <f>IFERROR(ROUND(B48/D48,2),0)</f>
        <v/>
      </c>
      <c r="M48" s="5">
        <f>IFERROR(ROUND(B48/E48,2),0)</f>
        <v/>
      </c>
      <c r="N48" s="2" t="inlineStr">
        <is>
          <t>2023-10-23</t>
        </is>
      </c>
      <c r="O48" s="5">
        <f>ROUND(0.23,2)</f>
        <v/>
      </c>
      <c r="P48" s="3">
        <f>ROUND(539.0,2)</f>
        <v/>
      </c>
      <c r="Q48" s="3">
        <f>ROUND(23.0,2)</f>
        <v/>
      </c>
      <c r="R48" s="3">
        <f>ROUND(0.0,2)</f>
        <v/>
      </c>
      <c r="S48" s="3">
        <f>ROUND(0.0,2)</f>
        <v/>
      </c>
      <c r="T48" s="3">
        <f>ROUND(0.0,2)</f>
        <v/>
      </c>
      <c r="U48" s="3">
        <f>ROUND(0.0,2)</f>
        <v/>
      </c>
      <c r="V48" s="3">
        <f>ROUND(0.0,2)</f>
        <v/>
      </c>
      <c r="W48" s="4">
        <f>IFERROR((Q48/P48),0)</f>
        <v/>
      </c>
      <c r="X48" s="4">
        <f>IFERROR(((0+O11+O12+O13+O14+O15+O16+O17+O19+O20+O21+O22+O23+O24+O25+O27+O28+O29+O30+O31+O32+O33+O35+O36+O37+O38+O39+O40+O41+O43+O44+O45+O46+O47+O48)/T2),0)</f>
        <v/>
      </c>
      <c r="Y48" s="5">
        <f>IFERROR(ROUND(O48/Q48,2),0)</f>
        <v/>
      </c>
      <c r="Z48" s="5">
        <f>IFERROR(ROUND(O48/R48,2),0)</f>
        <v/>
      </c>
      <c r="AA48" s="2" t="inlineStr">
        <is>
          <t>2023-10-23</t>
        </is>
      </c>
      <c r="AB48" s="5">
        <f>ROUND(1.54,2)</f>
        <v/>
      </c>
      <c r="AC48" s="3">
        <f>ROUND(3092.0,2)</f>
        <v/>
      </c>
      <c r="AD48" s="3">
        <f>ROUND(154.0,2)</f>
        <v/>
      </c>
      <c r="AE48" s="3">
        <f>ROUND(0.0,2)</f>
        <v/>
      </c>
      <c r="AF48" s="3">
        <f>ROUND(0.0,2)</f>
        <v/>
      </c>
      <c r="AG48" s="3">
        <f>ROUND(0.0,2)</f>
        <v/>
      </c>
      <c r="AH48" s="3">
        <f>ROUND(0.0,2)</f>
        <v/>
      </c>
      <c r="AI48" s="3">
        <f>ROUND(0.0,2)</f>
        <v/>
      </c>
      <c r="AJ48" s="4">
        <f>IFERROR((AD48/AC48),0)</f>
        <v/>
      </c>
      <c r="AK48" s="4">
        <f>IFERROR(((0+AB11+AB12+AB13+AB14+AB15+AB16+AB17+AB19+AB20+AB21+AB22+AB23+AB24+AB25+AB27+AB28+AB29+AB30+AB31+AB32+AB33+AB35+AB36+AB37+AB38+AB39+AB40+AB41+AB43+AB44+AB45+AB46+AB47+AB48)/T2),0)</f>
        <v/>
      </c>
      <c r="AL48" s="5">
        <f>IFERROR(ROUND(AB48/AD48,2),0)</f>
        <v/>
      </c>
      <c r="AM48" s="5">
        <f>IFERROR(ROUND(AB48/AE48,2),0)</f>
        <v/>
      </c>
      <c r="AN48" s="2" t="inlineStr">
        <is>
          <t>2023-10-23</t>
        </is>
      </c>
      <c r="AO48" s="5">
        <f>ROUND(0.08,2)</f>
        <v/>
      </c>
      <c r="AP48" s="3">
        <f>ROUND(330.0,2)</f>
        <v/>
      </c>
      <c r="AQ48" s="3">
        <f>ROUND(8.0,2)</f>
        <v/>
      </c>
      <c r="AR48" s="3">
        <f>ROUND(0.0,2)</f>
        <v/>
      </c>
      <c r="AS48" s="3">
        <f>ROUND(0.0,2)</f>
        <v/>
      </c>
      <c r="AT48" s="3">
        <f>ROUND(0.0,2)</f>
        <v/>
      </c>
      <c r="AU48" s="3">
        <f>ROUND(0.0,2)</f>
        <v/>
      </c>
      <c r="AV48" s="3">
        <f>ROUND(0.0,2)</f>
        <v/>
      </c>
      <c r="AW48" s="4">
        <f>IFERROR((AQ48/AP48),0)</f>
        <v/>
      </c>
      <c r="AX48" s="4">
        <f>IFERROR(((0+AO11+AO12+AO13+AO14+AO15+AO16+AO17+AO19+AO20+AO21+AO22+AO23+AO24+AO25+AO27+AO28+AO29+AO30+AO31+AO32+AO33+AO35+AO36+AO37+AO38+AO39+AO40+AO41+AO43+AO44+AO45+AO46+AO47+AO48)/T2),0)</f>
        <v/>
      </c>
      <c r="AY48" s="5">
        <f>IFERROR(ROUND(AO48/AQ48,2),0)</f>
        <v/>
      </c>
      <c r="AZ48" s="5">
        <f>IFERROR(ROUND(AO48/AR48,2),0)</f>
        <v/>
      </c>
      <c r="BA48" s="2" t="inlineStr">
        <is>
          <t>2023-10-23</t>
        </is>
      </c>
      <c r="BB48" s="5">
        <f>ROUND(2.57,2)</f>
        <v/>
      </c>
      <c r="BC48" s="3">
        <f>ROUND(4127.0,2)</f>
        <v/>
      </c>
      <c r="BD48" s="3">
        <f>ROUND(257.0,2)</f>
        <v/>
      </c>
      <c r="BE48" s="3">
        <f>ROUND(0.0,2)</f>
        <v/>
      </c>
      <c r="BF48" s="3">
        <f>ROUND(0.0,2)</f>
        <v/>
      </c>
      <c r="BG48" s="3">
        <f>ROUND(0.0,2)</f>
        <v/>
      </c>
      <c r="BH48" s="3">
        <f>ROUND(0.0,2)</f>
        <v/>
      </c>
      <c r="BI48" s="3">
        <f>ROUND(0.0,2)</f>
        <v/>
      </c>
      <c r="BJ48" s="4">
        <f>IFERROR((BD48/BC48),0)</f>
        <v/>
      </c>
      <c r="BK48" s="4">
        <f>IFERROR(((0+BB11+BB12+BB13+BB14+BB15+BB16+BB17+BB19+BB20+BB21+BB22+BB23+BB24+BB25+BB27+BB28+BB29+BB30+BB31+BB32+BB33+BB35+BB36+BB37+BB38+BB39+BB40+BB41+BB43+BB44+BB45+BB46+BB47+BB48)/T2),0)</f>
        <v/>
      </c>
      <c r="BL48" s="5">
        <f>IFERROR(ROUND(BB48/BD48,2),0)</f>
        <v/>
      </c>
      <c r="BM48" s="5">
        <f>IFERROR(ROUND(BB48/BE48,2),0)</f>
        <v/>
      </c>
      <c r="BN48" s="2" t="inlineStr">
        <is>
          <t>2023-10-23</t>
        </is>
      </c>
      <c r="BO48" s="5">
        <f>ROUND(4.33,2)</f>
        <v/>
      </c>
      <c r="BP48" s="3">
        <f>ROUND(4568.0,2)</f>
        <v/>
      </c>
      <c r="BQ48" s="3">
        <f>ROUND(432.0,2)</f>
        <v/>
      </c>
      <c r="BR48" s="3">
        <f>ROUND(0.0,2)</f>
        <v/>
      </c>
      <c r="BS48" s="3">
        <f>ROUND(0.0,2)</f>
        <v/>
      </c>
      <c r="BT48" s="3">
        <f>ROUND(0.0,2)</f>
        <v/>
      </c>
      <c r="BU48" s="3">
        <f>ROUND(0.0,2)</f>
        <v/>
      </c>
      <c r="BV48" s="3">
        <f>ROUND(0.0,2)</f>
        <v/>
      </c>
      <c r="BW48" s="4">
        <f>IFERROR((BQ48/BP48),0)</f>
        <v/>
      </c>
      <c r="BX48" s="4">
        <f>IFERROR(((0+BO11+BO12+BO13+BO14+BO15+BO16+BO17+BO19+BO20+BO21+BO22+BO23+BO24+BO25+BO27+BO28+BO29+BO30+BO31+BO32+BO33+BO35+BO36+BO37+BO38+BO39+BO40+BO41+BO43+BO44+BO45+BO46+BO47+BO48)/T2),0)</f>
        <v/>
      </c>
      <c r="BY48" s="5">
        <f>IFERROR(ROUND(BO48/BQ48,2),0)</f>
        <v/>
      </c>
      <c r="BZ48" s="5">
        <f>IFERROR(ROUND(BO48/BR48,2),0)</f>
        <v/>
      </c>
      <c r="CA48" s="2" t="inlineStr">
        <is>
          <t>2023-10-23</t>
        </is>
      </c>
      <c r="CB48" s="5">
        <f>ROUND(0.04,2)</f>
        <v/>
      </c>
      <c r="CC48" s="3">
        <f>ROUND(142.0,2)</f>
        <v/>
      </c>
      <c r="CD48" s="3">
        <f>ROUND(4.0,2)</f>
        <v/>
      </c>
      <c r="CE48" s="3">
        <f>ROUND(0.0,2)</f>
        <v/>
      </c>
      <c r="CF48" s="3">
        <f>ROUND(0.0,2)</f>
        <v/>
      </c>
      <c r="CG48" s="3">
        <f>ROUND(0.0,2)</f>
        <v/>
      </c>
      <c r="CH48" s="3">
        <f>ROUND(0.0,2)</f>
        <v/>
      </c>
      <c r="CI48" s="3">
        <f>ROUND(0.0,2)</f>
        <v/>
      </c>
      <c r="CJ48" s="4">
        <f>IFERROR((CD48/CC48),0)</f>
        <v/>
      </c>
      <c r="CK48" s="4">
        <f>IFERROR(((0+CB11+CB12+CB13+CB14+CB15+CB16+CB17+CB19+CB20+CB21+CB22+CB23+CB24+CB25+CB27+CB28+CB29+CB30+CB31+CB32+CB33+CB35+CB36+CB37+CB38+CB39+CB40+CB41+CB43+CB44+CB45+CB46+CB47+CB48)/T2),0)</f>
        <v/>
      </c>
      <c r="CL48" s="5">
        <f>IFERROR(ROUND(CB48/CD48,2),0)</f>
        <v/>
      </c>
      <c r="CM48" s="5">
        <f>IFERROR(ROUND(CB48/CE48,2),0)</f>
        <v/>
      </c>
      <c r="CN48" s="2" t="inlineStr">
        <is>
          <t>2023-10-23</t>
        </is>
      </c>
      <c r="CO48" s="5">
        <f>ROUND(0.01,2)</f>
        <v/>
      </c>
      <c r="CP48" s="3">
        <f>ROUND(41.0,2)</f>
        <v/>
      </c>
      <c r="CQ48" s="3">
        <f>ROUND(1.0,2)</f>
        <v/>
      </c>
      <c r="CR48" s="3">
        <f>ROUND(0.0,2)</f>
        <v/>
      </c>
      <c r="CS48" s="3">
        <f>ROUND(0.0,2)</f>
        <v/>
      </c>
      <c r="CT48" s="3">
        <f>ROUND(0.0,2)</f>
        <v/>
      </c>
      <c r="CU48" s="3">
        <f>ROUND(0.0,2)</f>
        <v/>
      </c>
      <c r="CV48" s="3">
        <f>ROUND(0.0,2)</f>
        <v/>
      </c>
      <c r="CW48" s="4">
        <f>IFERROR((CQ48/CP48),0)</f>
        <v/>
      </c>
      <c r="CX48" s="4">
        <f>IFERROR(((0+CO11+CO12+CO13+CO14+CO15+CO16+CO17+CO19+CO20+CO21+CO22+CO23+CO24+CO25+CO27+CO28+CO29+CO30+CO31+CO32+CO33+CO35+CO36+CO37+CO38+CO39+CO40+CO41+CO43+CO44+CO45+CO46+CO47+CO48)/T2),0)</f>
        <v/>
      </c>
      <c r="CY48" s="5">
        <f>IFERROR(ROUND(CO48/CQ48,2),0)</f>
        <v/>
      </c>
      <c r="CZ48" s="5">
        <f>IFERROR(ROUND(CO48/CR48,2),0)</f>
        <v/>
      </c>
      <c r="DA48" s="2" t="inlineStr">
        <is>
          <t>2023-10-23</t>
        </is>
      </c>
      <c r="DB48" s="5">
        <f>ROUND(0.56,2)</f>
        <v/>
      </c>
      <c r="DC48" s="3">
        <f>ROUND(1133.0,2)</f>
        <v/>
      </c>
      <c r="DD48" s="3">
        <f>ROUND(55.0,2)</f>
        <v/>
      </c>
      <c r="DE48" s="3">
        <f>ROUND(0.0,2)</f>
        <v/>
      </c>
      <c r="DF48" s="3">
        <f>ROUND(0.0,2)</f>
        <v/>
      </c>
      <c r="DG48" s="3">
        <f>ROUND(0.0,2)</f>
        <v/>
      </c>
      <c r="DH48" s="3">
        <f>ROUND(0.0,2)</f>
        <v/>
      </c>
      <c r="DI48" s="3">
        <f>ROUND(0.0,2)</f>
        <v/>
      </c>
      <c r="DJ48" s="4">
        <f>IFERROR((DD48/DC48),0)</f>
        <v/>
      </c>
      <c r="DK48" s="4">
        <f>IFERROR(((0+DB11+DB12+DB13+DB14+DB15+DB16+DB17+DB19+DB20+DB21+DB22+DB23+DB24+DB25+DB27+DB28+DB29+DB30+DB31+DB32+DB33+DB35+DB36+DB37+DB38+DB39+DB40+DB41+DB43+DB44+DB45+DB46+DB47+DB48)/T2),0)</f>
        <v/>
      </c>
      <c r="DL48" s="5">
        <f>IFERROR(ROUND(DB48/DD48,2),0)</f>
        <v/>
      </c>
      <c r="DM48" s="5">
        <f>IFERROR(ROUND(DB48/DE48,2),0)</f>
        <v/>
      </c>
      <c r="DN48" s="2" t="inlineStr">
        <is>
          <t>2023-10-23</t>
        </is>
      </c>
      <c r="DO48" s="5">
        <f>ROUND(1.19,2)</f>
        <v/>
      </c>
      <c r="DP48" s="3">
        <f>ROUND(2889.0,2)</f>
        <v/>
      </c>
      <c r="DQ48" s="3">
        <f>ROUND(114.0,2)</f>
        <v/>
      </c>
      <c r="DR48" s="3">
        <f>ROUND(0.0,2)</f>
        <v/>
      </c>
      <c r="DS48" s="3">
        <f>ROUND(0.0,2)</f>
        <v/>
      </c>
      <c r="DT48" s="3">
        <f>ROUND(0.0,2)</f>
        <v/>
      </c>
      <c r="DU48" s="3">
        <f>ROUND(0.0,2)</f>
        <v/>
      </c>
      <c r="DV48" s="3">
        <f>ROUND(0.0,2)</f>
        <v/>
      </c>
      <c r="DW48" s="4">
        <f>IFERROR((DQ48/DP48),0)</f>
        <v/>
      </c>
      <c r="DX48" s="4">
        <f>IFERROR(((0+DO11+DO12+DO13+DO14+DO15+DO16+DO17+DO19+DO20+DO21+DO22+DO23+DO24+DO25+DO27+DO28+DO29+DO30+DO31+DO32+DO33+DO35+DO36+DO37+DO38+DO39+DO40+DO41+DO43+DO44+DO45+DO46+DO47+DO48)/T2),0)</f>
        <v/>
      </c>
      <c r="DY48" s="5">
        <f>IFERROR(ROUND(DO48/DQ48,2),0)</f>
        <v/>
      </c>
      <c r="DZ48" s="5">
        <f>IFERROR(ROUND(DO48/DR48,2),0)</f>
        <v/>
      </c>
      <c r="EA48" s="2" t="inlineStr">
        <is>
          <t>2023-10-23</t>
        </is>
      </c>
      <c r="EB48" s="5">
        <f>ROUND(2.63,2)</f>
        <v/>
      </c>
      <c r="EC48" s="3">
        <f>ROUND(6561.0,2)</f>
        <v/>
      </c>
      <c r="ED48" s="3">
        <f>ROUND(258.0,2)</f>
        <v/>
      </c>
      <c r="EE48" s="3">
        <f>ROUND(0.0,2)</f>
        <v/>
      </c>
      <c r="EF48" s="3">
        <f>ROUND(0.0,2)</f>
        <v/>
      </c>
      <c r="EG48" s="3">
        <f>ROUND(0.0,2)</f>
        <v/>
      </c>
      <c r="EH48" s="3">
        <f>ROUND(0.0,2)</f>
        <v/>
      </c>
      <c r="EI48" s="3">
        <f>ROUND(0.0,2)</f>
        <v/>
      </c>
      <c r="EJ48" s="4">
        <f>IFERROR((ED48/EC48),0)</f>
        <v/>
      </c>
      <c r="EK48" s="4">
        <f>IFERROR(((0+EB11+EB12+EB13+EB14+EB15+EB16+EB17+EB19+EB20+EB21+EB22+EB23+EB24+EB25+EB27+EB28+EB29+EB30+EB31+EB32+EB33+EB35+EB36+EB37+EB38+EB39+EB40+EB41+EB43+EB44+EB45+EB46+EB47+EB48)/T2),0)</f>
        <v/>
      </c>
      <c r="EL48" s="5">
        <f>IFERROR(ROUND(EB48/ED48,2),0)</f>
        <v/>
      </c>
      <c r="EM48" s="5">
        <f>IFERROR(ROUND(EB48/EE48,2),0)</f>
        <v/>
      </c>
      <c r="EN48" s="2" t="inlineStr">
        <is>
          <t>2023-10-23</t>
        </is>
      </c>
      <c r="EO48" s="5">
        <f>ROUND(1.24,2)</f>
        <v/>
      </c>
      <c r="EP48" s="3">
        <f>ROUND(1040.0,2)</f>
        <v/>
      </c>
      <c r="EQ48" s="3">
        <f>ROUND(113.0,2)</f>
        <v/>
      </c>
      <c r="ER48" s="3">
        <f>ROUND(0.0,2)</f>
        <v/>
      </c>
      <c r="ES48" s="3">
        <f>ROUND(0.0,2)</f>
        <v/>
      </c>
      <c r="ET48" s="3">
        <f>ROUND(0.0,2)</f>
        <v/>
      </c>
      <c r="EU48" s="3">
        <f>ROUND(0.0,2)</f>
        <v/>
      </c>
      <c r="EV48" s="3">
        <f>ROUND(0.0,2)</f>
        <v/>
      </c>
      <c r="EW48" s="4">
        <f>IFERROR((EQ48/EP48),0)</f>
        <v/>
      </c>
      <c r="EX48" s="4">
        <f>IFERROR(((0+EO11+EO12+EO13+EO14+EO15+EO16+EO17+EO19+EO20+EO21+EO22+EO23+EO24+EO25+EO27+EO28+EO29+EO30+EO31+EO32+EO33+EO35+EO36+EO37+EO38+EO39+EO40+EO41+EO43+EO44+EO45+EO46+EO47+EO48)/T2),0)</f>
        <v/>
      </c>
      <c r="EY48" s="5">
        <f>IFERROR(ROUND(EO48/EQ48,2),0)</f>
        <v/>
      </c>
      <c r="EZ48" s="5">
        <f>IFERROR(ROUND(EO48/ER48,2),0)</f>
        <v/>
      </c>
      <c r="FA48" s="2" t="inlineStr">
        <is>
          <t>2023-10-23</t>
        </is>
      </c>
      <c r="FB48" s="5">
        <f>ROUND(0.21,2)</f>
        <v/>
      </c>
      <c r="FC48" s="3">
        <f>ROUND(278.0,2)</f>
        <v/>
      </c>
      <c r="FD48" s="3">
        <f>ROUND(18.0,2)</f>
        <v/>
      </c>
      <c r="FE48" s="3">
        <f>ROUND(0.0,2)</f>
        <v/>
      </c>
      <c r="FF48" s="3">
        <f>ROUND(0.0,2)</f>
        <v/>
      </c>
      <c r="FG48" s="3">
        <f>ROUND(0.0,2)</f>
        <v/>
      </c>
      <c r="FH48" s="3">
        <f>ROUND(0.0,2)</f>
        <v/>
      </c>
      <c r="FI48" s="3">
        <f>ROUND(0.0,2)</f>
        <v/>
      </c>
      <c r="FJ48" s="4">
        <f>IFERROR((FD48/FC48),0)</f>
        <v/>
      </c>
      <c r="FK48" s="4">
        <f>IFERROR(((0+FB11+FB12+FB13+FB14+FB15+FB16+FB17+FB19+FB20+FB21+FB22+FB23+FB24+FB25+FB27+FB28+FB29+FB30+FB31+FB32+FB33+FB35+FB36+FB37+FB38+FB39+FB40+FB41+FB43+FB44+FB45+FB46+FB47+FB48)/T2),0)</f>
        <v/>
      </c>
      <c r="FL48" s="5">
        <f>IFERROR(ROUND(FB48/FD48,2),0)</f>
        <v/>
      </c>
      <c r="FM48" s="5">
        <f>IFERROR(ROUND(FB48/FE48,2),0)</f>
        <v/>
      </c>
      <c r="FN48" s="2" t="inlineStr">
        <is>
          <t>2023-10-23</t>
        </is>
      </c>
      <c r="FO48" s="5">
        <f>ROUND(0.15000000000000002,2)</f>
        <v/>
      </c>
      <c r="FP48" s="3">
        <f>ROUND(223.0,2)</f>
        <v/>
      </c>
      <c r="FQ48" s="3">
        <f>ROUND(15.0,2)</f>
        <v/>
      </c>
      <c r="FR48" s="3">
        <f>ROUND(0.0,2)</f>
        <v/>
      </c>
      <c r="FS48" s="3">
        <f>ROUND(0.0,2)</f>
        <v/>
      </c>
      <c r="FT48" s="3">
        <f>ROUND(0.0,2)</f>
        <v/>
      </c>
      <c r="FU48" s="3">
        <f>ROUND(0.0,2)</f>
        <v/>
      </c>
      <c r="FV48" s="3">
        <f>ROUND(0.0,2)</f>
        <v/>
      </c>
      <c r="FW48" s="4">
        <f>IFERROR((FQ48/FP48),0)</f>
        <v/>
      </c>
      <c r="FX48" s="4">
        <f>IFERROR(((0+FO11+FO12+FO13+FO14+FO15+FO16+FO17+FO19+FO20+FO21+FO22+FO23+FO24+FO25+FO27+FO28+FO29+FO30+FO31+FO32+FO33+FO35+FO36+FO37+FO38+FO39+FO40+FO41+FO43+FO44+FO45+FO46+FO47+FO48)/T2),0)</f>
        <v/>
      </c>
      <c r="FY48" s="5">
        <f>IFERROR(ROUND(FO48/FQ48,2),0)</f>
        <v/>
      </c>
      <c r="FZ48" s="5">
        <f>IFERROR(ROUND(FO48/FR48,2),0)</f>
        <v/>
      </c>
      <c r="GA48" s="2" t="inlineStr">
        <is>
          <t>2023-10-23</t>
        </is>
      </c>
      <c r="GB48" s="5">
        <f>ROUND(0.0,2)</f>
        <v/>
      </c>
      <c r="GC48" s="3">
        <f>ROUND(5.0,2)</f>
        <v/>
      </c>
      <c r="GD48" s="3">
        <f>ROUND(0.0,2)</f>
        <v/>
      </c>
      <c r="GE48" s="3">
        <f>ROUND(0.0,2)</f>
        <v/>
      </c>
      <c r="GF48" s="3">
        <f>ROUND(0.0,2)</f>
        <v/>
      </c>
      <c r="GG48" s="3">
        <f>ROUND(0.0,2)</f>
        <v/>
      </c>
      <c r="GH48" s="3">
        <f>ROUND(0.0,2)</f>
        <v/>
      </c>
      <c r="GI48" s="3">
        <f>ROUND(0.0,2)</f>
        <v/>
      </c>
      <c r="GJ48" s="4">
        <f>IFERROR((GD48/GC48),0)</f>
        <v/>
      </c>
      <c r="GK48" s="4">
        <f>IFERROR(((0+GB11+GB12+GB13+GB14+GB15+GB16+GB17+GB19+GB20+GB21+GB22+GB23+GB24+GB25+GB27+GB28+GB29+GB30+GB31+GB32+GB33+GB35+GB36+GB37+GB38+GB39+GB40+GB41+GB43+GB44+GB45+GB46+GB47+GB48)/T2),0)</f>
        <v/>
      </c>
      <c r="GL48" s="5">
        <f>IFERROR(ROUND(GB48/GD48,2),0)</f>
        <v/>
      </c>
      <c r="GM48" s="5">
        <f>IFERROR(ROUND(GB48/GE48,2),0)</f>
        <v/>
      </c>
    </row>
    <row r="49">
      <c r="A49" s="2" t="inlineStr">
        <is>
          <t>2023-10-24</t>
        </is>
      </c>
      <c r="B49" s="5">
        <f>ROUND(21.25,2)</f>
        <v/>
      </c>
      <c r="C49" s="3">
        <f>ROUND(38186.0,2)</f>
        <v/>
      </c>
      <c r="D49" s="3">
        <f>ROUND(2082.0,2)</f>
        <v/>
      </c>
      <c r="E49" s="3">
        <f>ROUND(0.0,2)</f>
        <v/>
      </c>
      <c r="F49" s="3">
        <f>ROUND(0.0,2)</f>
        <v/>
      </c>
      <c r="G49" s="3">
        <f>ROUND(0.0,2)</f>
        <v/>
      </c>
      <c r="H49" s="3">
        <f>ROUND(0.0,2)</f>
        <v/>
      </c>
      <c r="I49" s="3">
        <f>ROUND(0.0,2)</f>
        <v/>
      </c>
      <c r="J49" s="4">
        <f>IFERROR((D49/C49),0)</f>
        <v/>
      </c>
      <c r="K49" s="4">
        <f>IFERROR(((0+B11+B12+B13+B14+B15+B16+B17+B19+B20+B21+B22+B23+B24+B25+B27+B28+B29+B30+B31+B32+B33+B35+B36+B37+B38+B39+B40+B41+B43+B44+B45+B46+B47+B48+B49)/T2),0)</f>
        <v/>
      </c>
      <c r="L49" s="5">
        <f>IFERROR(ROUND(B49/D49,2),0)</f>
        <v/>
      </c>
      <c r="M49" s="5">
        <f>IFERROR(ROUND(B49/E49,2),0)</f>
        <v/>
      </c>
      <c r="N49" s="2" t="inlineStr">
        <is>
          <t>2023-10-24</t>
        </is>
      </c>
      <c r="O49" s="5">
        <f>ROUND(0.08,2)</f>
        <v/>
      </c>
      <c r="P49" s="3">
        <f>ROUND(390.0,2)</f>
        <v/>
      </c>
      <c r="Q49" s="3">
        <f>ROUND(8.0,2)</f>
        <v/>
      </c>
      <c r="R49" s="3">
        <f>ROUND(0.0,2)</f>
        <v/>
      </c>
      <c r="S49" s="3">
        <f>ROUND(0.0,2)</f>
        <v/>
      </c>
      <c r="T49" s="3">
        <f>ROUND(0.0,2)</f>
        <v/>
      </c>
      <c r="U49" s="3">
        <f>ROUND(0.0,2)</f>
        <v/>
      </c>
      <c r="V49" s="3">
        <f>ROUND(0.0,2)</f>
        <v/>
      </c>
      <c r="W49" s="4">
        <f>IFERROR((Q49/P49),0)</f>
        <v/>
      </c>
      <c r="X49" s="4">
        <f>IFERROR(((0+O11+O12+O13+O14+O15+O16+O17+O19+O20+O21+O22+O23+O24+O25+O27+O28+O29+O30+O31+O32+O33+O35+O36+O37+O38+O39+O40+O41+O43+O44+O45+O46+O47+O48+O49)/T2),0)</f>
        <v/>
      </c>
      <c r="Y49" s="5">
        <f>IFERROR(ROUND(O49/Q49,2),0)</f>
        <v/>
      </c>
      <c r="Z49" s="5">
        <f>IFERROR(ROUND(O49/R49,2),0)</f>
        <v/>
      </c>
      <c r="AA49" s="2" t="inlineStr">
        <is>
          <t>2023-10-24</t>
        </is>
      </c>
      <c r="AB49" s="5">
        <f>ROUND(7.84,2)</f>
        <v/>
      </c>
      <c r="AC49" s="3">
        <f>ROUND(14642.0,2)</f>
        <v/>
      </c>
      <c r="AD49" s="3">
        <f>ROUND(783.0,2)</f>
        <v/>
      </c>
      <c r="AE49" s="3">
        <f>ROUND(0.0,2)</f>
        <v/>
      </c>
      <c r="AF49" s="3">
        <f>ROUND(0.0,2)</f>
        <v/>
      </c>
      <c r="AG49" s="3">
        <f>ROUND(0.0,2)</f>
        <v/>
      </c>
      <c r="AH49" s="3">
        <f>ROUND(0.0,2)</f>
        <v/>
      </c>
      <c r="AI49" s="3">
        <f>ROUND(0.0,2)</f>
        <v/>
      </c>
      <c r="AJ49" s="4">
        <f>IFERROR((AD49/AC49),0)</f>
        <v/>
      </c>
      <c r="AK49" s="4">
        <f>IFERROR(((0+AB11+AB12+AB13+AB14+AB15+AB16+AB17+AB19+AB20+AB21+AB22+AB23+AB24+AB25+AB27+AB28+AB29+AB30+AB31+AB32+AB33+AB35+AB36+AB37+AB38+AB39+AB40+AB41+AB43+AB44+AB45+AB46+AB47+AB48+AB49)/T2),0)</f>
        <v/>
      </c>
      <c r="AL49" s="5">
        <f>IFERROR(ROUND(AB49/AD49,2),0)</f>
        <v/>
      </c>
      <c r="AM49" s="5">
        <f>IFERROR(ROUND(AB49/AE49,2),0)</f>
        <v/>
      </c>
      <c r="AN49" s="2" t="inlineStr">
        <is>
          <t>2023-10-24</t>
        </is>
      </c>
      <c r="AO49" s="5">
        <f>ROUND(0.13,2)</f>
        <v/>
      </c>
      <c r="AP49" s="3">
        <f>ROUND(200.0,2)</f>
        <v/>
      </c>
      <c r="AQ49" s="3">
        <f>ROUND(13.0,2)</f>
        <v/>
      </c>
      <c r="AR49" s="3">
        <f>ROUND(0.0,2)</f>
        <v/>
      </c>
      <c r="AS49" s="3">
        <f>ROUND(0.0,2)</f>
        <v/>
      </c>
      <c r="AT49" s="3">
        <f>ROUND(0.0,2)</f>
        <v/>
      </c>
      <c r="AU49" s="3">
        <f>ROUND(0.0,2)</f>
        <v/>
      </c>
      <c r="AV49" s="3">
        <f>ROUND(0.0,2)</f>
        <v/>
      </c>
      <c r="AW49" s="4">
        <f>IFERROR((AQ49/AP49),0)</f>
        <v/>
      </c>
      <c r="AX49" s="4">
        <f>IFERROR(((0+AO11+AO12+AO13+AO14+AO15+AO16+AO17+AO19+AO20+AO21+AO22+AO23+AO24+AO25+AO27+AO28+AO29+AO30+AO31+AO32+AO33+AO35+AO36+AO37+AO38+AO39+AO40+AO41+AO43+AO44+AO45+AO46+AO47+AO48+AO49)/T2),0)</f>
        <v/>
      </c>
      <c r="AY49" s="5">
        <f>IFERROR(ROUND(AO49/AQ49,2),0)</f>
        <v/>
      </c>
      <c r="AZ49" s="5">
        <f>IFERROR(ROUND(AO49/AR49,2),0)</f>
        <v/>
      </c>
      <c r="BA49" s="2" t="inlineStr">
        <is>
          <t>2023-10-24</t>
        </is>
      </c>
      <c r="BB49" s="5">
        <f>ROUND(0.25,2)</f>
        <v/>
      </c>
      <c r="BC49" s="3">
        <f>ROUND(667.0,2)</f>
        <v/>
      </c>
      <c r="BD49" s="3">
        <f>ROUND(25.0,2)</f>
        <v/>
      </c>
      <c r="BE49" s="3">
        <f>ROUND(0.0,2)</f>
        <v/>
      </c>
      <c r="BF49" s="3">
        <f>ROUND(0.0,2)</f>
        <v/>
      </c>
      <c r="BG49" s="3">
        <f>ROUND(0.0,2)</f>
        <v/>
      </c>
      <c r="BH49" s="3">
        <f>ROUND(0.0,2)</f>
        <v/>
      </c>
      <c r="BI49" s="3">
        <f>ROUND(0.0,2)</f>
        <v/>
      </c>
      <c r="BJ49" s="4">
        <f>IFERROR((BD49/BC49),0)</f>
        <v/>
      </c>
      <c r="BK49" s="4">
        <f>IFERROR(((0+BB11+BB12+BB13+BB14+BB15+BB16+BB17+BB19+BB20+BB21+BB22+BB23+BB24+BB25+BB27+BB28+BB29+BB30+BB31+BB32+BB33+BB35+BB36+BB37+BB38+BB39+BB40+BB41+BB43+BB44+BB45+BB46+BB47+BB48+BB49)/T2),0)</f>
        <v/>
      </c>
      <c r="BL49" s="5">
        <f>IFERROR(ROUND(BB49/BD49,2),0)</f>
        <v/>
      </c>
      <c r="BM49" s="5">
        <f>IFERROR(ROUND(BB49/BE49,2),0)</f>
        <v/>
      </c>
      <c r="BN49" s="2" t="inlineStr">
        <is>
          <t>2023-10-24</t>
        </is>
      </c>
      <c r="BO49" s="5">
        <f>ROUND(7.03,2)</f>
        <v/>
      </c>
      <c r="BP49" s="3">
        <f>ROUND(9995.0,2)</f>
        <v/>
      </c>
      <c r="BQ49" s="3">
        <f>ROUND(700.0,2)</f>
        <v/>
      </c>
      <c r="BR49" s="3">
        <f>ROUND(0.0,2)</f>
        <v/>
      </c>
      <c r="BS49" s="3">
        <f>ROUND(0.0,2)</f>
        <v/>
      </c>
      <c r="BT49" s="3">
        <f>ROUND(0.0,2)</f>
        <v/>
      </c>
      <c r="BU49" s="3">
        <f>ROUND(0.0,2)</f>
        <v/>
      </c>
      <c r="BV49" s="3">
        <f>ROUND(0.0,2)</f>
        <v/>
      </c>
      <c r="BW49" s="4">
        <f>IFERROR((BQ49/BP49),0)</f>
        <v/>
      </c>
      <c r="BX49" s="4">
        <f>IFERROR(((0+BO11+BO12+BO13+BO14+BO15+BO16+BO17+BO19+BO20+BO21+BO22+BO23+BO24+BO25+BO27+BO28+BO29+BO30+BO31+BO32+BO33+BO35+BO36+BO37+BO38+BO39+BO40+BO41+BO43+BO44+BO45+BO46+BO47+BO48+BO49)/T2),0)</f>
        <v/>
      </c>
      <c r="BY49" s="5">
        <f>IFERROR(ROUND(BO49/BQ49,2),0)</f>
        <v/>
      </c>
      <c r="BZ49" s="5">
        <f>IFERROR(ROUND(BO49/BR49,2),0)</f>
        <v/>
      </c>
      <c r="CA49" s="2" t="inlineStr">
        <is>
          <t>2023-10-24</t>
        </is>
      </c>
      <c r="CB49" s="5">
        <f>ROUND(0.04,2)</f>
        <v/>
      </c>
      <c r="CC49" s="3">
        <f>ROUND(50.0,2)</f>
        <v/>
      </c>
      <c r="CD49" s="3">
        <f>ROUND(4.0,2)</f>
        <v/>
      </c>
      <c r="CE49" s="3">
        <f>ROUND(0.0,2)</f>
        <v/>
      </c>
      <c r="CF49" s="3">
        <f>ROUND(0.0,2)</f>
        <v/>
      </c>
      <c r="CG49" s="3">
        <f>ROUND(0.0,2)</f>
        <v/>
      </c>
      <c r="CH49" s="3">
        <f>ROUND(0.0,2)</f>
        <v/>
      </c>
      <c r="CI49" s="3">
        <f>ROUND(0.0,2)</f>
        <v/>
      </c>
      <c r="CJ49" s="4">
        <f>IFERROR((CD49/CC49),0)</f>
        <v/>
      </c>
      <c r="CK49" s="4">
        <f>IFERROR(((0+CB11+CB12+CB13+CB14+CB15+CB16+CB17+CB19+CB20+CB21+CB22+CB23+CB24+CB25+CB27+CB28+CB29+CB30+CB31+CB32+CB33+CB35+CB36+CB37+CB38+CB39+CB40+CB41+CB43+CB44+CB45+CB46+CB47+CB48+CB49)/T2),0)</f>
        <v/>
      </c>
      <c r="CL49" s="5">
        <f>IFERROR(ROUND(CB49/CD49,2),0)</f>
        <v/>
      </c>
      <c r="CM49" s="5">
        <f>IFERROR(ROUND(CB49/CE49,2),0)</f>
        <v/>
      </c>
      <c r="CN49" s="2" t="inlineStr">
        <is>
          <t>2023-10-24</t>
        </is>
      </c>
      <c r="CO49" s="5">
        <f>ROUND(0.09,2)</f>
        <v/>
      </c>
      <c r="CP49" s="3">
        <f>ROUND(62.0,2)</f>
        <v/>
      </c>
      <c r="CQ49" s="3">
        <f>ROUND(9.0,2)</f>
        <v/>
      </c>
      <c r="CR49" s="3">
        <f>ROUND(0.0,2)</f>
        <v/>
      </c>
      <c r="CS49" s="3">
        <f>ROUND(0.0,2)</f>
        <v/>
      </c>
      <c r="CT49" s="3">
        <f>ROUND(0.0,2)</f>
        <v/>
      </c>
      <c r="CU49" s="3">
        <f>ROUND(0.0,2)</f>
        <v/>
      </c>
      <c r="CV49" s="3">
        <f>ROUND(0.0,2)</f>
        <v/>
      </c>
      <c r="CW49" s="4">
        <f>IFERROR((CQ49/CP49),0)</f>
        <v/>
      </c>
      <c r="CX49" s="4">
        <f>IFERROR(((0+CO11+CO12+CO13+CO14+CO15+CO16+CO17+CO19+CO20+CO21+CO22+CO23+CO24+CO25+CO27+CO28+CO29+CO30+CO31+CO32+CO33+CO35+CO36+CO37+CO38+CO39+CO40+CO41+CO43+CO44+CO45+CO46+CO47+CO48+CO49)/T2),0)</f>
        <v/>
      </c>
      <c r="CY49" s="5">
        <f>IFERROR(ROUND(CO49/CQ49,2),0)</f>
        <v/>
      </c>
      <c r="CZ49" s="5">
        <f>IFERROR(ROUND(CO49/CR49,2),0)</f>
        <v/>
      </c>
      <c r="DA49" s="2" t="inlineStr">
        <is>
          <t>2023-10-24</t>
        </is>
      </c>
      <c r="DB49" s="5">
        <f>ROUND(0.3,2)</f>
        <v/>
      </c>
      <c r="DC49" s="3">
        <f>ROUND(1201.0,2)</f>
        <v/>
      </c>
      <c r="DD49" s="3">
        <f>ROUND(30.0,2)</f>
        <v/>
      </c>
      <c r="DE49" s="3">
        <f>ROUND(0.0,2)</f>
        <v/>
      </c>
      <c r="DF49" s="3">
        <f>ROUND(0.0,2)</f>
        <v/>
      </c>
      <c r="DG49" s="3">
        <f>ROUND(0.0,2)</f>
        <v/>
      </c>
      <c r="DH49" s="3">
        <f>ROUND(0.0,2)</f>
        <v/>
      </c>
      <c r="DI49" s="3">
        <f>ROUND(0.0,2)</f>
        <v/>
      </c>
      <c r="DJ49" s="4">
        <f>IFERROR((DD49/DC49),0)</f>
        <v/>
      </c>
      <c r="DK49" s="4">
        <f>IFERROR(((0+DB11+DB12+DB13+DB14+DB15+DB16+DB17+DB19+DB20+DB21+DB22+DB23+DB24+DB25+DB27+DB28+DB29+DB30+DB31+DB32+DB33+DB35+DB36+DB37+DB38+DB39+DB40+DB41+DB43+DB44+DB45+DB46+DB47+DB48+DB49)/T2),0)</f>
        <v/>
      </c>
      <c r="DL49" s="5">
        <f>IFERROR(ROUND(DB49/DD49,2),0)</f>
        <v/>
      </c>
      <c r="DM49" s="5">
        <f>IFERROR(ROUND(DB49/DE49,2),0)</f>
        <v/>
      </c>
      <c r="DN49" s="2" t="inlineStr">
        <is>
          <t>2023-10-24</t>
        </is>
      </c>
      <c r="DO49" s="5">
        <f>ROUND(0.0,2)</f>
        <v/>
      </c>
      <c r="DP49" s="3">
        <f>ROUND(135.0,2)</f>
        <v/>
      </c>
      <c r="DQ49" s="3">
        <f>ROUND(0.0,2)</f>
        <v/>
      </c>
      <c r="DR49" s="3">
        <f>ROUND(0.0,2)</f>
        <v/>
      </c>
      <c r="DS49" s="3">
        <f>ROUND(0.0,2)</f>
        <v/>
      </c>
      <c r="DT49" s="3">
        <f>ROUND(0.0,2)</f>
        <v/>
      </c>
      <c r="DU49" s="3">
        <f>ROUND(0.0,2)</f>
        <v/>
      </c>
      <c r="DV49" s="3">
        <f>ROUND(0.0,2)</f>
        <v/>
      </c>
      <c r="DW49" s="4">
        <f>IFERROR((DQ49/DP49),0)</f>
        <v/>
      </c>
      <c r="DX49" s="4">
        <f>IFERROR(((0+DO11+DO12+DO13+DO14+DO15+DO16+DO17+DO19+DO20+DO21+DO22+DO23+DO24+DO25+DO27+DO28+DO29+DO30+DO31+DO32+DO33+DO35+DO36+DO37+DO38+DO39+DO40+DO41+DO43+DO44+DO45+DO46+DO47+DO48+DO49)/T2),0)</f>
        <v/>
      </c>
      <c r="DY49" s="5">
        <f>IFERROR(ROUND(DO49/DQ49,2),0)</f>
        <v/>
      </c>
      <c r="DZ49" s="5">
        <f>IFERROR(ROUND(DO49/DR49,2),0)</f>
        <v/>
      </c>
      <c r="EA49" s="2" t="inlineStr">
        <is>
          <t>2023-10-24</t>
        </is>
      </c>
      <c r="EB49" s="5">
        <f>ROUND(3.4,2)</f>
        <v/>
      </c>
      <c r="EC49" s="3">
        <f>ROUND(8296.0,2)</f>
        <v/>
      </c>
      <c r="ED49" s="3">
        <f>ROUND(321.0,2)</f>
        <v/>
      </c>
      <c r="EE49" s="3">
        <f>ROUND(0.0,2)</f>
        <v/>
      </c>
      <c r="EF49" s="3">
        <f>ROUND(0.0,2)</f>
        <v/>
      </c>
      <c r="EG49" s="3">
        <f>ROUND(0.0,2)</f>
        <v/>
      </c>
      <c r="EH49" s="3">
        <f>ROUND(0.0,2)</f>
        <v/>
      </c>
      <c r="EI49" s="3">
        <f>ROUND(0.0,2)</f>
        <v/>
      </c>
      <c r="EJ49" s="4">
        <f>IFERROR((ED49/EC49),0)</f>
        <v/>
      </c>
      <c r="EK49" s="4">
        <f>IFERROR(((0+EB11+EB12+EB13+EB14+EB15+EB16+EB17+EB19+EB20+EB21+EB22+EB23+EB24+EB25+EB27+EB28+EB29+EB30+EB31+EB32+EB33+EB35+EB36+EB37+EB38+EB39+EB40+EB41+EB43+EB44+EB45+EB46+EB47+EB48+EB49)/T2),0)</f>
        <v/>
      </c>
      <c r="EL49" s="5">
        <f>IFERROR(ROUND(EB49/ED49,2),0)</f>
        <v/>
      </c>
      <c r="EM49" s="5">
        <f>IFERROR(ROUND(EB49/EE49,2),0)</f>
        <v/>
      </c>
      <c r="EN49" s="2" t="inlineStr">
        <is>
          <t>2023-10-24</t>
        </is>
      </c>
      <c r="EO49" s="5">
        <f>ROUND(1.8099999999999998,2)</f>
        <v/>
      </c>
      <c r="EP49" s="3">
        <f>ROUND(2150.0,2)</f>
        <v/>
      </c>
      <c r="EQ49" s="3">
        <f>ROUND(164.0,2)</f>
        <v/>
      </c>
      <c r="ER49" s="3">
        <f>ROUND(0.0,2)</f>
        <v/>
      </c>
      <c r="ES49" s="3">
        <f>ROUND(0.0,2)</f>
        <v/>
      </c>
      <c r="ET49" s="3">
        <f>ROUND(0.0,2)</f>
        <v/>
      </c>
      <c r="EU49" s="3">
        <f>ROUND(0.0,2)</f>
        <v/>
      </c>
      <c r="EV49" s="3">
        <f>ROUND(0.0,2)</f>
        <v/>
      </c>
      <c r="EW49" s="4">
        <f>IFERROR((EQ49/EP49),0)</f>
        <v/>
      </c>
      <c r="EX49" s="4">
        <f>IFERROR(((0+EO11+EO12+EO13+EO14+EO15+EO16+EO17+EO19+EO20+EO21+EO22+EO23+EO24+EO25+EO27+EO28+EO29+EO30+EO31+EO32+EO33+EO35+EO36+EO37+EO38+EO39+EO40+EO41+EO43+EO44+EO45+EO46+EO47+EO48+EO49)/T2),0)</f>
        <v/>
      </c>
      <c r="EY49" s="5">
        <f>IFERROR(ROUND(EO49/EQ49,2),0)</f>
        <v/>
      </c>
      <c r="EZ49" s="5">
        <f>IFERROR(ROUND(EO49/ER49,2),0)</f>
        <v/>
      </c>
      <c r="FA49" s="2" t="inlineStr">
        <is>
          <t>2023-10-24</t>
        </is>
      </c>
      <c r="FB49" s="5">
        <f>ROUND(0.1,2)</f>
        <v/>
      </c>
      <c r="FC49" s="3">
        <f>ROUND(272.0,2)</f>
        <v/>
      </c>
      <c r="FD49" s="3">
        <f>ROUND(8.0,2)</f>
        <v/>
      </c>
      <c r="FE49" s="3">
        <f>ROUND(0.0,2)</f>
        <v/>
      </c>
      <c r="FF49" s="3">
        <f>ROUND(0.0,2)</f>
        <v/>
      </c>
      <c r="FG49" s="3">
        <f>ROUND(0.0,2)</f>
        <v/>
      </c>
      <c r="FH49" s="3">
        <f>ROUND(0.0,2)</f>
        <v/>
      </c>
      <c r="FI49" s="3">
        <f>ROUND(0.0,2)</f>
        <v/>
      </c>
      <c r="FJ49" s="4">
        <f>IFERROR((FD49/FC49),0)</f>
        <v/>
      </c>
      <c r="FK49" s="4">
        <f>IFERROR(((0+FB11+FB12+FB13+FB14+FB15+FB16+FB17+FB19+FB20+FB21+FB22+FB23+FB24+FB25+FB27+FB28+FB29+FB30+FB31+FB32+FB33+FB35+FB36+FB37+FB38+FB39+FB40+FB41+FB43+FB44+FB45+FB46+FB47+FB48+FB49)/T2),0)</f>
        <v/>
      </c>
      <c r="FL49" s="5">
        <f>IFERROR(ROUND(FB49/FD49,2),0)</f>
        <v/>
      </c>
      <c r="FM49" s="5">
        <f>IFERROR(ROUND(FB49/FE49,2),0)</f>
        <v/>
      </c>
      <c r="FN49" s="2" t="inlineStr">
        <is>
          <t>2023-10-24</t>
        </is>
      </c>
      <c r="FO49" s="5">
        <f>ROUND(0.18,2)</f>
        <v/>
      </c>
      <c r="FP49" s="3">
        <f>ROUND(124.0,2)</f>
        <v/>
      </c>
      <c r="FQ49" s="3">
        <f>ROUND(17.0,2)</f>
        <v/>
      </c>
      <c r="FR49" s="3">
        <f>ROUND(0.0,2)</f>
        <v/>
      </c>
      <c r="FS49" s="3">
        <f>ROUND(0.0,2)</f>
        <v/>
      </c>
      <c r="FT49" s="3">
        <f>ROUND(0.0,2)</f>
        <v/>
      </c>
      <c r="FU49" s="3">
        <f>ROUND(0.0,2)</f>
        <v/>
      </c>
      <c r="FV49" s="3">
        <f>ROUND(0.0,2)</f>
        <v/>
      </c>
      <c r="FW49" s="4">
        <f>IFERROR((FQ49/FP49),0)</f>
        <v/>
      </c>
      <c r="FX49" s="4">
        <f>IFERROR(((0+FO11+FO12+FO13+FO14+FO15+FO16+FO17+FO19+FO20+FO21+FO22+FO23+FO24+FO25+FO27+FO28+FO29+FO30+FO31+FO32+FO33+FO35+FO36+FO37+FO38+FO39+FO40+FO41+FO43+FO44+FO45+FO46+FO47+FO48+FO49)/T2),0)</f>
        <v/>
      </c>
      <c r="FY49" s="5">
        <f>IFERROR(ROUND(FO49/FQ49,2),0)</f>
        <v/>
      </c>
      <c r="FZ49" s="5">
        <f>IFERROR(ROUND(FO49/FR49,2),0)</f>
        <v/>
      </c>
      <c r="GA49" s="2" t="inlineStr">
        <is>
          <t>2023-10-24</t>
        </is>
      </c>
      <c r="GB49" s="5">
        <f>ROUND(0.0,2)</f>
        <v/>
      </c>
      <c r="GC49" s="3">
        <f>ROUND(2.0,2)</f>
        <v/>
      </c>
      <c r="GD49" s="3">
        <f>ROUND(0.0,2)</f>
        <v/>
      </c>
      <c r="GE49" s="3">
        <f>ROUND(0.0,2)</f>
        <v/>
      </c>
      <c r="GF49" s="3">
        <f>ROUND(0.0,2)</f>
        <v/>
      </c>
      <c r="GG49" s="3">
        <f>ROUND(0.0,2)</f>
        <v/>
      </c>
      <c r="GH49" s="3">
        <f>ROUND(0.0,2)</f>
        <v/>
      </c>
      <c r="GI49" s="3">
        <f>ROUND(0.0,2)</f>
        <v/>
      </c>
      <c r="GJ49" s="4">
        <f>IFERROR((GD49/GC49),0)</f>
        <v/>
      </c>
      <c r="GK49" s="4">
        <f>IFERROR(((0+GB11+GB12+GB13+GB14+GB15+GB16+GB17+GB19+GB20+GB21+GB22+GB23+GB24+GB25+GB27+GB28+GB29+GB30+GB31+GB32+GB33+GB35+GB36+GB37+GB38+GB39+GB40+GB41+GB43+GB44+GB45+GB46+GB47+GB48+GB49)/T2),0)</f>
        <v/>
      </c>
      <c r="GL49" s="5">
        <f>IFERROR(ROUND(GB49/GD49,2),0)</f>
        <v/>
      </c>
      <c r="GM49" s="5">
        <f>IFERROR(ROUND(GB49/GE49,2),0)</f>
        <v/>
      </c>
    </row>
    <row r="50">
      <c r="A50" s="2" t="inlineStr">
        <is>
          <t>5 Weekly Total</t>
        </is>
      </c>
      <c r="B50" s="5">
        <f>ROUND(56.51,2)</f>
        <v/>
      </c>
      <c r="C50" s="3">
        <f>ROUND(103324.0,2)</f>
        <v/>
      </c>
      <c r="D50" s="3">
        <f>ROUND(5582.0,2)</f>
        <v/>
      </c>
      <c r="E50" s="3">
        <f>ROUND(0.0,2)</f>
        <v/>
      </c>
      <c r="F50" s="3">
        <f>ROUND(0.0,2)</f>
        <v/>
      </c>
      <c r="G50" s="3">
        <f>ROUND(0.0,2)</f>
        <v/>
      </c>
      <c r="H50" s="3">
        <f>ROUND(0.0,2)</f>
        <v/>
      </c>
      <c r="I50" s="3">
        <f>ROUND(0.0,2)</f>
        <v/>
      </c>
      <c r="J50" s="4">
        <f>IFERROR((D50/C50),0)</f>
        <v/>
      </c>
      <c r="K50" s="4">
        <f>IFERROR(((0+B11+B12+B13+B14+B15+B16+B17+B19+B20+B21+B22+B23+B24+B25+B27+B28+B29+B30+B31+B32+B33+B35+B36+B37+B38+B39+B40+B41+B43+B44+B45+B46+B47+B48+B49)/T2),0)</f>
        <v/>
      </c>
      <c r="L50" s="5">
        <f>IFERROR(ROUND(B50/D50,2),0)</f>
        <v/>
      </c>
      <c r="M50" s="5">
        <f>IFERROR(ROUND(B50/E50,2),0)</f>
        <v/>
      </c>
      <c r="N50" s="2" t="inlineStr">
        <is>
          <t>5 Weekly Total</t>
        </is>
      </c>
      <c r="O50" s="5">
        <f>ROUND(0.9,2)</f>
        <v/>
      </c>
      <c r="P50" s="3">
        <f>ROUND(2614.0,2)</f>
        <v/>
      </c>
      <c r="Q50" s="3">
        <f>ROUND(90.0,2)</f>
        <v/>
      </c>
      <c r="R50" s="3">
        <f>ROUND(0.0,2)</f>
        <v/>
      </c>
      <c r="S50" s="3">
        <f>ROUND(0.0,2)</f>
        <v/>
      </c>
      <c r="T50" s="3">
        <f>ROUND(0.0,2)</f>
        <v/>
      </c>
      <c r="U50" s="3">
        <f>ROUND(0.0,2)</f>
        <v/>
      </c>
      <c r="V50" s="3">
        <f>ROUND(0.0,2)</f>
        <v/>
      </c>
      <c r="W50" s="4">
        <f>IFERROR((Q50/P50),0)</f>
        <v/>
      </c>
      <c r="X50" s="4">
        <f>IFERROR(((0+O11+O12+O13+O14+O15+O16+O17+O19+O20+O21+O22+O23+O24+O25+O27+O28+O29+O30+O31+O32+O33+O35+O36+O37+O38+O39+O40+O41+O43+O44+O45+O46+O47+O48+O49)/T2),0)</f>
        <v/>
      </c>
      <c r="Y50" s="5">
        <f>IFERROR(ROUND(O50/Q50,2),0)</f>
        <v/>
      </c>
      <c r="Z50" s="5">
        <f>IFERROR(ROUND(O50/R50,2),0)</f>
        <v/>
      </c>
      <c r="AA50" s="2" t="inlineStr">
        <is>
          <t>5 Weekly Total</t>
        </is>
      </c>
      <c r="AB50" s="5">
        <f>ROUND(12.62,2)</f>
        <v/>
      </c>
      <c r="AC50" s="3">
        <f>ROUND(23728.0,2)</f>
        <v/>
      </c>
      <c r="AD50" s="3">
        <f>ROUND(1261.0,2)</f>
        <v/>
      </c>
      <c r="AE50" s="3">
        <f>ROUND(0.0,2)</f>
        <v/>
      </c>
      <c r="AF50" s="3">
        <f>ROUND(0.0,2)</f>
        <v/>
      </c>
      <c r="AG50" s="3">
        <f>ROUND(0.0,2)</f>
        <v/>
      </c>
      <c r="AH50" s="3">
        <f>ROUND(0.0,2)</f>
        <v/>
      </c>
      <c r="AI50" s="3">
        <f>ROUND(0.0,2)</f>
        <v/>
      </c>
      <c r="AJ50" s="4">
        <f>IFERROR((AD50/AC50),0)</f>
        <v/>
      </c>
      <c r="AK50" s="4">
        <f>IFERROR(((0+AB11+AB12+AB13+AB14+AB15+AB16+AB17+AB19+AB20+AB21+AB22+AB23+AB24+AB25+AB27+AB28+AB29+AB30+AB31+AB32+AB33+AB35+AB36+AB37+AB38+AB39+AB40+AB41+AB43+AB44+AB45+AB46+AB47+AB48+AB49)/T2),0)</f>
        <v/>
      </c>
      <c r="AL50" s="5">
        <f>IFERROR(ROUND(AB50/AD50,2),0)</f>
        <v/>
      </c>
      <c r="AM50" s="5">
        <f>IFERROR(ROUND(AB50/AE50,2),0)</f>
        <v/>
      </c>
      <c r="AN50" s="2" t="inlineStr">
        <is>
          <t>5 Weekly Total</t>
        </is>
      </c>
      <c r="AO50" s="5">
        <f>ROUND(0.48,2)</f>
        <v/>
      </c>
      <c r="AP50" s="3">
        <f>ROUND(1136.0,2)</f>
        <v/>
      </c>
      <c r="AQ50" s="3">
        <f>ROUND(48.0,2)</f>
        <v/>
      </c>
      <c r="AR50" s="3">
        <f>ROUND(0.0,2)</f>
        <v/>
      </c>
      <c r="AS50" s="3">
        <f>ROUND(0.0,2)</f>
        <v/>
      </c>
      <c r="AT50" s="3">
        <f>ROUND(0.0,2)</f>
        <v/>
      </c>
      <c r="AU50" s="3">
        <f>ROUND(0.0,2)</f>
        <v/>
      </c>
      <c r="AV50" s="3">
        <f>ROUND(0.0,2)</f>
        <v/>
      </c>
      <c r="AW50" s="4">
        <f>IFERROR((AQ50/AP50),0)</f>
        <v/>
      </c>
      <c r="AX50" s="4">
        <f>IFERROR(((0+AO11+AO12+AO13+AO14+AO15+AO16+AO17+AO19+AO20+AO21+AO22+AO23+AO24+AO25+AO27+AO28+AO29+AO30+AO31+AO32+AO33+AO35+AO36+AO37+AO38+AO39+AO40+AO41+AO43+AO44+AO45+AO46+AO47+AO48+AO49)/T2),0)</f>
        <v/>
      </c>
      <c r="AY50" s="5">
        <f>IFERROR(ROUND(AO50/AQ50,2),0)</f>
        <v/>
      </c>
      <c r="AZ50" s="5">
        <f>IFERROR(ROUND(AO50/AR50,2),0)</f>
        <v/>
      </c>
      <c r="BA50" s="2" t="inlineStr">
        <is>
          <t>5 Weekly Total</t>
        </is>
      </c>
      <c r="BB50" s="5">
        <f>ROUND(4.56,2)</f>
        <v/>
      </c>
      <c r="BC50" s="3">
        <f>ROUND(7457.0,2)</f>
        <v/>
      </c>
      <c r="BD50" s="3">
        <f>ROUND(456.0,2)</f>
        <v/>
      </c>
      <c r="BE50" s="3">
        <f>ROUND(0.0,2)</f>
        <v/>
      </c>
      <c r="BF50" s="3">
        <f>ROUND(0.0,2)</f>
        <v/>
      </c>
      <c r="BG50" s="3">
        <f>ROUND(0.0,2)</f>
        <v/>
      </c>
      <c r="BH50" s="3">
        <f>ROUND(0.0,2)</f>
        <v/>
      </c>
      <c r="BI50" s="3">
        <f>ROUND(0.0,2)</f>
        <v/>
      </c>
      <c r="BJ50" s="4">
        <f>IFERROR((BD50/BC50),0)</f>
        <v/>
      </c>
      <c r="BK50" s="4">
        <f>IFERROR(((0+BB11+BB12+BB13+BB14+BB15+BB16+BB17+BB19+BB20+BB21+BB22+BB23+BB24+BB25+BB27+BB28+BB29+BB30+BB31+BB32+BB33+BB35+BB36+BB37+BB38+BB39+BB40+BB41+BB43+BB44+BB45+BB46+BB47+BB48+BB49)/T2),0)</f>
        <v/>
      </c>
      <c r="BL50" s="5">
        <f>IFERROR(ROUND(BB50/BD50,2),0)</f>
        <v/>
      </c>
      <c r="BM50" s="5">
        <f>IFERROR(ROUND(BB50/BE50,2),0)</f>
        <v/>
      </c>
      <c r="BN50" s="2" t="inlineStr">
        <is>
          <t>5 Weekly Total</t>
        </is>
      </c>
      <c r="BO50" s="5">
        <f>ROUND(16.33,2)</f>
        <v/>
      </c>
      <c r="BP50" s="3">
        <f>ROUND(24530.0,2)</f>
        <v/>
      </c>
      <c r="BQ50" s="3">
        <f>ROUND(1629.0,2)</f>
        <v/>
      </c>
      <c r="BR50" s="3">
        <f>ROUND(0.0,2)</f>
        <v/>
      </c>
      <c r="BS50" s="3">
        <f>ROUND(0.0,2)</f>
        <v/>
      </c>
      <c r="BT50" s="3">
        <f>ROUND(0.0,2)</f>
        <v/>
      </c>
      <c r="BU50" s="3">
        <f>ROUND(0.0,2)</f>
        <v/>
      </c>
      <c r="BV50" s="3">
        <f>ROUND(0.0,2)</f>
        <v/>
      </c>
      <c r="BW50" s="4">
        <f>IFERROR((BQ50/BP50),0)</f>
        <v/>
      </c>
      <c r="BX50" s="4">
        <f>IFERROR(((0+BO11+BO12+BO13+BO14+BO15+BO16+BO17+BO19+BO20+BO21+BO22+BO23+BO24+BO25+BO27+BO28+BO29+BO30+BO31+BO32+BO33+BO35+BO36+BO37+BO38+BO39+BO40+BO41+BO43+BO44+BO45+BO46+BO47+BO48+BO49)/T2),0)</f>
        <v/>
      </c>
      <c r="BY50" s="5">
        <f>IFERROR(ROUND(BO50/BQ50,2),0)</f>
        <v/>
      </c>
      <c r="BZ50" s="5">
        <f>IFERROR(ROUND(BO50/BR50,2),0)</f>
        <v/>
      </c>
      <c r="CA50" s="2" t="inlineStr">
        <is>
          <t>5 Weekly Total</t>
        </is>
      </c>
      <c r="CB50" s="5">
        <f>ROUND(0.14,2)</f>
        <v/>
      </c>
      <c r="CC50" s="3">
        <f>ROUND(504.0,2)</f>
        <v/>
      </c>
      <c r="CD50" s="3">
        <f>ROUND(14.0,2)</f>
        <v/>
      </c>
      <c r="CE50" s="3">
        <f>ROUND(0.0,2)</f>
        <v/>
      </c>
      <c r="CF50" s="3">
        <f>ROUND(0.0,2)</f>
        <v/>
      </c>
      <c r="CG50" s="3">
        <f>ROUND(0.0,2)</f>
        <v/>
      </c>
      <c r="CH50" s="3">
        <f>ROUND(0.0,2)</f>
        <v/>
      </c>
      <c r="CI50" s="3">
        <f>ROUND(0.0,2)</f>
        <v/>
      </c>
      <c r="CJ50" s="4">
        <f>IFERROR((CD50/CC50),0)</f>
        <v/>
      </c>
      <c r="CK50" s="4">
        <f>IFERROR(((0+CB11+CB12+CB13+CB14+CB15+CB16+CB17+CB19+CB20+CB21+CB22+CB23+CB24+CB25+CB27+CB28+CB29+CB30+CB31+CB32+CB33+CB35+CB36+CB37+CB38+CB39+CB40+CB41+CB43+CB44+CB45+CB46+CB47+CB48+CB49)/T2),0)</f>
        <v/>
      </c>
      <c r="CL50" s="5">
        <f>IFERROR(ROUND(CB50/CD50,2),0)</f>
        <v/>
      </c>
      <c r="CM50" s="5">
        <f>IFERROR(ROUND(CB50/CE50,2),0)</f>
        <v/>
      </c>
      <c r="CN50" s="2" t="inlineStr">
        <is>
          <t>5 Weekly Total</t>
        </is>
      </c>
      <c r="CO50" s="5">
        <f>ROUND(0.37,2)</f>
        <v/>
      </c>
      <c r="CP50" s="3">
        <f>ROUND(524.0,2)</f>
        <v/>
      </c>
      <c r="CQ50" s="3">
        <f>ROUND(37.0,2)</f>
        <v/>
      </c>
      <c r="CR50" s="3">
        <f>ROUND(0.0,2)</f>
        <v/>
      </c>
      <c r="CS50" s="3">
        <f>ROUND(0.0,2)</f>
        <v/>
      </c>
      <c r="CT50" s="3">
        <f>ROUND(0.0,2)</f>
        <v/>
      </c>
      <c r="CU50" s="3">
        <f>ROUND(0.0,2)</f>
        <v/>
      </c>
      <c r="CV50" s="3">
        <f>ROUND(0.0,2)</f>
        <v/>
      </c>
      <c r="CW50" s="4">
        <f>IFERROR((CQ50/CP50),0)</f>
        <v/>
      </c>
      <c r="CX50" s="4">
        <f>IFERROR(((0+CO11+CO12+CO13+CO14+CO15+CO16+CO17+CO19+CO20+CO21+CO22+CO23+CO24+CO25+CO27+CO28+CO29+CO30+CO31+CO32+CO33+CO35+CO36+CO37+CO38+CO39+CO40+CO41+CO43+CO44+CO45+CO46+CO47+CO48+CO49)/T2),0)</f>
        <v/>
      </c>
      <c r="CY50" s="5">
        <f>IFERROR(ROUND(CO50/CQ50,2),0)</f>
        <v/>
      </c>
      <c r="CZ50" s="5">
        <f>IFERROR(ROUND(CO50/CR50,2),0)</f>
        <v/>
      </c>
      <c r="DA50" s="2" t="inlineStr">
        <is>
          <t>5 Weekly Total</t>
        </is>
      </c>
      <c r="DB50" s="5">
        <f>ROUND(2.25,2)</f>
        <v/>
      </c>
      <c r="DC50" s="3">
        <f>ROUND(5601.0,2)</f>
        <v/>
      </c>
      <c r="DD50" s="3">
        <f>ROUND(224.0,2)</f>
        <v/>
      </c>
      <c r="DE50" s="3">
        <f>ROUND(0.0,2)</f>
        <v/>
      </c>
      <c r="DF50" s="3">
        <f>ROUND(0.0,2)</f>
        <v/>
      </c>
      <c r="DG50" s="3">
        <f>ROUND(0.0,2)</f>
        <v/>
      </c>
      <c r="DH50" s="3">
        <f>ROUND(0.0,2)</f>
        <v/>
      </c>
      <c r="DI50" s="3">
        <f>ROUND(0.0,2)</f>
        <v/>
      </c>
      <c r="DJ50" s="4">
        <f>IFERROR((DD50/DC50),0)</f>
        <v/>
      </c>
      <c r="DK50" s="4">
        <f>IFERROR(((0+DB11+DB12+DB13+DB14+DB15+DB16+DB17+DB19+DB20+DB21+DB22+DB23+DB24+DB25+DB27+DB28+DB29+DB30+DB31+DB32+DB33+DB35+DB36+DB37+DB38+DB39+DB40+DB41+DB43+DB44+DB45+DB46+DB47+DB48+DB49)/T2),0)</f>
        <v/>
      </c>
      <c r="DL50" s="5">
        <f>IFERROR(ROUND(DB50/DD50,2),0)</f>
        <v/>
      </c>
      <c r="DM50" s="5">
        <f>IFERROR(ROUND(DB50/DE50,2),0)</f>
        <v/>
      </c>
      <c r="DN50" s="2" t="inlineStr">
        <is>
          <t>5 Weekly Total</t>
        </is>
      </c>
      <c r="DO50" s="5">
        <f>ROUND(2.07,2)</f>
        <v/>
      </c>
      <c r="DP50" s="3">
        <f>ROUND(5013.0,2)</f>
        <v/>
      </c>
      <c r="DQ50" s="3">
        <f>ROUND(202.0,2)</f>
        <v/>
      </c>
      <c r="DR50" s="3">
        <f>ROUND(0.0,2)</f>
        <v/>
      </c>
      <c r="DS50" s="3">
        <f>ROUND(0.0,2)</f>
        <v/>
      </c>
      <c r="DT50" s="3">
        <f>ROUND(0.0,2)</f>
        <v/>
      </c>
      <c r="DU50" s="3">
        <f>ROUND(0.0,2)</f>
        <v/>
      </c>
      <c r="DV50" s="3">
        <f>ROUND(0.0,2)</f>
        <v/>
      </c>
      <c r="DW50" s="4">
        <f>IFERROR((DQ50/DP50),0)</f>
        <v/>
      </c>
      <c r="DX50" s="4">
        <f>IFERROR(((0+DO11+DO12+DO13+DO14+DO15+DO16+DO17+DO19+DO20+DO21+DO22+DO23+DO24+DO25+DO27+DO28+DO29+DO30+DO31+DO32+DO33+DO35+DO36+DO37+DO38+DO39+DO40+DO41+DO43+DO44+DO45+DO46+DO47+DO48+DO49)/T2),0)</f>
        <v/>
      </c>
      <c r="DY50" s="5">
        <f>IFERROR(ROUND(DO50/DQ50,2),0)</f>
        <v/>
      </c>
      <c r="DZ50" s="5">
        <f>IFERROR(ROUND(DO50/DR50,2),0)</f>
        <v/>
      </c>
      <c r="EA50" s="2" t="inlineStr">
        <is>
          <t>5 Weekly Total</t>
        </is>
      </c>
      <c r="EB50" s="5">
        <f>ROUND(8.81,2)</f>
        <v/>
      </c>
      <c r="EC50" s="3">
        <f>ROUND(23379.0,2)</f>
        <v/>
      </c>
      <c r="ED50" s="3">
        <f>ROUND(857.0,2)</f>
        <v/>
      </c>
      <c r="EE50" s="3">
        <f>ROUND(0.0,2)</f>
        <v/>
      </c>
      <c r="EF50" s="3">
        <f>ROUND(0.0,2)</f>
        <v/>
      </c>
      <c r="EG50" s="3">
        <f>ROUND(0.0,2)</f>
        <v/>
      </c>
      <c r="EH50" s="3">
        <f>ROUND(0.0,2)</f>
        <v/>
      </c>
      <c r="EI50" s="3">
        <f>ROUND(0.0,2)</f>
        <v/>
      </c>
      <c r="EJ50" s="4">
        <f>IFERROR((ED50/EC50),0)</f>
        <v/>
      </c>
      <c r="EK50" s="4">
        <f>IFERROR(((0+EB11+EB12+EB13+EB14+EB15+EB16+EB17+EB19+EB20+EB21+EB22+EB23+EB24+EB25+EB27+EB28+EB29+EB30+EB31+EB32+EB33+EB35+EB36+EB37+EB38+EB39+EB40+EB41+EB43+EB44+EB45+EB46+EB47+EB48+EB49)/T2),0)</f>
        <v/>
      </c>
      <c r="EL50" s="5">
        <f>IFERROR(ROUND(EB50/ED50,2),0)</f>
        <v/>
      </c>
      <c r="EM50" s="5">
        <f>IFERROR(ROUND(EB50/EE50,2),0)</f>
        <v/>
      </c>
      <c r="EN50" s="2" t="inlineStr">
        <is>
          <t>5 Weekly Total</t>
        </is>
      </c>
      <c r="EO50" s="5">
        <f>ROUND(4.57,2)</f>
        <v/>
      </c>
      <c r="EP50" s="3">
        <f>ROUND(4867.0,2)</f>
        <v/>
      </c>
      <c r="EQ50" s="3">
        <f>ROUND(429.0,2)</f>
        <v/>
      </c>
      <c r="ER50" s="3">
        <f>ROUND(0.0,2)</f>
        <v/>
      </c>
      <c r="ES50" s="3">
        <f>ROUND(0.0,2)</f>
        <v/>
      </c>
      <c r="ET50" s="3">
        <f>ROUND(0.0,2)</f>
        <v/>
      </c>
      <c r="EU50" s="3">
        <f>ROUND(0.0,2)</f>
        <v/>
      </c>
      <c r="EV50" s="3">
        <f>ROUND(0.0,2)</f>
        <v/>
      </c>
      <c r="EW50" s="4">
        <f>IFERROR((EQ50/EP50),0)</f>
        <v/>
      </c>
      <c r="EX50" s="4">
        <f>IFERROR(((0+EO11+EO12+EO13+EO14+EO15+EO16+EO17+EO19+EO20+EO21+EO22+EO23+EO24+EO25+EO27+EO28+EO29+EO30+EO31+EO32+EO33+EO35+EO36+EO37+EO38+EO39+EO40+EO41+EO43+EO44+EO45+EO46+EO47+EO48+EO49)/T2),0)</f>
        <v/>
      </c>
      <c r="EY50" s="5">
        <f>IFERROR(ROUND(EO50/EQ50,2),0)</f>
        <v/>
      </c>
      <c r="EZ50" s="5">
        <f>IFERROR(ROUND(EO50/ER50,2),0)</f>
        <v/>
      </c>
      <c r="FA50" s="2" t="inlineStr">
        <is>
          <t>5 Weekly Total</t>
        </is>
      </c>
      <c r="FB50" s="5">
        <f>ROUND(1.67,2)</f>
        <v/>
      </c>
      <c r="FC50" s="3">
        <f>ROUND(2435.0,2)</f>
        <v/>
      </c>
      <c r="FD50" s="3">
        <f>ROUND(162.0,2)</f>
        <v/>
      </c>
      <c r="FE50" s="3">
        <f>ROUND(0.0,2)</f>
        <v/>
      </c>
      <c r="FF50" s="3">
        <f>ROUND(0.0,2)</f>
        <v/>
      </c>
      <c r="FG50" s="3">
        <f>ROUND(0.0,2)</f>
        <v/>
      </c>
      <c r="FH50" s="3">
        <f>ROUND(0.0,2)</f>
        <v/>
      </c>
      <c r="FI50" s="3">
        <f>ROUND(0.0,2)</f>
        <v/>
      </c>
      <c r="FJ50" s="4">
        <f>IFERROR((FD50/FC50),0)</f>
        <v/>
      </c>
      <c r="FK50" s="4">
        <f>IFERROR(((0+FB11+FB12+FB13+FB14+FB15+FB16+FB17+FB19+FB20+FB21+FB22+FB23+FB24+FB25+FB27+FB28+FB29+FB30+FB31+FB32+FB33+FB35+FB36+FB37+FB38+FB39+FB40+FB41+FB43+FB44+FB45+FB46+FB47+FB48+FB49)/T2),0)</f>
        <v/>
      </c>
      <c r="FL50" s="5">
        <f>IFERROR(ROUND(FB50/FD50,2),0)</f>
        <v/>
      </c>
      <c r="FM50" s="5">
        <f>IFERROR(ROUND(FB50/FE50,2),0)</f>
        <v/>
      </c>
      <c r="FN50" s="2" t="inlineStr">
        <is>
          <t>5 Weekly Total</t>
        </is>
      </c>
      <c r="FO50" s="5">
        <f>ROUND(1.74,2)</f>
        <v/>
      </c>
      <c r="FP50" s="3">
        <f>ROUND(1529.0,2)</f>
        <v/>
      </c>
      <c r="FQ50" s="3">
        <f>ROUND(173.0,2)</f>
        <v/>
      </c>
      <c r="FR50" s="3">
        <f>ROUND(0.0,2)</f>
        <v/>
      </c>
      <c r="FS50" s="3">
        <f>ROUND(0.0,2)</f>
        <v/>
      </c>
      <c r="FT50" s="3">
        <f>ROUND(0.0,2)</f>
        <v/>
      </c>
      <c r="FU50" s="3">
        <f>ROUND(0.0,2)</f>
        <v/>
      </c>
      <c r="FV50" s="3">
        <f>ROUND(0.0,2)</f>
        <v/>
      </c>
      <c r="FW50" s="4">
        <f>IFERROR((FQ50/FP50),0)</f>
        <v/>
      </c>
      <c r="FX50" s="4">
        <f>IFERROR(((0+FO11+FO12+FO13+FO14+FO15+FO16+FO17+FO19+FO20+FO21+FO22+FO23+FO24+FO25+FO27+FO28+FO29+FO30+FO31+FO32+FO33+FO35+FO36+FO37+FO38+FO39+FO40+FO41+FO43+FO44+FO45+FO46+FO47+FO48+FO49)/T2),0)</f>
        <v/>
      </c>
      <c r="FY50" s="5">
        <f>IFERROR(ROUND(FO50/FQ50,2),0)</f>
        <v/>
      </c>
      <c r="FZ50" s="5">
        <f>IFERROR(ROUND(FO50/FR50,2),0)</f>
        <v/>
      </c>
      <c r="GA50" s="2" t="inlineStr">
        <is>
          <t>5 Weekly Total</t>
        </is>
      </c>
      <c r="GB50" s="5">
        <f>ROUND(0.0,2)</f>
        <v/>
      </c>
      <c r="GC50" s="3">
        <f>ROUND(7.0,2)</f>
        <v/>
      </c>
      <c r="GD50" s="3">
        <f>ROUND(0.0,2)</f>
        <v/>
      </c>
      <c r="GE50" s="3">
        <f>ROUND(0.0,2)</f>
        <v/>
      </c>
      <c r="GF50" s="3">
        <f>ROUND(0.0,2)</f>
        <v/>
      </c>
      <c r="GG50" s="3">
        <f>ROUND(0.0,2)</f>
        <v/>
      </c>
      <c r="GH50" s="3">
        <f>ROUND(0.0,2)</f>
        <v/>
      </c>
      <c r="GI50" s="3">
        <f>ROUND(0.0,2)</f>
        <v/>
      </c>
      <c r="GJ50" s="4">
        <f>IFERROR((GD50/GC50),0)</f>
        <v/>
      </c>
      <c r="GK50" s="4">
        <f>IFERROR(((0+GB11+GB12+GB13+GB14+GB15+GB16+GB17+GB19+GB20+GB21+GB22+GB23+GB24+GB25+GB27+GB28+GB29+GB30+GB31+GB32+GB33+GB35+GB36+GB37+GB38+GB39+GB40+GB41+GB43+GB44+GB45+GB46+GB47+GB48+GB49)/T2),0)</f>
        <v/>
      </c>
      <c r="GL50" s="5">
        <f>IFERROR(ROUND(GB50/GD50,2),0)</f>
        <v/>
      </c>
      <c r="GM50" s="5">
        <f>IFERROR(ROUND(GB50/GE50,2),0)</f>
        <v/>
      </c>
    </row>
    <row r="51">
      <c r="A51" s="2" t="inlineStr">
        <is>
          <t>2023-10-25</t>
        </is>
      </c>
      <c r="B51" s="5">
        <f>ROUND(27.19,2)</f>
        <v/>
      </c>
      <c r="C51" s="3">
        <f>ROUND(46944.0,2)</f>
        <v/>
      </c>
      <c r="D51" s="3">
        <f>ROUND(2680.0,2)</f>
        <v/>
      </c>
      <c r="E51" s="3">
        <f>ROUND(0.0,2)</f>
        <v/>
      </c>
      <c r="F51" s="3">
        <f>ROUND(0.0,2)</f>
        <v/>
      </c>
      <c r="G51" s="3">
        <f>ROUND(0.0,2)</f>
        <v/>
      </c>
      <c r="H51" s="3">
        <f>ROUND(0.0,2)</f>
        <v/>
      </c>
      <c r="I51" s="3">
        <f>ROUND(0.0,2)</f>
        <v/>
      </c>
      <c r="J51" s="4">
        <f>IFERROR((D51/C51),0)</f>
        <v/>
      </c>
      <c r="K51" s="4">
        <f>IFERROR(((0+B11+B12+B13+B14+B15+B16+B17+B19+B20+B21+B22+B23+B24+B25+B27+B28+B29+B30+B31+B32+B33+B35+B36+B37+B38+B39+B40+B41+B43+B44+B45+B46+B47+B48+B49+B51)/T2),0)</f>
        <v/>
      </c>
      <c r="L51" s="5">
        <f>IFERROR(ROUND(B51/D51,2),0)</f>
        <v/>
      </c>
      <c r="M51" s="5">
        <f>IFERROR(ROUND(B51/E51,2),0)</f>
        <v/>
      </c>
      <c r="N51" s="2" t="inlineStr">
        <is>
          <t>2023-10-25</t>
        </is>
      </c>
      <c r="O51" s="5">
        <f>ROUND(0.12,2)</f>
        <v/>
      </c>
      <c r="P51" s="3">
        <f>ROUND(473.0,2)</f>
        <v/>
      </c>
      <c r="Q51" s="3">
        <f>ROUND(11.0,2)</f>
        <v/>
      </c>
      <c r="R51" s="3">
        <f>ROUND(0.0,2)</f>
        <v/>
      </c>
      <c r="S51" s="3">
        <f>ROUND(0.0,2)</f>
        <v/>
      </c>
      <c r="T51" s="3">
        <f>ROUND(0.0,2)</f>
        <v/>
      </c>
      <c r="U51" s="3">
        <f>ROUND(0.0,2)</f>
        <v/>
      </c>
      <c r="V51" s="3">
        <f>ROUND(0.0,2)</f>
        <v/>
      </c>
      <c r="W51" s="4">
        <f>IFERROR((Q51/P51),0)</f>
        <v/>
      </c>
      <c r="X51" s="4">
        <f>IFERROR(((0+O11+O12+O13+O14+O15+O16+O17+O19+O20+O21+O22+O23+O24+O25+O27+O28+O29+O30+O31+O32+O33+O35+O36+O37+O38+O39+O40+O41+O43+O44+O45+O46+O47+O48+O49+O51)/T2),0)</f>
        <v/>
      </c>
      <c r="Y51" s="5">
        <f>IFERROR(ROUND(O51/Q51,2),0)</f>
        <v/>
      </c>
      <c r="Z51" s="5">
        <f>IFERROR(ROUND(O51/R51,2),0)</f>
        <v/>
      </c>
      <c r="AA51" s="2" t="inlineStr">
        <is>
          <t>2023-10-25</t>
        </is>
      </c>
      <c r="AB51" s="5">
        <f>ROUND(10.92,2)</f>
        <v/>
      </c>
      <c r="AC51" s="3">
        <f>ROUND(16949.0,2)</f>
        <v/>
      </c>
      <c r="AD51" s="3">
        <f>ROUND(1091.0,2)</f>
        <v/>
      </c>
      <c r="AE51" s="3">
        <f>ROUND(0.0,2)</f>
        <v/>
      </c>
      <c r="AF51" s="3">
        <f>ROUND(0.0,2)</f>
        <v/>
      </c>
      <c r="AG51" s="3">
        <f>ROUND(0.0,2)</f>
        <v/>
      </c>
      <c r="AH51" s="3">
        <f>ROUND(0.0,2)</f>
        <v/>
      </c>
      <c r="AI51" s="3">
        <f>ROUND(0.0,2)</f>
        <v/>
      </c>
      <c r="AJ51" s="4">
        <f>IFERROR((AD51/AC51),0)</f>
        <v/>
      </c>
      <c r="AK51" s="4">
        <f>IFERROR(((0+AB11+AB12+AB13+AB14+AB15+AB16+AB17+AB19+AB20+AB21+AB22+AB23+AB24+AB25+AB27+AB28+AB29+AB30+AB31+AB32+AB33+AB35+AB36+AB37+AB38+AB39+AB40+AB41+AB43+AB44+AB45+AB46+AB47+AB48+AB49+AB51)/T2),0)</f>
        <v/>
      </c>
      <c r="AL51" s="5">
        <f>IFERROR(ROUND(AB51/AD51,2),0)</f>
        <v/>
      </c>
      <c r="AM51" s="5">
        <f>IFERROR(ROUND(AB51/AE51,2),0)</f>
        <v/>
      </c>
      <c r="AN51" s="2" t="inlineStr">
        <is>
          <t>2023-10-25</t>
        </is>
      </c>
      <c r="AO51" s="5">
        <f>ROUND(0.07,2)</f>
        <v/>
      </c>
      <c r="AP51" s="3">
        <f>ROUND(187.0,2)</f>
        <v/>
      </c>
      <c r="AQ51" s="3">
        <f>ROUND(7.0,2)</f>
        <v/>
      </c>
      <c r="AR51" s="3">
        <f>ROUND(0.0,2)</f>
        <v/>
      </c>
      <c r="AS51" s="3">
        <f>ROUND(0.0,2)</f>
        <v/>
      </c>
      <c r="AT51" s="3">
        <f>ROUND(0.0,2)</f>
        <v/>
      </c>
      <c r="AU51" s="3">
        <f>ROUND(0.0,2)</f>
        <v/>
      </c>
      <c r="AV51" s="3">
        <f>ROUND(0.0,2)</f>
        <v/>
      </c>
      <c r="AW51" s="4">
        <f>IFERROR((AQ51/AP51),0)</f>
        <v/>
      </c>
      <c r="AX51" s="4">
        <f>IFERROR(((0+AO11+AO12+AO13+AO14+AO15+AO16+AO17+AO19+AO20+AO21+AO22+AO23+AO24+AO25+AO27+AO28+AO29+AO30+AO31+AO32+AO33+AO35+AO36+AO37+AO38+AO39+AO40+AO41+AO43+AO44+AO45+AO46+AO47+AO48+AO49+AO51)/T2),0)</f>
        <v/>
      </c>
      <c r="AY51" s="5">
        <f>IFERROR(ROUND(AO51/AQ51,2),0)</f>
        <v/>
      </c>
      <c r="AZ51" s="5">
        <f>IFERROR(ROUND(AO51/AR51,2),0)</f>
        <v/>
      </c>
      <c r="BA51" s="2" t="inlineStr">
        <is>
          <t>2023-10-25</t>
        </is>
      </c>
      <c r="BB51" s="5">
        <f>ROUND(1.53,2)</f>
        <v/>
      </c>
      <c r="BC51" s="3">
        <f>ROUND(2466.0,2)</f>
        <v/>
      </c>
      <c r="BD51" s="3">
        <f>ROUND(153.0,2)</f>
        <v/>
      </c>
      <c r="BE51" s="3">
        <f>ROUND(0.0,2)</f>
        <v/>
      </c>
      <c r="BF51" s="3">
        <f>ROUND(0.0,2)</f>
        <v/>
      </c>
      <c r="BG51" s="3">
        <f>ROUND(0.0,2)</f>
        <v/>
      </c>
      <c r="BH51" s="3">
        <f>ROUND(0.0,2)</f>
        <v/>
      </c>
      <c r="BI51" s="3">
        <f>ROUND(0.0,2)</f>
        <v/>
      </c>
      <c r="BJ51" s="4">
        <f>IFERROR((BD51/BC51),0)</f>
        <v/>
      </c>
      <c r="BK51" s="4">
        <f>IFERROR(((0+BB11+BB12+BB13+BB14+BB15+BB16+BB17+BB19+BB20+BB21+BB22+BB23+BB24+BB25+BB27+BB28+BB29+BB30+BB31+BB32+BB33+BB35+BB36+BB37+BB38+BB39+BB40+BB41+BB43+BB44+BB45+BB46+BB47+BB48+BB49+BB51)/T2),0)</f>
        <v/>
      </c>
      <c r="BL51" s="5">
        <f>IFERROR(ROUND(BB51/BD51,2),0)</f>
        <v/>
      </c>
      <c r="BM51" s="5">
        <f>IFERROR(ROUND(BB51/BE51,2),0)</f>
        <v/>
      </c>
      <c r="BN51" s="2" t="inlineStr">
        <is>
          <t>2023-10-25</t>
        </is>
      </c>
      <c r="BO51" s="5">
        <f>ROUND(6.12,2)</f>
        <v/>
      </c>
      <c r="BP51" s="3">
        <f>ROUND(6254.0,2)</f>
        <v/>
      </c>
      <c r="BQ51" s="3">
        <f>ROUND(609.0,2)</f>
        <v/>
      </c>
      <c r="BR51" s="3">
        <f>ROUND(0.0,2)</f>
        <v/>
      </c>
      <c r="BS51" s="3">
        <f>ROUND(0.0,2)</f>
        <v/>
      </c>
      <c r="BT51" s="3">
        <f>ROUND(0.0,2)</f>
        <v/>
      </c>
      <c r="BU51" s="3">
        <f>ROUND(0.0,2)</f>
        <v/>
      </c>
      <c r="BV51" s="3">
        <f>ROUND(0.0,2)</f>
        <v/>
      </c>
      <c r="BW51" s="4">
        <f>IFERROR((BQ51/BP51),0)</f>
        <v/>
      </c>
      <c r="BX51" s="4">
        <f>IFERROR(((0+BO11+BO12+BO13+BO14+BO15+BO16+BO17+BO19+BO20+BO21+BO22+BO23+BO24+BO25+BO27+BO28+BO29+BO30+BO31+BO32+BO33+BO35+BO36+BO37+BO38+BO39+BO40+BO41+BO43+BO44+BO45+BO46+BO47+BO48+BO49+BO51)/T2),0)</f>
        <v/>
      </c>
      <c r="BY51" s="5">
        <f>IFERROR(ROUND(BO51/BQ51,2),0)</f>
        <v/>
      </c>
      <c r="BZ51" s="5">
        <f>IFERROR(ROUND(BO51/BR51,2),0)</f>
        <v/>
      </c>
      <c r="CA51" s="2" t="inlineStr">
        <is>
          <t>2023-10-25</t>
        </is>
      </c>
      <c r="CB51" s="5">
        <f>ROUND(0.01,2)</f>
        <v/>
      </c>
      <c r="CC51" s="3">
        <f>ROUND(59.0,2)</f>
        <v/>
      </c>
      <c r="CD51" s="3">
        <f>ROUND(1.0,2)</f>
        <v/>
      </c>
      <c r="CE51" s="3">
        <f>ROUND(0.0,2)</f>
        <v/>
      </c>
      <c r="CF51" s="3">
        <f>ROUND(0.0,2)</f>
        <v/>
      </c>
      <c r="CG51" s="3">
        <f>ROUND(0.0,2)</f>
        <v/>
      </c>
      <c r="CH51" s="3">
        <f>ROUND(0.0,2)</f>
        <v/>
      </c>
      <c r="CI51" s="3">
        <f>ROUND(0.0,2)</f>
        <v/>
      </c>
      <c r="CJ51" s="4">
        <f>IFERROR((CD51/CC51),0)</f>
        <v/>
      </c>
      <c r="CK51" s="4">
        <f>IFERROR(((0+CB11+CB12+CB13+CB14+CB15+CB16+CB17+CB19+CB20+CB21+CB22+CB23+CB24+CB25+CB27+CB28+CB29+CB30+CB31+CB32+CB33+CB35+CB36+CB37+CB38+CB39+CB40+CB41+CB43+CB44+CB45+CB46+CB47+CB48+CB49+CB51)/T2),0)</f>
        <v/>
      </c>
      <c r="CL51" s="5">
        <f>IFERROR(ROUND(CB51/CD51,2),0)</f>
        <v/>
      </c>
      <c r="CM51" s="5">
        <f>IFERROR(ROUND(CB51/CE51,2),0)</f>
        <v/>
      </c>
      <c r="CN51" s="2" t="inlineStr">
        <is>
          <t>2023-10-25</t>
        </is>
      </c>
      <c r="CO51" s="5">
        <f>ROUND(0.01,2)</f>
        <v/>
      </c>
      <c r="CP51" s="3">
        <f>ROUND(44.0,2)</f>
        <v/>
      </c>
      <c r="CQ51" s="3">
        <f>ROUND(1.0,2)</f>
        <v/>
      </c>
      <c r="CR51" s="3">
        <f>ROUND(0.0,2)</f>
        <v/>
      </c>
      <c r="CS51" s="3">
        <f>ROUND(0.0,2)</f>
        <v/>
      </c>
      <c r="CT51" s="3">
        <f>ROUND(0.0,2)</f>
        <v/>
      </c>
      <c r="CU51" s="3">
        <f>ROUND(0.0,2)</f>
        <v/>
      </c>
      <c r="CV51" s="3">
        <f>ROUND(0.0,2)</f>
        <v/>
      </c>
      <c r="CW51" s="4">
        <f>IFERROR((CQ51/CP51),0)</f>
        <v/>
      </c>
      <c r="CX51" s="4">
        <f>IFERROR(((0+CO11+CO12+CO13+CO14+CO15+CO16+CO17+CO19+CO20+CO21+CO22+CO23+CO24+CO25+CO27+CO28+CO29+CO30+CO31+CO32+CO33+CO35+CO36+CO37+CO38+CO39+CO40+CO41+CO43+CO44+CO45+CO46+CO47+CO48+CO49+CO51)/T2),0)</f>
        <v/>
      </c>
      <c r="CY51" s="5">
        <f>IFERROR(ROUND(CO51/CQ51,2),0)</f>
        <v/>
      </c>
      <c r="CZ51" s="5">
        <f>IFERROR(ROUND(CO51/CR51,2),0)</f>
        <v/>
      </c>
      <c r="DA51" s="2" t="inlineStr">
        <is>
          <t>2023-10-25</t>
        </is>
      </c>
      <c r="DB51" s="5">
        <f>ROUND(0.06,2)</f>
        <v/>
      </c>
      <c r="DC51" s="3">
        <f>ROUND(190.0,2)</f>
        <v/>
      </c>
      <c r="DD51" s="3">
        <f>ROUND(5.0,2)</f>
        <v/>
      </c>
      <c r="DE51" s="3">
        <f>ROUND(0.0,2)</f>
        <v/>
      </c>
      <c r="DF51" s="3">
        <f>ROUND(0.0,2)</f>
        <v/>
      </c>
      <c r="DG51" s="3">
        <f>ROUND(0.0,2)</f>
        <v/>
      </c>
      <c r="DH51" s="3">
        <f>ROUND(0.0,2)</f>
        <v/>
      </c>
      <c r="DI51" s="3">
        <f>ROUND(0.0,2)</f>
        <v/>
      </c>
      <c r="DJ51" s="4">
        <f>IFERROR((DD51/DC51),0)</f>
        <v/>
      </c>
      <c r="DK51" s="4">
        <f>IFERROR(((0+DB11+DB12+DB13+DB14+DB15+DB16+DB17+DB19+DB20+DB21+DB22+DB23+DB24+DB25+DB27+DB28+DB29+DB30+DB31+DB32+DB33+DB35+DB36+DB37+DB38+DB39+DB40+DB41+DB43+DB44+DB45+DB46+DB47+DB48+DB49+DB51)/T2),0)</f>
        <v/>
      </c>
      <c r="DL51" s="5">
        <f>IFERROR(ROUND(DB51/DD51,2),0)</f>
        <v/>
      </c>
      <c r="DM51" s="5">
        <f>IFERROR(ROUND(DB51/DE51,2),0)</f>
        <v/>
      </c>
      <c r="DN51" s="2" t="inlineStr">
        <is>
          <t>2023-10-25</t>
        </is>
      </c>
      <c r="DO51" s="5">
        <f>ROUND(0.02,2)</f>
        <v/>
      </c>
      <c r="DP51" s="3">
        <f>ROUND(255.0,2)</f>
        <v/>
      </c>
      <c r="DQ51" s="3">
        <f>ROUND(2.0,2)</f>
        <v/>
      </c>
      <c r="DR51" s="3">
        <f>ROUND(0.0,2)</f>
        <v/>
      </c>
      <c r="DS51" s="3">
        <f>ROUND(0.0,2)</f>
        <v/>
      </c>
      <c r="DT51" s="3">
        <f>ROUND(0.0,2)</f>
        <v/>
      </c>
      <c r="DU51" s="3">
        <f>ROUND(0.0,2)</f>
        <v/>
      </c>
      <c r="DV51" s="3">
        <f>ROUND(0.0,2)</f>
        <v/>
      </c>
      <c r="DW51" s="4">
        <f>IFERROR((DQ51/DP51),0)</f>
        <v/>
      </c>
      <c r="DX51" s="4">
        <f>IFERROR(((0+DO11+DO12+DO13+DO14+DO15+DO16+DO17+DO19+DO20+DO21+DO22+DO23+DO24+DO25+DO27+DO28+DO29+DO30+DO31+DO32+DO33+DO35+DO36+DO37+DO38+DO39+DO40+DO41+DO43+DO44+DO45+DO46+DO47+DO48+DO49+DO51)/T2),0)</f>
        <v/>
      </c>
      <c r="DY51" s="5">
        <f>IFERROR(ROUND(DO51/DQ51,2),0)</f>
        <v/>
      </c>
      <c r="DZ51" s="5">
        <f>IFERROR(ROUND(DO51/DR51,2),0)</f>
        <v/>
      </c>
      <c r="EA51" s="2" t="inlineStr">
        <is>
          <t>2023-10-25</t>
        </is>
      </c>
      <c r="EB51" s="5">
        <f>ROUND(6.409999999999999,2)</f>
        <v/>
      </c>
      <c r="EC51" s="3">
        <f>ROUND(16159.0,2)</f>
        <v/>
      </c>
      <c r="ED51" s="3">
        <f>ROUND(621.0,2)</f>
        <v/>
      </c>
      <c r="EE51" s="3">
        <f>ROUND(0.0,2)</f>
        <v/>
      </c>
      <c r="EF51" s="3">
        <f>ROUND(0.0,2)</f>
        <v/>
      </c>
      <c r="EG51" s="3">
        <f>ROUND(0.0,2)</f>
        <v/>
      </c>
      <c r="EH51" s="3">
        <f>ROUND(0.0,2)</f>
        <v/>
      </c>
      <c r="EI51" s="3">
        <f>ROUND(0.0,2)</f>
        <v/>
      </c>
      <c r="EJ51" s="4">
        <f>IFERROR((ED51/EC51),0)</f>
        <v/>
      </c>
      <c r="EK51" s="4">
        <f>IFERROR(((0+EB11+EB12+EB13+EB14+EB15+EB16+EB17+EB19+EB20+EB21+EB22+EB23+EB24+EB25+EB27+EB28+EB29+EB30+EB31+EB32+EB33+EB35+EB36+EB37+EB38+EB39+EB40+EB41+EB43+EB44+EB45+EB46+EB47+EB48+EB49+EB51)/T2),0)</f>
        <v/>
      </c>
      <c r="EL51" s="5">
        <f>IFERROR(ROUND(EB51/ED51,2),0)</f>
        <v/>
      </c>
      <c r="EM51" s="5">
        <f>IFERROR(ROUND(EB51/EE51,2),0)</f>
        <v/>
      </c>
      <c r="EN51" s="2" t="inlineStr">
        <is>
          <t>2023-10-25</t>
        </is>
      </c>
      <c r="EO51" s="5">
        <f>ROUND(1.69,2)</f>
        <v/>
      </c>
      <c r="EP51" s="3">
        <f>ROUND(3113.0,2)</f>
        <v/>
      </c>
      <c r="EQ51" s="3">
        <f>ROUND(157.0,2)</f>
        <v/>
      </c>
      <c r="ER51" s="3">
        <f>ROUND(0.0,2)</f>
        <v/>
      </c>
      <c r="ES51" s="3">
        <f>ROUND(0.0,2)</f>
        <v/>
      </c>
      <c r="ET51" s="3">
        <f>ROUND(0.0,2)</f>
        <v/>
      </c>
      <c r="EU51" s="3">
        <f>ROUND(0.0,2)</f>
        <v/>
      </c>
      <c r="EV51" s="3">
        <f>ROUND(0.0,2)</f>
        <v/>
      </c>
      <c r="EW51" s="4">
        <f>IFERROR((EQ51/EP51),0)</f>
        <v/>
      </c>
      <c r="EX51" s="4">
        <f>IFERROR(((0+EO11+EO12+EO13+EO14+EO15+EO16+EO17+EO19+EO20+EO21+EO22+EO23+EO24+EO25+EO27+EO28+EO29+EO30+EO31+EO32+EO33+EO35+EO36+EO37+EO38+EO39+EO40+EO41+EO43+EO44+EO45+EO46+EO47+EO48+EO49+EO51)/T2),0)</f>
        <v/>
      </c>
      <c r="EY51" s="5">
        <f>IFERROR(ROUND(EO51/EQ51,2),0)</f>
        <v/>
      </c>
      <c r="EZ51" s="5">
        <f>IFERROR(ROUND(EO51/ER51,2),0)</f>
        <v/>
      </c>
      <c r="FA51" s="2" t="inlineStr">
        <is>
          <t>2023-10-25</t>
        </is>
      </c>
      <c r="FB51" s="5">
        <f>ROUND(0.11,2)</f>
        <v/>
      </c>
      <c r="FC51" s="3">
        <f>ROUND(481.0,2)</f>
        <v/>
      </c>
      <c r="FD51" s="3">
        <f>ROUND(11.0,2)</f>
        <v/>
      </c>
      <c r="FE51" s="3">
        <f>ROUND(0.0,2)</f>
        <v/>
      </c>
      <c r="FF51" s="3">
        <f>ROUND(0.0,2)</f>
        <v/>
      </c>
      <c r="FG51" s="3">
        <f>ROUND(0.0,2)</f>
        <v/>
      </c>
      <c r="FH51" s="3">
        <f>ROUND(0.0,2)</f>
        <v/>
      </c>
      <c r="FI51" s="3">
        <f>ROUND(0.0,2)</f>
        <v/>
      </c>
      <c r="FJ51" s="4">
        <f>IFERROR((FD51/FC51),0)</f>
        <v/>
      </c>
      <c r="FK51" s="4">
        <f>IFERROR(((0+FB11+FB12+FB13+FB14+FB15+FB16+FB17+FB19+FB20+FB21+FB22+FB23+FB24+FB25+FB27+FB28+FB29+FB30+FB31+FB32+FB33+FB35+FB36+FB37+FB38+FB39+FB40+FB41+FB43+FB44+FB45+FB46+FB47+FB48+FB49+FB51)/T2),0)</f>
        <v/>
      </c>
      <c r="FL51" s="5">
        <f>IFERROR(ROUND(FB51/FD51,2),0)</f>
        <v/>
      </c>
      <c r="FM51" s="5">
        <f>IFERROR(ROUND(FB51/FE51,2),0)</f>
        <v/>
      </c>
      <c r="FN51" s="2" t="inlineStr">
        <is>
          <t>2023-10-25</t>
        </is>
      </c>
      <c r="FO51" s="5">
        <f>ROUND(0.12,2)</f>
        <v/>
      </c>
      <c r="FP51" s="3">
        <f>ROUND(313.0,2)</f>
        <v/>
      </c>
      <c r="FQ51" s="3">
        <f>ROUND(11.0,2)</f>
        <v/>
      </c>
      <c r="FR51" s="3">
        <f>ROUND(0.0,2)</f>
        <v/>
      </c>
      <c r="FS51" s="3">
        <f>ROUND(0.0,2)</f>
        <v/>
      </c>
      <c r="FT51" s="3">
        <f>ROUND(0.0,2)</f>
        <v/>
      </c>
      <c r="FU51" s="3">
        <f>ROUND(0.0,2)</f>
        <v/>
      </c>
      <c r="FV51" s="3">
        <f>ROUND(0.0,2)</f>
        <v/>
      </c>
      <c r="FW51" s="4">
        <f>IFERROR((FQ51/FP51),0)</f>
        <v/>
      </c>
      <c r="FX51" s="4">
        <f>IFERROR(((0+FO11+FO12+FO13+FO14+FO15+FO16+FO17+FO19+FO20+FO21+FO22+FO23+FO24+FO25+FO27+FO28+FO29+FO30+FO31+FO32+FO33+FO35+FO36+FO37+FO38+FO39+FO40+FO41+FO43+FO44+FO45+FO46+FO47+FO48+FO49+FO51)/T2),0)</f>
        <v/>
      </c>
      <c r="FY51" s="5">
        <f>IFERROR(ROUND(FO51/FQ51,2),0)</f>
        <v/>
      </c>
      <c r="FZ51" s="5">
        <f>IFERROR(ROUND(FO51/FR51,2),0)</f>
        <v/>
      </c>
      <c r="GA51" s="2" t="inlineStr">
        <is>
          <t>2023-10-25</t>
        </is>
      </c>
      <c r="GB51" s="5">
        <f>ROUND(0.0,2)</f>
        <v/>
      </c>
      <c r="GC51" s="3">
        <f>ROUND(1.0,2)</f>
        <v/>
      </c>
      <c r="GD51" s="3">
        <f>ROUND(0.0,2)</f>
        <v/>
      </c>
      <c r="GE51" s="3">
        <f>ROUND(0.0,2)</f>
        <v/>
      </c>
      <c r="GF51" s="3">
        <f>ROUND(0.0,2)</f>
        <v/>
      </c>
      <c r="GG51" s="3">
        <f>ROUND(0.0,2)</f>
        <v/>
      </c>
      <c r="GH51" s="3">
        <f>ROUND(0.0,2)</f>
        <v/>
      </c>
      <c r="GI51" s="3">
        <f>ROUND(0.0,2)</f>
        <v/>
      </c>
      <c r="GJ51" s="4">
        <f>IFERROR((GD51/GC51),0)</f>
        <v/>
      </c>
      <c r="GK51" s="4">
        <f>IFERROR(((0+GB11+GB12+GB13+GB14+GB15+GB16+GB17+GB19+GB20+GB21+GB22+GB23+GB24+GB25+GB27+GB28+GB29+GB30+GB31+GB32+GB33+GB35+GB36+GB37+GB38+GB39+GB40+GB41+GB43+GB44+GB45+GB46+GB47+GB48+GB49+GB51)/T2),0)</f>
        <v/>
      </c>
      <c r="GL51" s="5">
        <f>IFERROR(ROUND(GB51/GD51,2),0)</f>
        <v/>
      </c>
      <c r="GM51" s="5">
        <f>IFERROR(ROUND(GB51/GE51,2),0)</f>
        <v/>
      </c>
    </row>
    <row r="52">
      <c r="A52" s="2" t="inlineStr">
        <is>
          <t>2023-10-26</t>
        </is>
      </c>
      <c r="B52" s="5">
        <f>ROUND(36.69,2)</f>
        <v/>
      </c>
      <c r="C52" s="3">
        <f>ROUND(59093.0,2)</f>
        <v/>
      </c>
      <c r="D52" s="3">
        <f>ROUND(3651.0,2)</f>
        <v/>
      </c>
      <c r="E52" s="3">
        <f>ROUND(0.0,2)</f>
        <v/>
      </c>
      <c r="F52" s="3">
        <f>ROUND(0.0,2)</f>
        <v/>
      </c>
      <c r="G52" s="3">
        <f>ROUND(0.0,2)</f>
        <v/>
      </c>
      <c r="H52" s="3">
        <f>ROUND(0.0,2)</f>
        <v/>
      </c>
      <c r="I52" s="3">
        <f>ROUND(0.0,2)</f>
        <v/>
      </c>
      <c r="J52" s="4">
        <f>IFERROR((D52/C52),0)</f>
        <v/>
      </c>
      <c r="K52" s="4">
        <f>IFERROR(((0+B11+B12+B13+B14+B15+B16+B17+B19+B20+B21+B22+B23+B24+B25+B27+B28+B29+B30+B31+B32+B33+B35+B36+B37+B38+B39+B40+B41+B43+B44+B45+B46+B47+B48+B49+B51+B52)/T2),0)</f>
        <v/>
      </c>
      <c r="L52" s="5">
        <f>IFERROR(ROUND(B52/D52,2),0)</f>
        <v/>
      </c>
      <c r="M52" s="5">
        <f>IFERROR(ROUND(B52/E52,2),0)</f>
        <v/>
      </c>
      <c r="N52" s="2" t="inlineStr">
        <is>
          <t>2023-10-26</t>
        </is>
      </c>
      <c r="O52" s="5">
        <f>ROUND(0.15000000000000002,2)</f>
        <v/>
      </c>
      <c r="P52" s="3">
        <f>ROUND(523.0,2)</f>
        <v/>
      </c>
      <c r="Q52" s="3">
        <f>ROUND(15.0,2)</f>
        <v/>
      </c>
      <c r="R52" s="3">
        <f>ROUND(0.0,2)</f>
        <v/>
      </c>
      <c r="S52" s="3">
        <f>ROUND(0.0,2)</f>
        <v/>
      </c>
      <c r="T52" s="3">
        <f>ROUND(0.0,2)</f>
        <v/>
      </c>
      <c r="U52" s="3">
        <f>ROUND(0.0,2)</f>
        <v/>
      </c>
      <c r="V52" s="3">
        <f>ROUND(0.0,2)</f>
        <v/>
      </c>
      <c r="W52" s="4">
        <f>IFERROR((Q52/P52),0)</f>
        <v/>
      </c>
      <c r="X52" s="4">
        <f>IFERROR(((0+O11+O12+O13+O14+O15+O16+O17+O19+O20+O21+O22+O23+O24+O25+O27+O28+O29+O30+O31+O32+O33+O35+O36+O37+O38+O39+O40+O41+O43+O44+O45+O46+O47+O48+O49+O51+O52)/T2),0)</f>
        <v/>
      </c>
      <c r="Y52" s="5">
        <f>IFERROR(ROUND(O52/Q52,2),0)</f>
        <v/>
      </c>
      <c r="Z52" s="5">
        <f>IFERROR(ROUND(O52/R52,2),0)</f>
        <v/>
      </c>
      <c r="AA52" s="2" t="inlineStr">
        <is>
          <t>2023-10-26</t>
        </is>
      </c>
      <c r="AB52" s="5">
        <f>ROUND(21.19,2)</f>
        <v/>
      </c>
      <c r="AC52" s="3">
        <f>ROUND(27501.0,2)</f>
        <v/>
      </c>
      <c r="AD52" s="3">
        <f>ROUND(2119.0,2)</f>
        <v/>
      </c>
      <c r="AE52" s="3">
        <f>ROUND(0.0,2)</f>
        <v/>
      </c>
      <c r="AF52" s="3">
        <f>ROUND(0.0,2)</f>
        <v/>
      </c>
      <c r="AG52" s="3">
        <f>ROUND(0.0,2)</f>
        <v/>
      </c>
      <c r="AH52" s="3">
        <f>ROUND(0.0,2)</f>
        <v/>
      </c>
      <c r="AI52" s="3">
        <f>ROUND(0.0,2)</f>
        <v/>
      </c>
      <c r="AJ52" s="4">
        <f>IFERROR((AD52/AC52),0)</f>
        <v/>
      </c>
      <c r="AK52" s="4">
        <f>IFERROR(((0+AB11+AB12+AB13+AB14+AB15+AB16+AB17+AB19+AB20+AB21+AB22+AB23+AB24+AB25+AB27+AB28+AB29+AB30+AB31+AB32+AB33+AB35+AB36+AB37+AB38+AB39+AB40+AB41+AB43+AB44+AB45+AB46+AB47+AB48+AB49+AB51+AB52)/T2),0)</f>
        <v/>
      </c>
      <c r="AL52" s="5">
        <f>IFERROR(ROUND(AB52/AD52,2),0)</f>
        <v/>
      </c>
      <c r="AM52" s="5">
        <f>IFERROR(ROUND(AB52/AE52,2),0)</f>
        <v/>
      </c>
      <c r="AN52" s="2" t="inlineStr">
        <is>
          <t>2023-10-26</t>
        </is>
      </c>
      <c r="AO52" s="5">
        <f>ROUND(0.81,2)</f>
        <v/>
      </c>
      <c r="AP52" s="3">
        <f>ROUND(1443.0,2)</f>
        <v/>
      </c>
      <c r="AQ52" s="3">
        <f>ROUND(80.0,2)</f>
        <v/>
      </c>
      <c r="AR52" s="3">
        <f>ROUND(0.0,2)</f>
        <v/>
      </c>
      <c r="AS52" s="3">
        <f>ROUND(0.0,2)</f>
        <v/>
      </c>
      <c r="AT52" s="3">
        <f>ROUND(0.0,2)</f>
        <v/>
      </c>
      <c r="AU52" s="3">
        <f>ROUND(0.0,2)</f>
        <v/>
      </c>
      <c r="AV52" s="3">
        <f>ROUND(0.0,2)</f>
        <v/>
      </c>
      <c r="AW52" s="4">
        <f>IFERROR((AQ52/AP52),0)</f>
        <v/>
      </c>
      <c r="AX52" s="4">
        <f>IFERROR(((0+AO11+AO12+AO13+AO14+AO15+AO16+AO17+AO19+AO20+AO21+AO22+AO23+AO24+AO25+AO27+AO28+AO29+AO30+AO31+AO32+AO33+AO35+AO36+AO37+AO38+AO39+AO40+AO41+AO43+AO44+AO45+AO46+AO47+AO48+AO49+AO51+AO52)/T2),0)</f>
        <v/>
      </c>
      <c r="AY52" s="5">
        <f>IFERROR(ROUND(AO52/AQ52,2),0)</f>
        <v/>
      </c>
      <c r="AZ52" s="5">
        <f>IFERROR(ROUND(AO52/AR52,2),0)</f>
        <v/>
      </c>
      <c r="BA52" s="2" t="inlineStr">
        <is>
          <t>2023-10-26</t>
        </is>
      </c>
      <c r="BB52" s="5">
        <f>ROUND(1.93,2)</f>
        <v/>
      </c>
      <c r="BC52" s="3">
        <f>ROUND(1703.0,2)</f>
        <v/>
      </c>
      <c r="BD52" s="3">
        <f>ROUND(193.0,2)</f>
        <v/>
      </c>
      <c r="BE52" s="3">
        <f>ROUND(0.0,2)</f>
        <v/>
      </c>
      <c r="BF52" s="3">
        <f>ROUND(0.0,2)</f>
        <v/>
      </c>
      <c r="BG52" s="3">
        <f>ROUND(0.0,2)</f>
        <v/>
      </c>
      <c r="BH52" s="3">
        <f>ROUND(0.0,2)</f>
        <v/>
      </c>
      <c r="BI52" s="3">
        <f>ROUND(0.0,2)</f>
        <v/>
      </c>
      <c r="BJ52" s="4">
        <f>IFERROR((BD52/BC52),0)</f>
        <v/>
      </c>
      <c r="BK52" s="4">
        <f>IFERROR(((0+BB11+BB12+BB13+BB14+BB15+BB16+BB17+BB19+BB20+BB21+BB22+BB23+BB24+BB25+BB27+BB28+BB29+BB30+BB31+BB32+BB33+BB35+BB36+BB37+BB38+BB39+BB40+BB41+BB43+BB44+BB45+BB46+BB47+BB48+BB49+BB51+BB52)/T2),0)</f>
        <v/>
      </c>
      <c r="BL52" s="5">
        <f>IFERROR(ROUND(BB52/BD52,2),0)</f>
        <v/>
      </c>
      <c r="BM52" s="5">
        <f>IFERROR(ROUND(BB52/BE52,2),0)</f>
        <v/>
      </c>
      <c r="BN52" s="2" t="inlineStr">
        <is>
          <t>2023-10-26</t>
        </is>
      </c>
      <c r="BO52" s="5">
        <f>ROUND(4.2,2)</f>
        <v/>
      </c>
      <c r="BP52" s="3">
        <f>ROUND(6696.0,2)</f>
        <v/>
      </c>
      <c r="BQ52" s="3">
        <f>ROUND(418.0,2)</f>
        <v/>
      </c>
      <c r="BR52" s="3">
        <f>ROUND(0.0,2)</f>
        <v/>
      </c>
      <c r="BS52" s="3">
        <f>ROUND(0.0,2)</f>
        <v/>
      </c>
      <c r="BT52" s="3">
        <f>ROUND(0.0,2)</f>
        <v/>
      </c>
      <c r="BU52" s="3">
        <f>ROUND(0.0,2)</f>
        <v/>
      </c>
      <c r="BV52" s="3">
        <f>ROUND(0.0,2)</f>
        <v/>
      </c>
      <c r="BW52" s="4">
        <f>IFERROR((BQ52/BP52),0)</f>
        <v/>
      </c>
      <c r="BX52" s="4">
        <f>IFERROR(((0+BO11+BO12+BO13+BO14+BO15+BO16+BO17+BO19+BO20+BO21+BO22+BO23+BO24+BO25+BO27+BO28+BO29+BO30+BO31+BO32+BO33+BO35+BO36+BO37+BO38+BO39+BO40+BO41+BO43+BO44+BO45+BO46+BO47+BO48+BO49+BO51+BO52)/T2),0)</f>
        <v/>
      </c>
      <c r="BY52" s="5">
        <f>IFERROR(ROUND(BO52/BQ52,2),0)</f>
        <v/>
      </c>
      <c r="BZ52" s="5">
        <f>IFERROR(ROUND(BO52/BR52,2),0)</f>
        <v/>
      </c>
      <c r="CA52" s="2" t="inlineStr">
        <is>
          <t>2023-10-26</t>
        </is>
      </c>
      <c r="CB52" s="5">
        <f>ROUND(0.0,2)</f>
        <v/>
      </c>
      <c r="CC52" s="3">
        <f>ROUND(116.0,2)</f>
        <v/>
      </c>
      <c r="CD52" s="3">
        <f>ROUND(0.0,2)</f>
        <v/>
      </c>
      <c r="CE52" s="3">
        <f>ROUND(0.0,2)</f>
        <v/>
      </c>
      <c r="CF52" s="3">
        <f>ROUND(0.0,2)</f>
        <v/>
      </c>
      <c r="CG52" s="3">
        <f>ROUND(0.0,2)</f>
        <v/>
      </c>
      <c r="CH52" s="3">
        <f>ROUND(0.0,2)</f>
        <v/>
      </c>
      <c r="CI52" s="3">
        <f>ROUND(0.0,2)</f>
        <v/>
      </c>
      <c r="CJ52" s="4">
        <f>IFERROR((CD52/CC52),0)</f>
        <v/>
      </c>
      <c r="CK52" s="4">
        <f>IFERROR(((0+CB11+CB12+CB13+CB14+CB15+CB16+CB17+CB19+CB20+CB21+CB22+CB23+CB24+CB25+CB27+CB28+CB29+CB30+CB31+CB32+CB33+CB35+CB36+CB37+CB38+CB39+CB40+CB41+CB43+CB44+CB45+CB46+CB47+CB48+CB49+CB51+CB52)/T2),0)</f>
        <v/>
      </c>
      <c r="CL52" s="5">
        <f>IFERROR(ROUND(CB52/CD52,2),0)</f>
        <v/>
      </c>
      <c r="CM52" s="5">
        <f>IFERROR(ROUND(CB52/CE52,2),0)</f>
        <v/>
      </c>
      <c r="CN52" s="2" t="inlineStr">
        <is>
          <t>2023-10-26</t>
        </is>
      </c>
      <c r="CO52" s="5">
        <f>ROUND(0.03,2)</f>
        <v/>
      </c>
      <c r="CP52" s="3">
        <f>ROUND(63.0,2)</f>
        <v/>
      </c>
      <c r="CQ52" s="3">
        <f>ROUND(3.0,2)</f>
        <v/>
      </c>
      <c r="CR52" s="3">
        <f>ROUND(0.0,2)</f>
        <v/>
      </c>
      <c r="CS52" s="3">
        <f>ROUND(0.0,2)</f>
        <v/>
      </c>
      <c r="CT52" s="3">
        <f>ROUND(0.0,2)</f>
        <v/>
      </c>
      <c r="CU52" s="3">
        <f>ROUND(0.0,2)</f>
        <v/>
      </c>
      <c r="CV52" s="3">
        <f>ROUND(0.0,2)</f>
        <v/>
      </c>
      <c r="CW52" s="4">
        <f>IFERROR((CQ52/CP52),0)</f>
        <v/>
      </c>
      <c r="CX52" s="4">
        <f>IFERROR(((0+CO11+CO12+CO13+CO14+CO15+CO16+CO17+CO19+CO20+CO21+CO22+CO23+CO24+CO25+CO27+CO28+CO29+CO30+CO31+CO32+CO33+CO35+CO36+CO37+CO38+CO39+CO40+CO41+CO43+CO44+CO45+CO46+CO47+CO48+CO49+CO51+CO52)/T2),0)</f>
        <v/>
      </c>
      <c r="CY52" s="5">
        <f>IFERROR(ROUND(CO52/CQ52,2),0)</f>
        <v/>
      </c>
      <c r="CZ52" s="5">
        <f>IFERROR(ROUND(CO52/CR52,2),0)</f>
        <v/>
      </c>
      <c r="DA52" s="2" t="inlineStr">
        <is>
          <t>2023-10-26</t>
        </is>
      </c>
      <c r="DB52" s="5">
        <f>ROUND(0.060000000000000005,2)</f>
        <v/>
      </c>
      <c r="DC52" s="3">
        <f>ROUND(243.0,2)</f>
        <v/>
      </c>
      <c r="DD52" s="3">
        <f>ROUND(6.0,2)</f>
        <v/>
      </c>
      <c r="DE52" s="3">
        <f>ROUND(0.0,2)</f>
        <v/>
      </c>
      <c r="DF52" s="3">
        <f>ROUND(0.0,2)</f>
        <v/>
      </c>
      <c r="DG52" s="3">
        <f>ROUND(0.0,2)</f>
        <v/>
      </c>
      <c r="DH52" s="3">
        <f>ROUND(0.0,2)</f>
        <v/>
      </c>
      <c r="DI52" s="3">
        <f>ROUND(0.0,2)</f>
        <v/>
      </c>
      <c r="DJ52" s="4">
        <f>IFERROR((DD52/DC52),0)</f>
        <v/>
      </c>
      <c r="DK52" s="4">
        <f>IFERROR(((0+DB11+DB12+DB13+DB14+DB15+DB16+DB17+DB19+DB20+DB21+DB22+DB23+DB24+DB25+DB27+DB28+DB29+DB30+DB31+DB32+DB33+DB35+DB36+DB37+DB38+DB39+DB40+DB41+DB43+DB44+DB45+DB46+DB47+DB48+DB49+DB51+DB52)/T2),0)</f>
        <v/>
      </c>
      <c r="DL52" s="5">
        <f>IFERROR(ROUND(DB52/DD52,2),0)</f>
        <v/>
      </c>
      <c r="DM52" s="5">
        <f>IFERROR(ROUND(DB52/DE52,2),0)</f>
        <v/>
      </c>
      <c r="DN52" s="2" t="inlineStr">
        <is>
          <t>2023-10-26</t>
        </is>
      </c>
      <c r="DO52" s="5">
        <f>ROUND(0.02,2)</f>
        <v/>
      </c>
      <c r="DP52" s="3">
        <f>ROUND(239.0,2)</f>
        <v/>
      </c>
      <c r="DQ52" s="3">
        <f>ROUND(2.0,2)</f>
        <v/>
      </c>
      <c r="DR52" s="3">
        <f>ROUND(0.0,2)</f>
        <v/>
      </c>
      <c r="DS52" s="3">
        <f>ROUND(0.0,2)</f>
        <v/>
      </c>
      <c r="DT52" s="3">
        <f>ROUND(0.0,2)</f>
        <v/>
      </c>
      <c r="DU52" s="3">
        <f>ROUND(0.0,2)</f>
        <v/>
      </c>
      <c r="DV52" s="3">
        <f>ROUND(0.0,2)</f>
        <v/>
      </c>
      <c r="DW52" s="4">
        <f>IFERROR((DQ52/DP52),0)</f>
        <v/>
      </c>
      <c r="DX52" s="4">
        <f>IFERROR(((0+DO11+DO12+DO13+DO14+DO15+DO16+DO17+DO19+DO20+DO21+DO22+DO23+DO24+DO25+DO27+DO28+DO29+DO30+DO31+DO32+DO33+DO35+DO36+DO37+DO38+DO39+DO40+DO41+DO43+DO44+DO45+DO46+DO47+DO48+DO49+DO51+DO52)/T2),0)</f>
        <v/>
      </c>
      <c r="DY52" s="5">
        <f>IFERROR(ROUND(DO52/DQ52,2),0)</f>
        <v/>
      </c>
      <c r="DZ52" s="5">
        <f>IFERROR(ROUND(DO52/DR52,2),0)</f>
        <v/>
      </c>
      <c r="EA52" s="2" t="inlineStr">
        <is>
          <t>2023-10-26</t>
        </is>
      </c>
      <c r="EB52" s="5">
        <f>ROUND(6.7,2)</f>
        <v/>
      </c>
      <c r="EC52" s="3">
        <f>ROUND(17720.0,2)</f>
        <v/>
      </c>
      <c r="ED52" s="3">
        <f>ROUND(661.0,2)</f>
        <v/>
      </c>
      <c r="EE52" s="3">
        <f>ROUND(0.0,2)</f>
        <v/>
      </c>
      <c r="EF52" s="3">
        <f>ROUND(0.0,2)</f>
        <v/>
      </c>
      <c r="EG52" s="3">
        <f>ROUND(0.0,2)</f>
        <v/>
      </c>
      <c r="EH52" s="3">
        <f>ROUND(0.0,2)</f>
        <v/>
      </c>
      <c r="EI52" s="3">
        <f>ROUND(0.0,2)</f>
        <v/>
      </c>
      <c r="EJ52" s="4">
        <f>IFERROR((ED52/EC52),0)</f>
        <v/>
      </c>
      <c r="EK52" s="4">
        <f>IFERROR(((0+EB11+EB12+EB13+EB14+EB15+EB16+EB17+EB19+EB20+EB21+EB22+EB23+EB24+EB25+EB27+EB28+EB29+EB30+EB31+EB32+EB33+EB35+EB36+EB37+EB38+EB39+EB40+EB41+EB43+EB44+EB45+EB46+EB47+EB48+EB49+EB51+EB52)/T2),0)</f>
        <v/>
      </c>
      <c r="EL52" s="5">
        <f>IFERROR(ROUND(EB52/ED52,2),0)</f>
        <v/>
      </c>
      <c r="EM52" s="5">
        <f>IFERROR(ROUND(EB52/EE52,2),0)</f>
        <v/>
      </c>
      <c r="EN52" s="2" t="inlineStr">
        <is>
          <t>2023-10-26</t>
        </is>
      </c>
      <c r="EO52" s="5">
        <f>ROUND(1.1199999999999999,2)</f>
        <v/>
      </c>
      <c r="EP52" s="3">
        <f>ROUND(1747.0,2)</f>
        <v/>
      </c>
      <c r="EQ52" s="3">
        <f>ROUND(106.0,2)</f>
        <v/>
      </c>
      <c r="ER52" s="3">
        <f>ROUND(0.0,2)</f>
        <v/>
      </c>
      <c r="ES52" s="3">
        <f>ROUND(0.0,2)</f>
        <v/>
      </c>
      <c r="ET52" s="3">
        <f>ROUND(0.0,2)</f>
        <v/>
      </c>
      <c r="EU52" s="3">
        <f>ROUND(0.0,2)</f>
        <v/>
      </c>
      <c r="EV52" s="3">
        <f>ROUND(0.0,2)</f>
        <v/>
      </c>
      <c r="EW52" s="4">
        <f>IFERROR((EQ52/EP52),0)</f>
        <v/>
      </c>
      <c r="EX52" s="4">
        <f>IFERROR(((0+EO11+EO12+EO13+EO14+EO15+EO16+EO17+EO19+EO20+EO21+EO22+EO23+EO24+EO25+EO27+EO28+EO29+EO30+EO31+EO32+EO33+EO35+EO36+EO37+EO38+EO39+EO40+EO41+EO43+EO44+EO45+EO46+EO47+EO48+EO49+EO51+EO52)/T2),0)</f>
        <v/>
      </c>
      <c r="EY52" s="5">
        <f>IFERROR(ROUND(EO52/EQ52,2),0)</f>
        <v/>
      </c>
      <c r="EZ52" s="5">
        <f>IFERROR(ROUND(EO52/ER52,2),0)</f>
        <v/>
      </c>
      <c r="FA52" s="2" t="inlineStr">
        <is>
          <t>2023-10-26</t>
        </is>
      </c>
      <c r="FB52" s="5">
        <f>ROUND(0.26,2)</f>
        <v/>
      </c>
      <c r="FC52" s="3">
        <f>ROUND(794.0,2)</f>
        <v/>
      </c>
      <c r="FD52" s="3">
        <f>ROUND(26.0,2)</f>
        <v/>
      </c>
      <c r="FE52" s="3">
        <f>ROUND(0.0,2)</f>
        <v/>
      </c>
      <c r="FF52" s="3">
        <f>ROUND(0.0,2)</f>
        <v/>
      </c>
      <c r="FG52" s="3">
        <f>ROUND(0.0,2)</f>
        <v/>
      </c>
      <c r="FH52" s="3">
        <f>ROUND(0.0,2)</f>
        <v/>
      </c>
      <c r="FI52" s="3">
        <f>ROUND(0.0,2)</f>
        <v/>
      </c>
      <c r="FJ52" s="4">
        <f>IFERROR((FD52/FC52),0)</f>
        <v/>
      </c>
      <c r="FK52" s="4">
        <f>IFERROR(((0+FB11+FB12+FB13+FB14+FB15+FB16+FB17+FB19+FB20+FB21+FB22+FB23+FB24+FB25+FB27+FB28+FB29+FB30+FB31+FB32+FB33+FB35+FB36+FB37+FB38+FB39+FB40+FB41+FB43+FB44+FB45+FB46+FB47+FB48+FB49+FB51+FB52)/T2),0)</f>
        <v/>
      </c>
      <c r="FL52" s="5">
        <f>IFERROR(ROUND(FB52/FD52,2),0)</f>
        <v/>
      </c>
      <c r="FM52" s="5">
        <f>IFERROR(ROUND(FB52/FE52,2),0)</f>
        <v/>
      </c>
      <c r="FN52" s="2" t="inlineStr">
        <is>
          <t>2023-10-26</t>
        </is>
      </c>
      <c r="FO52" s="5">
        <f>ROUND(0.22,2)</f>
        <v/>
      </c>
      <c r="FP52" s="3">
        <f>ROUND(303.0,2)</f>
        <v/>
      </c>
      <c r="FQ52" s="3">
        <f>ROUND(22.0,2)</f>
        <v/>
      </c>
      <c r="FR52" s="3">
        <f>ROUND(0.0,2)</f>
        <v/>
      </c>
      <c r="FS52" s="3">
        <f>ROUND(0.0,2)</f>
        <v/>
      </c>
      <c r="FT52" s="3">
        <f>ROUND(0.0,2)</f>
        <v/>
      </c>
      <c r="FU52" s="3">
        <f>ROUND(0.0,2)</f>
        <v/>
      </c>
      <c r="FV52" s="3">
        <f>ROUND(0.0,2)</f>
        <v/>
      </c>
      <c r="FW52" s="4">
        <f>IFERROR((FQ52/FP52),0)</f>
        <v/>
      </c>
      <c r="FX52" s="4">
        <f>IFERROR(((0+FO11+FO12+FO13+FO14+FO15+FO16+FO17+FO19+FO20+FO21+FO22+FO23+FO24+FO25+FO27+FO28+FO29+FO30+FO31+FO32+FO33+FO35+FO36+FO37+FO38+FO39+FO40+FO41+FO43+FO44+FO45+FO46+FO47+FO48+FO49+FO51+FO52)/T2),0)</f>
        <v/>
      </c>
      <c r="FY52" s="5">
        <f>IFERROR(ROUND(FO52/FQ52,2),0)</f>
        <v/>
      </c>
      <c r="FZ52" s="5">
        <f>IFERROR(ROUND(FO52/FR52,2),0)</f>
        <v/>
      </c>
      <c r="GA52" s="2" t="inlineStr">
        <is>
          <t>2023-10-26</t>
        </is>
      </c>
      <c r="GB52" s="5">
        <f>ROUND(0.0,2)</f>
        <v/>
      </c>
      <c r="GC52" s="3">
        <f>ROUND(2.0,2)</f>
        <v/>
      </c>
      <c r="GD52" s="3">
        <f>ROUND(0.0,2)</f>
        <v/>
      </c>
      <c r="GE52" s="3">
        <f>ROUND(0.0,2)</f>
        <v/>
      </c>
      <c r="GF52" s="3">
        <f>ROUND(0.0,2)</f>
        <v/>
      </c>
      <c r="GG52" s="3">
        <f>ROUND(0.0,2)</f>
        <v/>
      </c>
      <c r="GH52" s="3">
        <f>ROUND(0.0,2)</f>
        <v/>
      </c>
      <c r="GI52" s="3">
        <f>ROUND(0.0,2)</f>
        <v/>
      </c>
      <c r="GJ52" s="4">
        <f>IFERROR((GD52/GC52),0)</f>
        <v/>
      </c>
      <c r="GK52" s="4">
        <f>IFERROR(((0+GB11+GB12+GB13+GB14+GB15+GB16+GB17+GB19+GB20+GB21+GB22+GB23+GB24+GB25+GB27+GB28+GB29+GB30+GB31+GB32+GB33+GB35+GB36+GB37+GB38+GB39+GB40+GB41+GB43+GB44+GB45+GB46+GB47+GB48+GB49+GB51+GB52)/T2),0)</f>
        <v/>
      </c>
      <c r="GL52" s="5">
        <f>IFERROR(ROUND(GB52/GD52,2),0)</f>
        <v/>
      </c>
      <c r="GM52" s="5">
        <f>IFERROR(ROUND(GB52/GE52,2),0)</f>
        <v/>
      </c>
    </row>
    <row r="53">
      <c r="A53" s="2" t="inlineStr">
        <is>
          <t>2023-10-27</t>
        </is>
      </c>
      <c r="B53" s="5">
        <f>ROUND(40.410000000000004,2)</f>
        <v/>
      </c>
      <c r="C53" s="3">
        <f>ROUND(67960.0,2)</f>
        <v/>
      </c>
      <c r="D53" s="3">
        <f>ROUND(4041.0,2)</f>
        <v/>
      </c>
      <c r="E53" s="3">
        <f>ROUND(0.0,2)</f>
        <v/>
      </c>
      <c r="F53" s="3">
        <f>ROUND(0.0,2)</f>
        <v/>
      </c>
      <c r="G53" s="3">
        <f>ROUND(0.0,2)</f>
        <v/>
      </c>
      <c r="H53" s="3">
        <f>ROUND(0.0,2)</f>
        <v/>
      </c>
      <c r="I53" s="3">
        <f>ROUND(0.0,2)</f>
        <v/>
      </c>
      <c r="J53" s="4">
        <f>IFERROR((D53/C53),0)</f>
        <v/>
      </c>
      <c r="K53" s="4">
        <f>IFERROR(((0+B11+B12+B13+B14+B15+B16+B17+B19+B20+B21+B22+B23+B24+B25+B27+B28+B29+B30+B31+B32+B33+B35+B36+B37+B38+B39+B40+B41+B43+B44+B45+B46+B47+B48+B49+B51+B52+B53)/T2),0)</f>
        <v/>
      </c>
      <c r="L53" s="5">
        <f>IFERROR(ROUND(B53/D53,2),0)</f>
        <v/>
      </c>
      <c r="M53" s="5">
        <f>IFERROR(ROUND(B53/E53,2),0)</f>
        <v/>
      </c>
      <c r="N53" s="2" t="inlineStr">
        <is>
          <t>2023-10-27</t>
        </is>
      </c>
      <c r="O53" s="5">
        <f>ROUND(1.01,2)</f>
        <v/>
      </c>
      <c r="P53" s="3">
        <f>ROUND(1885.0,2)</f>
        <v/>
      </c>
      <c r="Q53" s="3">
        <f>ROUND(101.0,2)</f>
        <v/>
      </c>
      <c r="R53" s="3">
        <f>ROUND(0.0,2)</f>
        <v/>
      </c>
      <c r="S53" s="3">
        <f>ROUND(0.0,2)</f>
        <v/>
      </c>
      <c r="T53" s="3">
        <f>ROUND(0.0,2)</f>
        <v/>
      </c>
      <c r="U53" s="3">
        <f>ROUND(0.0,2)</f>
        <v/>
      </c>
      <c r="V53" s="3">
        <f>ROUND(0.0,2)</f>
        <v/>
      </c>
      <c r="W53" s="4">
        <f>IFERROR((Q53/P53),0)</f>
        <v/>
      </c>
      <c r="X53" s="4">
        <f>IFERROR(((0+O11+O12+O13+O14+O15+O16+O17+O19+O20+O21+O22+O23+O24+O25+O27+O28+O29+O30+O31+O32+O33+O35+O36+O37+O38+O39+O40+O41+O43+O44+O45+O46+O47+O48+O49+O51+O52+O53)/T2),0)</f>
        <v/>
      </c>
      <c r="Y53" s="5">
        <f>IFERROR(ROUND(O53/Q53,2),0)</f>
        <v/>
      </c>
      <c r="Z53" s="5">
        <f>IFERROR(ROUND(O53/R53,2),0)</f>
        <v/>
      </c>
      <c r="AA53" s="2" t="inlineStr">
        <is>
          <t>2023-10-27</t>
        </is>
      </c>
      <c r="AB53" s="5">
        <f>ROUND(22.25,2)</f>
        <v/>
      </c>
      <c r="AC53" s="3">
        <f>ROUND(28968.0,2)</f>
        <v/>
      </c>
      <c r="AD53" s="3">
        <f>ROUND(2225.0,2)</f>
        <v/>
      </c>
      <c r="AE53" s="3">
        <f>ROUND(0.0,2)</f>
        <v/>
      </c>
      <c r="AF53" s="3">
        <f>ROUND(0.0,2)</f>
        <v/>
      </c>
      <c r="AG53" s="3">
        <f>ROUND(0.0,2)</f>
        <v/>
      </c>
      <c r="AH53" s="3">
        <f>ROUND(0.0,2)</f>
        <v/>
      </c>
      <c r="AI53" s="3">
        <f>ROUND(0.0,2)</f>
        <v/>
      </c>
      <c r="AJ53" s="4">
        <f>IFERROR((AD53/AC53),0)</f>
        <v/>
      </c>
      <c r="AK53" s="4">
        <f>IFERROR(((0+AB11+AB12+AB13+AB14+AB15+AB16+AB17+AB19+AB20+AB21+AB22+AB23+AB24+AB25+AB27+AB28+AB29+AB30+AB31+AB32+AB33+AB35+AB36+AB37+AB38+AB39+AB40+AB41+AB43+AB44+AB45+AB46+AB47+AB48+AB49+AB51+AB52+AB53)/T2),0)</f>
        <v/>
      </c>
      <c r="AL53" s="5">
        <f>IFERROR(ROUND(AB53/AD53,2),0)</f>
        <v/>
      </c>
      <c r="AM53" s="5">
        <f>IFERROR(ROUND(AB53/AE53,2),0)</f>
        <v/>
      </c>
      <c r="AN53" s="2" t="inlineStr">
        <is>
          <t>2023-10-27</t>
        </is>
      </c>
      <c r="AO53" s="5">
        <f>ROUND(0.26,2)</f>
        <v/>
      </c>
      <c r="AP53" s="3">
        <f>ROUND(826.0,2)</f>
        <v/>
      </c>
      <c r="AQ53" s="3">
        <f>ROUND(26.0,2)</f>
        <v/>
      </c>
      <c r="AR53" s="3">
        <f>ROUND(0.0,2)</f>
        <v/>
      </c>
      <c r="AS53" s="3">
        <f>ROUND(0.0,2)</f>
        <v/>
      </c>
      <c r="AT53" s="3">
        <f>ROUND(0.0,2)</f>
        <v/>
      </c>
      <c r="AU53" s="3">
        <f>ROUND(0.0,2)</f>
        <v/>
      </c>
      <c r="AV53" s="3">
        <f>ROUND(0.0,2)</f>
        <v/>
      </c>
      <c r="AW53" s="4">
        <f>IFERROR((AQ53/AP53),0)</f>
        <v/>
      </c>
      <c r="AX53" s="4">
        <f>IFERROR(((0+AO11+AO12+AO13+AO14+AO15+AO16+AO17+AO19+AO20+AO21+AO22+AO23+AO24+AO25+AO27+AO28+AO29+AO30+AO31+AO32+AO33+AO35+AO36+AO37+AO38+AO39+AO40+AO41+AO43+AO44+AO45+AO46+AO47+AO48+AO49+AO51+AO52+AO53)/T2),0)</f>
        <v/>
      </c>
      <c r="AY53" s="5">
        <f>IFERROR(ROUND(AO53/AQ53,2),0)</f>
        <v/>
      </c>
      <c r="AZ53" s="5">
        <f>IFERROR(ROUND(AO53/AR53,2),0)</f>
        <v/>
      </c>
      <c r="BA53" s="2" t="inlineStr">
        <is>
          <t>2023-10-27</t>
        </is>
      </c>
      <c r="BB53" s="5">
        <f>ROUND(2.2,2)</f>
        <v/>
      </c>
      <c r="BC53" s="3">
        <f>ROUND(2232.0,2)</f>
        <v/>
      </c>
      <c r="BD53" s="3">
        <f>ROUND(220.0,2)</f>
        <v/>
      </c>
      <c r="BE53" s="3">
        <f>ROUND(0.0,2)</f>
        <v/>
      </c>
      <c r="BF53" s="3">
        <f>ROUND(0.0,2)</f>
        <v/>
      </c>
      <c r="BG53" s="3">
        <f>ROUND(0.0,2)</f>
        <v/>
      </c>
      <c r="BH53" s="3">
        <f>ROUND(0.0,2)</f>
        <v/>
      </c>
      <c r="BI53" s="3">
        <f>ROUND(0.0,2)</f>
        <v/>
      </c>
      <c r="BJ53" s="4">
        <f>IFERROR((BD53/BC53),0)</f>
        <v/>
      </c>
      <c r="BK53" s="4">
        <f>IFERROR(((0+BB11+BB12+BB13+BB14+BB15+BB16+BB17+BB19+BB20+BB21+BB22+BB23+BB24+BB25+BB27+BB28+BB29+BB30+BB31+BB32+BB33+BB35+BB36+BB37+BB38+BB39+BB40+BB41+BB43+BB44+BB45+BB46+BB47+BB48+BB49+BB51+BB52+BB53)/T2),0)</f>
        <v/>
      </c>
      <c r="BL53" s="5">
        <f>IFERROR(ROUND(BB53/BD53,2),0)</f>
        <v/>
      </c>
      <c r="BM53" s="5">
        <f>IFERROR(ROUND(BB53/BE53,2),0)</f>
        <v/>
      </c>
      <c r="BN53" s="2" t="inlineStr">
        <is>
          <t>2023-10-27</t>
        </is>
      </c>
      <c r="BO53" s="5">
        <f>ROUND(5.4,2)</f>
        <v/>
      </c>
      <c r="BP53" s="3">
        <f>ROUND(10088.0,2)</f>
        <v/>
      </c>
      <c r="BQ53" s="3">
        <f>ROUND(540.0,2)</f>
        <v/>
      </c>
      <c r="BR53" s="3">
        <f>ROUND(0.0,2)</f>
        <v/>
      </c>
      <c r="BS53" s="3">
        <f>ROUND(0.0,2)</f>
        <v/>
      </c>
      <c r="BT53" s="3">
        <f>ROUND(0.0,2)</f>
        <v/>
      </c>
      <c r="BU53" s="3">
        <f>ROUND(0.0,2)</f>
        <v/>
      </c>
      <c r="BV53" s="3">
        <f>ROUND(0.0,2)</f>
        <v/>
      </c>
      <c r="BW53" s="4">
        <f>IFERROR((BQ53/BP53),0)</f>
        <v/>
      </c>
      <c r="BX53" s="4">
        <f>IFERROR(((0+BO11+BO12+BO13+BO14+BO15+BO16+BO17+BO19+BO20+BO21+BO22+BO23+BO24+BO25+BO27+BO28+BO29+BO30+BO31+BO32+BO33+BO35+BO36+BO37+BO38+BO39+BO40+BO41+BO43+BO44+BO45+BO46+BO47+BO48+BO49+BO51+BO52+BO53)/T2),0)</f>
        <v/>
      </c>
      <c r="BY53" s="5">
        <f>IFERROR(ROUND(BO53/BQ53,2),0)</f>
        <v/>
      </c>
      <c r="BZ53" s="5">
        <f>IFERROR(ROUND(BO53/BR53,2),0)</f>
        <v/>
      </c>
      <c r="CA53" s="2" t="inlineStr">
        <is>
          <t>2023-10-27</t>
        </is>
      </c>
      <c r="CB53" s="5">
        <f>ROUND(0.04,2)</f>
        <v/>
      </c>
      <c r="CC53" s="3">
        <f>ROUND(125.0,2)</f>
        <v/>
      </c>
      <c r="CD53" s="3">
        <f>ROUND(4.0,2)</f>
        <v/>
      </c>
      <c r="CE53" s="3">
        <f>ROUND(0.0,2)</f>
        <v/>
      </c>
      <c r="CF53" s="3">
        <f>ROUND(0.0,2)</f>
        <v/>
      </c>
      <c r="CG53" s="3">
        <f>ROUND(0.0,2)</f>
        <v/>
      </c>
      <c r="CH53" s="3">
        <f>ROUND(0.0,2)</f>
        <v/>
      </c>
      <c r="CI53" s="3">
        <f>ROUND(0.0,2)</f>
        <v/>
      </c>
      <c r="CJ53" s="4">
        <f>IFERROR((CD53/CC53),0)</f>
        <v/>
      </c>
      <c r="CK53" s="4">
        <f>IFERROR(((0+CB11+CB12+CB13+CB14+CB15+CB16+CB17+CB19+CB20+CB21+CB22+CB23+CB24+CB25+CB27+CB28+CB29+CB30+CB31+CB32+CB33+CB35+CB36+CB37+CB38+CB39+CB40+CB41+CB43+CB44+CB45+CB46+CB47+CB48+CB49+CB51+CB52+CB53)/T2),0)</f>
        <v/>
      </c>
      <c r="CL53" s="5">
        <f>IFERROR(ROUND(CB53/CD53,2),0)</f>
        <v/>
      </c>
      <c r="CM53" s="5">
        <f>IFERROR(ROUND(CB53/CE53,2),0)</f>
        <v/>
      </c>
      <c r="CN53" s="2" t="inlineStr">
        <is>
          <t>2023-10-27</t>
        </is>
      </c>
      <c r="CO53" s="5">
        <f>ROUND(0.03,2)</f>
        <v/>
      </c>
      <c r="CP53" s="3">
        <f>ROUND(61.0,2)</f>
        <v/>
      </c>
      <c r="CQ53" s="3">
        <f>ROUND(3.0,2)</f>
        <v/>
      </c>
      <c r="CR53" s="3">
        <f>ROUND(0.0,2)</f>
        <v/>
      </c>
      <c r="CS53" s="3">
        <f>ROUND(0.0,2)</f>
        <v/>
      </c>
      <c r="CT53" s="3">
        <f>ROUND(0.0,2)</f>
        <v/>
      </c>
      <c r="CU53" s="3">
        <f>ROUND(0.0,2)</f>
        <v/>
      </c>
      <c r="CV53" s="3">
        <f>ROUND(0.0,2)</f>
        <v/>
      </c>
      <c r="CW53" s="4">
        <f>IFERROR((CQ53/CP53),0)</f>
        <v/>
      </c>
      <c r="CX53" s="4">
        <f>IFERROR(((0+CO11+CO12+CO13+CO14+CO15+CO16+CO17+CO19+CO20+CO21+CO22+CO23+CO24+CO25+CO27+CO28+CO29+CO30+CO31+CO32+CO33+CO35+CO36+CO37+CO38+CO39+CO40+CO41+CO43+CO44+CO45+CO46+CO47+CO48+CO49+CO51+CO52+CO53)/T2),0)</f>
        <v/>
      </c>
      <c r="CY53" s="5">
        <f>IFERROR(ROUND(CO53/CQ53,2),0)</f>
        <v/>
      </c>
      <c r="CZ53" s="5">
        <f>IFERROR(ROUND(CO53/CR53,2),0)</f>
        <v/>
      </c>
      <c r="DA53" s="2" t="inlineStr">
        <is>
          <t>2023-10-27</t>
        </is>
      </c>
      <c r="DB53" s="5">
        <f>ROUND(0.23,2)</f>
        <v/>
      </c>
      <c r="DC53" s="3">
        <f>ROUND(575.0,2)</f>
        <v/>
      </c>
      <c r="DD53" s="3">
        <f>ROUND(23.0,2)</f>
        <v/>
      </c>
      <c r="DE53" s="3">
        <f>ROUND(0.0,2)</f>
        <v/>
      </c>
      <c r="DF53" s="3">
        <f>ROUND(0.0,2)</f>
        <v/>
      </c>
      <c r="DG53" s="3">
        <f>ROUND(0.0,2)</f>
        <v/>
      </c>
      <c r="DH53" s="3">
        <f>ROUND(0.0,2)</f>
        <v/>
      </c>
      <c r="DI53" s="3">
        <f>ROUND(0.0,2)</f>
        <v/>
      </c>
      <c r="DJ53" s="4">
        <f>IFERROR((DD53/DC53),0)</f>
        <v/>
      </c>
      <c r="DK53" s="4">
        <f>IFERROR(((0+DB11+DB12+DB13+DB14+DB15+DB16+DB17+DB19+DB20+DB21+DB22+DB23+DB24+DB25+DB27+DB28+DB29+DB30+DB31+DB32+DB33+DB35+DB36+DB37+DB38+DB39+DB40+DB41+DB43+DB44+DB45+DB46+DB47+DB48+DB49+DB51+DB52+DB53)/T2),0)</f>
        <v/>
      </c>
      <c r="DL53" s="5">
        <f>IFERROR(ROUND(DB53/DD53,2),0)</f>
        <v/>
      </c>
      <c r="DM53" s="5">
        <f>IFERROR(ROUND(DB53/DE53,2),0)</f>
        <v/>
      </c>
      <c r="DN53" s="2" t="inlineStr">
        <is>
          <t>2023-10-27</t>
        </is>
      </c>
      <c r="DO53" s="5">
        <f>ROUND(0.14,2)</f>
        <v/>
      </c>
      <c r="DP53" s="3">
        <f>ROUND(364.0,2)</f>
        <v/>
      </c>
      <c r="DQ53" s="3">
        <f>ROUND(14.0,2)</f>
        <v/>
      </c>
      <c r="DR53" s="3">
        <f>ROUND(0.0,2)</f>
        <v/>
      </c>
      <c r="DS53" s="3">
        <f>ROUND(0.0,2)</f>
        <v/>
      </c>
      <c r="DT53" s="3">
        <f>ROUND(0.0,2)</f>
        <v/>
      </c>
      <c r="DU53" s="3">
        <f>ROUND(0.0,2)</f>
        <v/>
      </c>
      <c r="DV53" s="3">
        <f>ROUND(0.0,2)</f>
        <v/>
      </c>
      <c r="DW53" s="4">
        <f>IFERROR((DQ53/DP53),0)</f>
        <v/>
      </c>
      <c r="DX53" s="4">
        <f>IFERROR(((0+DO11+DO12+DO13+DO14+DO15+DO16+DO17+DO19+DO20+DO21+DO22+DO23+DO24+DO25+DO27+DO28+DO29+DO30+DO31+DO32+DO33+DO35+DO36+DO37+DO38+DO39+DO40+DO41+DO43+DO44+DO45+DO46+DO47+DO48+DO49+DO51+DO52+DO53)/T2),0)</f>
        <v/>
      </c>
      <c r="DY53" s="5">
        <f>IFERROR(ROUND(DO53/DQ53,2),0)</f>
        <v/>
      </c>
      <c r="DZ53" s="5">
        <f>IFERROR(ROUND(DO53/DR53,2),0)</f>
        <v/>
      </c>
      <c r="EA53" s="2" t="inlineStr">
        <is>
          <t>2023-10-27</t>
        </is>
      </c>
      <c r="EB53" s="5">
        <f>ROUND(7.630000000000001,2)</f>
        <v/>
      </c>
      <c r="EC53" s="3">
        <f>ROUND(20077.0,2)</f>
        <v/>
      </c>
      <c r="ED53" s="3">
        <f>ROUND(763.0,2)</f>
        <v/>
      </c>
      <c r="EE53" s="3">
        <f>ROUND(0.0,2)</f>
        <v/>
      </c>
      <c r="EF53" s="3">
        <f>ROUND(0.0,2)</f>
        <v/>
      </c>
      <c r="EG53" s="3">
        <f>ROUND(0.0,2)</f>
        <v/>
      </c>
      <c r="EH53" s="3">
        <f>ROUND(0.0,2)</f>
        <v/>
      </c>
      <c r="EI53" s="3">
        <f>ROUND(0.0,2)</f>
        <v/>
      </c>
      <c r="EJ53" s="4">
        <f>IFERROR((ED53/EC53),0)</f>
        <v/>
      </c>
      <c r="EK53" s="4">
        <f>IFERROR(((0+EB11+EB12+EB13+EB14+EB15+EB16+EB17+EB19+EB20+EB21+EB22+EB23+EB24+EB25+EB27+EB28+EB29+EB30+EB31+EB32+EB33+EB35+EB36+EB37+EB38+EB39+EB40+EB41+EB43+EB44+EB45+EB46+EB47+EB48+EB49+EB51+EB52+EB53)/T2),0)</f>
        <v/>
      </c>
      <c r="EL53" s="5">
        <f>IFERROR(ROUND(EB53/ED53,2),0)</f>
        <v/>
      </c>
      <c r="EM53" s="5">
        <f>IFERROR(ROUND(EB53/EE53,2),0)</f>
        <v/>
      </c>
      <c r="EN53" s="2" t="inlineStr">
        <is>
          <t>2023-10-27</t>
        </is>
      </c>
      <c r="EO53" s="5">
        <f>ROUND(0.69,2)</f>
        <v/>
      </c>
      <c r="EP53" s="3">
        <f>ROUND(1458.0,2)</f>
        <v/>
      </c>
      <c r="EQ53" s="3">
        <f>ROUND(69.0,2)</f>
        <v/>
      </c>
      <c r="ER53" s="3">
        <f>ROUND(0.0,2)</f>
        <v/>
      </c>
      <c r="ES53" s="3">
        <f>ROUND(0.0,2)</f>
        <v/>
      </c>
      <c r="ET53" s="3">
        <f>ROUND(0.0,2)</f>
        <v/>
      </c>
      <c r="EU53" s="3">
        <f>ROUND(0.0,2)</f>
        <v/>
      </c>
      <c r="EV53" s="3">
        <f>ROUND(0.0,2)</f>
        <v/>
      </c>
      <c r="EW53" s="4">
        <f>IFERROR((EQ53/EP53),0)</f>
        <v/>
      </c>
      <c r="EX53" s="4">
        <f>IFERROR(((0+EO11+EO12+EO13+EO14+EO15+EO16+EO17+EO19+EO20+EO21+EO22+EO23+EO24+EO25+EO27+EO28+EO29+EO30+EO31+EO32+EO33+EO35+EO36+EO37+EO38+EO39+EO40+EO41+EO43+EO44+EO45+EO46+EO47+EO48+EO49+EO51+EO52+EO53)/T2),0)</f>
        <v/>
      </c>
      <c r="EY53" s="5">
        <f>IFERROR(ROUND(EO53/EQ53,2),0)</f>
        <v/>
      </c>
      <c r="EZ53" s="5">
        <f>IFERROR(ROUND(EO53/ER53,2),0)</f>
        <v/>
      </c>
      <c r="FA53" s="2" t="inlineStr">
        <is>
          <t>2023-10-27</t>
        </is>
      </c>
      <c r="FB53" s="5">
        <f>ROUND(0.15,2)</f>
        <v/>
      </c>
      <c r="FC53" s="3">
        <f>ROUND(482.0,2)</f>
        <v/>
      </c>
      <c r="FD53" s="3">
        <f>ROUND(15.0,2)</f>
        <v/>
      </c>
      <c r="FE53" s="3">
        <f>ROUND(0.0,2)</f>
        <v/>
      </c>
      <c r="FF53" s="3">
        <f>ROUND(0.0,2)</f>
        <v/>
      </c>
      <c r="FG53" s="3">
        <f>ROUND(0.0,2)</f>
        <v/>
      </c>
      <c r="FH53" s="3">
        <f>ROUND(0.0,2)</f>
        <v/>
      </c>
      <c r="FI53" s="3">
        <f>ROUND(0.0,2)</f>
        <v/>
      </c>
      <c r="FJ53" s="4">
        <f>IFERROR((FD53/FC53),0)</f>
        <v/>
      </c>
      <c r="FK53" s="4">
        <f>IFERROR(((0+FB11+FB12+FB13+FB14+FB15+FB16+FB17+FB19+FB20+FB21+FB22+FB23+FB24+FB25+FB27+FB28+FB29+FB30+FB31+FB32+FB33+FB35+FB36+FB37+FB38+FB39+FB40+FB41+FB43+FB44+FB45+FB46+FB47+FB48+FB49+FB51+FB52+FB53)/T2),0)</f>
        <v/>
      </c>
      <c r="FL53" s="5">
        <f>IFERROR(ROUND(FB53/FD53,2),0)</f>
        <v/>
      </c>
      <c r="FM53" s="5">
        <f>IFERROR(ROUND(FB53/FE53,2),0)</f>
        <v/>
      </c>
      <c r="FN53" s="2" t="inlineStr">
        <is>
          <t>2023-10-27</t>
        </is>
      </c>
      <c r="FO53" s="5">
        <f>ROUND(0.38,2)</f>
        <v/>
      </c>
      <c r="FP53" s="3">
        <f>ROUND(819.0,2)</f>
        <v/>
      </c>
      <c r="FQ53" s="3">
        <f>ROUND(38.0,2)</f>
        <v/>
      </c>
      <c r="FR53" s="3">
        <f>ROUND(0.0,2)</f>
        <v/>
      </c>
      <c r="FS53" s="3">
        <f>ROUND(0.0,2)</f>
        <v/>
      </c>
      <c r="FT53" s="3">
        <f>ROUND(0.0,2)</f>
        <v/>
      </c>
      <c r="FU53" s="3">
        <f>ROUND(0.0,2)</f>
        <v/>
      </c>
      <c r="FV53" s="3">
        <f>ROUND(0.0,2)</f>
        <v/>
      </c>
      <c r="FW53" s="4">
        <f>IFERROR((FQ53/FP53),0)</f>
        <v/>
      </c>
      <c r="FX53" s="4">
        <f>IFERROR(((0+FO11+FO12+FO13+FO14+FO15+FO16+FO17+FO19+FO20+FO21+FO22+FO23+FO24+FO25+FO27+FO28+FO29+FO30+FO31+FO32+FO33+FO35+FO36+FO37+FO38+FO39+FO40+FO41+FO43+FO44+FO45+FO46+FO47+FO48+FO49+FO51+FO52+FO53)/T2),0)</f>
        <v/>
      </c>
      <c r="FY53" s="5">
        <f>IFERROR(ROUND(FO53/FQ53,2),0)</f>
        <v/>
      </c>
      <c r="FZ53" s="5">
        <f>IFERROR(ROUND(FO53/FR53,2),0)</f>
        <v/>
      </c>
      <c r="GA53" s="2" t="inlineStr">
        <is>
          <t>2023-10-27</t>
        </is>
      </c>
      <c r="GB53" s="5">
        <f>ROUND(0.0,2)</f>
        <v/>
      </c>
      <c r="GC53" s="3">
        <f>ROUND(0.0,2)</f>
        <v/>
      </c>
      <c r="GD53" s="3">
        <f>ROUND(0.0,2)</f>
        <v/>
      </c>
      <c r="GE53" s="3">
        <f>ROUND(0.0,2)</f>
        <v/>
      </c>
      <c r="GF53" s="3">
        <f>ROUND(0.0,2)</f>
        <v/>
      </c>
      <c r="GG53" s="3">
        <f>ROUND(0.0,2)</f>
        <v/>
      </c>
      <c r="GH53" s="3">
        <f>ROUND(0.0,2)</f>
        <v/>
      </c>
      <c r="GI53" s="3">
        <f>ROUND(0.0,2)</f>
        <v/>
      </c>
      <c r="GJ53" s="4">
        <f>IFERROR((GD53/GC53),0)</f>
        <v/>
      </c>
      <c r="GK53" s="4">
        <f>IFERROR(((0+GB11+GB12+GB13+GB14+GB15+GB16+GB17+GB19+GB20+GB21+GB22+GB23+GB24+GB25+GB27+GB28+GB29+GB30+GB31+GB32+GB33+GB35+GB36+GB37+GB38+GB39+GB40+GB41+GB43+GB44+GB45+GB46+GB47+GB48+GB49+GB51+GB52+GB53)/T2),0)</f>
        <v/>
      </c>
      <c r="GL53" s="5">
        <f>IFERROR(ROUND(GB53/GD53,2),0)</f>
        <v/>
      </c>
      <c r="GM53" s="5">
        <f>IFERROR(ROUND(GB53/GE53,2),0)</f>
        <v/>
      </c>
    </row>
    <row r="54">
      <c r="A54" s="2" t="inlineStr">
        <is>
          <t>2023-10-28</t>
        </is>
      </c>
      <c r="B54" s="5">
        <f>ROUND(72.34,2)</f>
        <v/>
      </c>
      <c r="C54" s="3">
        <f>ROUND(183295.0,2)</f>
        <v/>
      </c>
      <c r="D54" s="3">
        <f>ROUND(7234.0,2)</f>
        <v/>
      </c>
      <c r="E54" s="3">
        <f>ROUND(0.0,2)</f>
        <v/>
      </c>
      <c r="F54" s="3">
        <f>ROUND(0.0,2)</f>
        <v/>
      </c>
      <c r="G54" s="3">
        <f>ROUND(0.0,2)</f>
        <v/>
      </c>
      <c r="H54" s="3">
        <f>ROUND(0.0,2)</f>
        <v/>
      </c>
      <c r="I54" s="3">
        <f>ROUND(0.0,2)</f>
        <v/>
      </c>
      <c r="J54" s="4">
        <f>IFERROR((D54/C54),0)</f>
        <v/>
      </c>
      <c r="K54" s="4">
        <f>IFERROR(((0+B11+B12+B13+B14+B15+B16+B17+B19+B20+B21+B22+B23+B24+B25+B27+B28+B29+B30+B31+B32+B33+B35+B36+B37+B38+B39+B40+B41+B43+B44+B45+B46+B47+B48+B49+B51+B52+B53+B54)/T2),0)</f>
        <v/>
      </c>
      <c r="L54" s="5">
        <f>IFERROR(ROUND(B54/D54,2),0)</f>
        <v/>
      </c>
      <c r="M54" s="5">
        <f>IFERROR(ROUND(B54/E54,2),0)</f>
        <v/>
      </c>
      <c r="N54" s="2" t="inlineStr">
        <is>
          <t>2023-10-28</t>
        </is>
      </c>
      <c r="O54" s="5">
        <f>ROUND(0.92,2)</f>
        <v/>
      </c>
      <c r="P54" s="3">
        <f>ROUND(5857.0,2)</f>
        <v/>
      </c>
      <c r="Q54" s="3">
        <f>ROUND(92.0,2)</f>
        <v/>
      </c>
      <c r="R54" s="3">
        <f>ROUND(0.0,2)</f>
        <v/>
      </c>
      <c r="S54" s="3">
        <f>ROUND(0.0,2)</f>
        <v/>
      </c>
      <c r="T54" s="3">
        <f>ROUND(0.0,2)</f>
        <v/>
      </c>
      <c r="U54" s="3">
        <f>ROUND(0.0,2)</f>
        <v/>
      </c>
      <c r="V54" s="3">
        <f>ROUND(0.0,2)</f>
        <v/>
      </c>
      <c r="W54" s="4">
        <f>IFERROR((Q54/P54),0)</f>
        <v/>
      </c>
      <c r="X54" s="4">
        <f>IFERROR(((0+O11+O12+O13+O14+O15+O16+O17+O19+O20+O21+O22+O23+O24+O25+O27+O28+O29+O30+O31+O32+O33+O35+O36+O37+O38+O39+O40+O41+O43+O44+O45+O46+O47+O48+O49+O51+O52+O53+O54)/T2),0)</f>
        <v/>
      </c>
      <c r="Y54" s="5">
        <f>IFERROR(ROUND(O54/Q54,2),0)</f>
        <v/>
      </c>
      <c r="Z54" s="5">
        <f>IFERROR(ROUND(O54/R54,2),0)</f>
        <v/>
      </c>
      <c r="AA54" s="2" t="inlineStr">
        <is>
          <t>2023-10-28</t>
        </is>
      </c>
      <c r="AB54" s="5">
        <f>ROUND(29.78,2)</f>
        <v/>
      </c>
      <c r="AC54" s="3">
        <f>ROUND(40463.0,2)</f>
        <v/>
      </c>
      <c r="AD54" s="3">
        <f>ROUND(2978.0,2)</f>
        <v/>
      </c>
      <c r="AE54" s="3">
        <f>ROUND(0.0,2)</f>
        <v/>
      </c>
      <c r="AF54" s="3">
        <f>ROUND(0.0,2)</f>
        <v/>
      </c>
      <c r="AG54" s="3">
        <f>ROUND(0.0,2)</f>
        <v/>
      </c>
      <c r="AH54" s="3">
        <f>ROUND(0.0,2)</f>
        <v/>
      </c>
      <c r="AI54" s="3">
        <f>ROUND(0.0,2)</f>
        <v/>
      </c>
      <c r="AJ54" s="4">
        <f>IFERROR((AD54/AC54),0)</f>
        <v/>
      </c>
      <c r="AK54" s="4">
        <f>IFERROR(((0+AB11+AB12+AB13+AB14+AB15+AB16+AB17+AB19+AB20+AB21+AB22+AB23+AB24+AB25+AB27+AB28+AB29+AB30+AB31+AB32+AB33+AB35+AB36+AB37+AB38+AB39+AB40+AB41+AB43+AB44+AB45+AB46+AB47+AB48+AB49+AB51+AB52+AB53+AB54)/T2),0)</f>
        <v/>
      </c>
      <c r="AL54" s="5">
        <f>IFERROR(ROUND(AB54/AD54,2),0)</f>
        <v/>
      </c>
      <c r="AM54" s="5">
        <f>IFERROR(ROUND(AB54/AE54,2),0)</f>
        <v/>
      </c>
      <c r="AN54" s="2" t="inlineStr">
        <is>
          <t>2023-10-28</t>
        </is>
      </c>
      <c r="AO54" s="5">
        <f>ROUND(0.76,2)</f>
        <v/>
      </c>
      <c r="AP54" s="3">
        <f>ROUND(2230.0,2)</f>
        <v/>
      </c>
      <c r="AQ54" s="3">
        <f>ROUND(76.0,2)</f>
        <v/>
      </c>
      <c r="AR54" s="3">
        <f>ROUND(0.0,2)</f>
        <v/>
      </c>
      <c r="AS54" s="3">
        <f>ROUND(0.0,2)</f>
        <v/>
      </c>
      <c r="AT54" s="3">
        <f>ROUND(0.0,2)</f>
        <v/>
      </c>
      <c r="AU54" s="3">
        <f>ROUND(0.0,2)</f>
        <v/>
      </c>
      <c r="AV54" s="3">
        <f>ROUND(0.0,2)</f>
        <v/>
      </c>
      <c r="AW54" s="4">
        <f>IFERROR((AQ54/AP54),0)</f>
        <v/>
      </c>
      <c r="AX54" s="4">
        <f>IFERROR(((0+AO11+AO12+AO13+AO14+AO15+AO16+AO17+AO19+AO20+AO21+AO22+AO23+AO24+AO25+AO27+AO28+AO29+AO30+AO31+AO32+AO33+AO35+AO36+AO37+AO38+AO39+AO40+AO41+AO43+AO44+AO45+AO46+AO47+AO48+AO49+AO51+AO52+AO53+AO54)/T2),0)</f>
        <v/>
      </c>
      <c r="AY54" s="5">
        <f>IFERROR(ROUND(AO54/AQ54,2),0)</f>
        <v/>
      </c>
      <c r="AZ54" s="5">
        <f>IFERROR(ROUND(AO54/AR54,2),0)</f>
        <v/>
      </c>
      <c r="BA54" s="2" t="inlineStr">
        <is>
          <t>2023-10-28</t>
        </is>
      </c>
      <c r="BB54" s="5">
        <f>ROUND(0.98,2)</f>
        <v/>
      </c>
      <c r="BC54" s="3">
        <f>ROUND(3084.0,2)</f>
        <v/>
      </c>
      <c r="BD54" s="3">
        <f>ROUND(98.0,2)</f>
        <v/>
      </c>
      <c r="BE54" s="3">
        <f>ROUND(0.0,2)</f>
        <v/>
      </c>
      <c r="BF54" s="3">
        <f>ROUND(0.0,2)</f>
        <v/>
      </c>
      <c r="BG54" s="3">
        <f>ROUND(0.0,2)</f>
        <v/>
      </c>
      <c r="BH54" s="3">
        <f>ROUND(0.0,2)</f>
        <v/>
      </c>
      <c r="BI54" s="3">
        <f>ROUND(0.0,2)</f>
        <v/>
      </c>
      <c r="BJ54" s="4">
        <f>IFERROR((BD54/BC54),0)</f>
        <v/>
      </c>
      <c r="BK54" s="4">
        <f>IFERROR(((0+BB11+BB12+BB13+BB14+BB15+BB16+BB17+BB19+BB20+BB21+BB22+BB23+BB24+BB25+BB27+BB28+BB29+BB30+BB31+BB32+BB33+BB35+BB36+BB37+BB38+BB39+BB40+BB41+BB43+BB44+BB45+BB46+BB47+BB48+BB49+BB51+BB52+BB53+BB54)/T2),0)</f>
        <v/>
      </c>
      <c r="BL54" s="5">
        <f>IFERROR(ROUND(BB54/BD54,2),0)</f>
        <v/>
      </c>
      <c r="BM54" s="5">
        <f>IFERROR(ROUND(BB54/BE54,2),0)</f>
        <v/>
      </c>
      <c r="BN54" s="2" t="inlineStr">
        <is>
          <t>2023-10-28</t>
        </is>
      </c>
      <c r="BO54" s="5">
        <f>ROUND(11.2,2)</f>
        <v/>
      </c>
      <c r="BP54" s="3">
        <f>ROUND(29471.0,2)</f>
        <v/>
      </c>
      <c r="BQ54" s="3">
        <f>ROUND(1120.0,2)</f>
        <v/>
      </c>
      <c r="BR54" s="3">
        <f>ROUND(0.0,2)</f>
        <v/>
      </c>
      <c r="BS54" s="3">
        <f>ROUND(0.0,2)</f>
        <v/>
      </c>
      <c r="BT54" s="3">
        <f>ROUND(0.0,2)</f>
        <v/>
      </c>
      <c r="BU54" s="3">
        <f>ROUND(0.0,2)</f>
        <v/>
      </c>
      <c r="BV54" s="3">
        <f>ROUND(0.0,2)</f>
        <v/>
      </c>
      <c r="BW54" s="4">
        <f>IFERROR((BQ54/BP54),0)</f>
        <v/>
      </c>
      <c r="BX54" s="4">
        <f>IFERROR(((0+BO11+BO12+BO13+BO14+BO15+BO16+BO17+BO19+BO20+BO21+BO22+BO23+BO24+BO25+BO27+BO28+BO29+BO30+BO31+BO32+BO33+BO35+BO36+BO37+BO38+BO39+BO40+BO41+BO43+BO44+BO45+BO46+BO47+BO48+BO49+BO51+BO52+BO53+BO54)/T2),0)</f>
        <v/>
      </c>
      <c r="BY54" s="5">
        <f>IFERROR(ROUND(BO54/BQ54,2),0)</f>
        <v/>
      </c>
      <c r="BZ54" s="5">
        <f>IFERROR(ROUND(BO54/BR54,2),0)</f>
        <v/>
      </c>
      <c r="CA54" s="2" t="inlineStr">
        <is>
          <t>2023-10-28</t>
        </is>
      </c>
      <c r="CB54" s="5">
        <f>ROUND(0.08,2)</f>
        <v/>
      </c>
      <c r="CC54" s="3">
        <f>ROUND(834.0,2)</f>
        <v/>
      </c>
      <c r="CD54" s="3">
        <f>ROUND(8.0,2)</f>
        <v/>
      </c>
      <c r="CE54" s="3">
        <f>ROUND(0.0,2)</f>
        <v/>
      </c>
      <c r="CF54" s="3">
        <f>ROUND(0.0,2)</f>
        <v/>
      </c>
      <c r="CG54" s="3">
        <f>ROUND(0.0,2)</f>
        <v/>
      </c>
      <c r="CH54" s="3">
        <f>ROUND(0.0,2)</f>
        <v/>
      </c>
      <c r="CI54" s="3">
        <f>ROUND(0.0,2)</f>
        <v/>
      </c>
      <c r="CJ54" s="4">
        <f>IFERROR((CD54/CC54),0)</f>
        <v/>
      </c>
      <c r="CK54" s="4">
        <f>IFERROR(((0+CB11+CB12+CB13+CB14+CB15+CB16+CB17+CB19+CB20+CB21+CB22+CB23+CB24+CB25+CB27+CB28+CB29+CB30+CB31+CB32+CB33+CB35+CB36+CB37+CB38+CB39+CB40+CB41+CB43+CB44+CB45+CB46+CB47+CB48+CB49+CB51+CB52+CB53+CB54)/T2),0)</f>
        <v/>
      </c>
      <c r="CL54" s="5">
        <f>IFERROR(ROUND(CB54/CD54,2),0)</f>
        <v/>
      </c>
      <c r="CM54" s="5">
        <f>IFERROR(ROUND(CB54/CE54,2),0)</f>
        <v/>
      </c>
      <c r="CN54" s="2" t="inlineStr">
        <is>
          <t>2023-10-28</t>
        </is>
      </c>
      <c r="CO54" s="5">
        <f>ROUND(0.08,2)</f>
        <v/>
      </c>
      <c r="CP54" s="3">
        <f>ROUND(137.0,2)</f>
        <v/>
      </c>
      <c r="CQ54" s="3">
        <f>ROUND(8.0,2)</f>
        <v/>
      </c>
      <c r="CR54" s="3">
        <f>ROUND(0.0,2)</f>
        <v/>
      </c>
      <c r="CS54" s="3">
        <f>ROUND(0.0,2)</f>
        <v/>
      </c>
      <c r="CT54" s="3">
        <f>ROUND(0.0,2)</f>
        <v/>
      </c>
      <c r="CU54" s="3">
        <f>ROUND(0.0,2)</f>
        <v/>
      </c>
      <c r="CV54" s="3">
        <f>ROUND(0.0,2)</f>
        <v/>
      </c>
      <c r="CW54" s="4">
        <f>IFERROR((CQ54/CP54),0)</f>
        <v/>
      </c>
      <c r="CX54" s="4">
        <f>IFERROR(((0+CO11+CO12+CO13+CO14+CO15+CO16+CO17+CO19+CO20+CO21+CO22+CO23+CO24+CO25+CO27+CO28+CO29+CO30+CO31+CO32+CO33+CO35+CO36+CO37+CO38+CO39+CO40+CO41+CO43+CO44+CO45+CO46+CO47+CO48+CO49+CO51+CO52+CO53+CO54)/T2),0)</f>
        <v/>
      </c>
      <c r="CY54" s="5">
        <f>IFERROR(ROUND(CO54/CQ54,2),0)</f>
        <v/>
      </c>
      <c r="CZ54" s="5">
        <f>IFERROR(ROUND(CO54/CR54,2),0)</f>
        <v/>
      </c>
      <c r="DA54" s="2" t="inlineStr">
        <is>
          <t>2023-10-28</t>
        </is>
      </c>
      <c r="DB54" s="5">
        <f>ROUND(4.99,2)</f>
        <v/>
      </c>
      <c r="DC54" s="3">
        <f>ROUND(6272.0,2)</f>
        <v/>
      </c>
      <c r="DD54" s="3">
        <f>ROUND(499.0,2)</f>
        <v/>
      </c>
      <c r="DE54" s="3">
        <f>ROUND(0.0,2)</f>
        <v/>
      </c>
      <c r="DF54" s="3">
        <f>ROUND(0.0,2)</f>
        <v/>
      </c>
      <c r="DG54" s="3">
        <f>ROUND(0.0,2)</f>
        <v/>
      </c>
      <c r="DH54" s="3">
        <f>ROUND(0.0,2)</f>
        <v/>
      </c>
      <c r="DI54" s="3">
        <f>ROUND(0.0,2)</f>
        <v/>
      </c>
      <c r="DJ54" s="4">
        <f>IFERROR((DD54/DC54),0)</f>
        <v/>
      </c>
      <c r="DK54" s="4">
        <f>IFERROR(((0+DB11+DB12+DB13+DB14+DB15+DB16+DB17+DB19+DB20+DB21+DB22+DB23+DB24+DB25+DB27+DB28+DB29+DB30+DB31+DB32+DB33+DB35+DB36+DB37+DB38+DB39+DB40+DB41+DB43+DB44+DB45+DB46+DB47+DB48+DB49+DB51+DB52+DB53+DB54)/T2),0)</f>
        <v/>
      </c>
      <c r="DL54" s="5">
        <f>IFERROR(ROUND(DB54/DD54,2),0)</f>
        <v/>
      </c>
      <c r="DM54" s="5">
        <f>IFERROR(ROUND(DB54/DE54,2),0)</f>
        <v/>
      </c>
      <c r="DN54" s="2" t="inlineStr">
        <is>
          <t>2023-10-28</t>
        </is>
      </c>
      <c r="DO54" s="5">
        <f>ROUND(0.23000000000000004,2)</f>
        <v/>
      </c>
      <c r="DP54" s="3">
        <f>ROUND(1523.0,2)</f>
        <v/>
      </c>
      <c r="DQ54" s="3">
        <f>ROUND(23.0,2)</f>
        <v/>
      </c>
      <c r="DR54" s="3">
        <f>ROUND(0.0,2)</f>
        <v/>
      </c>
      <c r="DS54" s="3">
        <f>ROUND(0.0,2)</f>
        <v/>
      </c>
      <c r="DT54" s="3">
        <f>ROUND(0.0,2)</f>
        <v/>
      </c>
      <c r="DU54" s="3">
        <f>ROUND(0.0,2)</f>
        <v/>
      </c>
      <c r="DV54" s="3">
        <f>ROUND(0.0,2)</f>
        <v/>
      </c>
      <c r="DW54" s="4">
        <f>IFERROR((DQ54/DP54),0)</f>
        <v/>
      </c>
      <c r="DX54" s="4">
        <f>IFERROR(((0+DO11+DO12+DO13+DO14+DO15+DO16+DO17+DO19+DO20+DO21+DO22+DO23+DO24+DO25+DO27+DO28+DO29+DO30+DO31+DO32+DO33+DO35+DO36+DO37+DO38+DO39+DO40+DO41+DO43+DO44+DO45+DO46+DO47+DO48+DO49+DO51+DO52+DO53+DO54)/T2),0)</f>
        <v/>
      </c>
      <c r="DY54" s="5">
        <f>IFERROR(ROUND(DO54/DQ54,2),0)</f>
        <v/>
      </c>
      <c r="DZ54" s="5">
        <f>IFERROR(ROUND(DO54/DR54,2),0)</f>
        <v/>
      </c>
      <c r="EA54" s="2" t="inlineStr">
        <is>
          <t>2023-10-28</t>
        </is>
      </c>
      <c r="EB54" s="5">
        <f>ROUND(16.62,2)</f>
        <v/>
      </c>
      <c r="EC54" s="3">
        <f>ROUND(76982.0,2)</f>
        <v/>
      </c>
      <c r="ED54" s="3">
        <f>ROUND(1662.0,2)</f>
        <v/>
      </c>
      <c r="EE54" s="3">
        <f>ROUND(0.0,2)</f>
        <v/>
      </c>
      <c r="EF54" s="3">
        <f>ROUND(0.0,2)</f>
        <v/>
      </c>
      <c r="EG54" s="3">
        <f>ROUND(0.0,2)</f>
        <v/>
      </c>
      <c r="EH54" s="3">
        <f>ROUND(0.0,2)</f>
        <v/>
      </c>
      <c r="EI54" s="3">
        <f>ROUND(0.0,2)</f>
        <v/>
      </c>
      <c r="EJ54" s="4">
        <f>IFERROR((ED54/EC54),0)</f>
        <v/>
      </c>
      <c r="EK54" s="4">
        <f>IFERROR(((0+EB11+EB12+EB13+EB14+EB15+EB16+EB17+EB19+EB20+EB21+EB22+EB23+EB24+EB25+EB27+EB28+EB29+EB30+EB31+EB32+EB33+EB35+EB36+EB37+EB38+EB39+EB40+EB41+EB43+EB44+EB45+EB46+EB47+EB48+EB49+EB51+EB52+EB53+EB54)/T2),0)</f>
        <v/>
      </c>
      <c r="EL54" s="5">
        <f>IFERROR(ROUND(EB54/ED54,2),0)</f>
        <v/>
      </c>
      <c r="EM54" s="5">
        <f>IFERROR(ROUND(EB54/EE54,2),0)</f>
        <v/>
      </c>
      <c r="EN54" s="2" t="inlineStr">
        <is>
          <t>2023-10-28</t>
        </is>
      </c>
      <c r="EO54" s="5">
        <f>ROUND(2.81,2)</f>
        <v/>
      </c>
      <c r="EP54" s="3">
        <f>ROUND(7542.0,2)</f>
        <v/>
      </c>
      <c r="EQ54" s="3">
        <f>ROUND(281.0,2)</f>
        <v/>
      </c>
      <c r="ER54" s="3">
        <f>ROUND(0.0,2)</f>
        <v/>
      </c>
      <c r="ES54" s="3">
        <f>ROUND(0.0,2)</f>
        <v/>
      </c>
      <c r="ET54" s="3">
        <f>ROUND(0.0,2)</f>
        <v/>
      </c>
      <c r="EU54" s="3">
        <f>ROUND(0.0,2)</f>
        <v/>
      </c>
      <c r="EV54" s="3">
        <f>ROUND(0.0,2)</f>
        <v/>
      </c>
      <c r="EW54" s="4">
        <f>IFERROR((EQ54/EP54),0)</f>
        <v/>
      </c>
      <c r="EX54" s="4">
        <f>IFERROR(((0+EO11+EO12+EO13+EO14+EO15+EO16+EO17+EO19+EO20+EO21+EO22+EO23+EO24+EO25+EO27+EO28+EO29+EO30+EO31+EO32+EO33+EO35+EO36+EO37+EO38+EO39+EO40+EO41+EO43+EO44+EO45+EO46+EO47+EO48+EO49+EO51+EO52+EO53+EO54)/T2),0)</f>
        <v/>
      </c>
      <c r="EY54" s="5">
        <f>IFERROR(ROUND(EO54/EQ54,2),0)</f>
        <v/>
      </c>
      <c r="EZ54" s="5">
        <f>IFERROR(ROUND(EO54/ER54,2),0)</f>
        <v/>
      </c>
      <c r="FA54" s="2" t="inlineStr">
        <is>
          <t>2023-10-28</t>
        </is>
      </c>
      <c r="FB54" s="5">
        <f>ROUND(3.29,2)</f>
        <v/>
      </c>
      <c r="FC54" s="3">
        <f>ROUND(7295.0,2)</f>
        <v/>
      </c>
      <c r="FD54" s="3">
        <f>ROUND(329.0,2)</f>
        <v/>
      </c>
      <c r="FE54" s="3">
        <f>ROUND(0.0,2)</f>
        <v/>
      </c>
      <c r="FF54" s="3">
        <f>ROUND(0.0,2)</f>
        <v/>
      </c>
      <c r="FG54" s="3">
        <f>ROUND(0.0,2)</f>
        <v/>
      </c>
      <c r="FH54" s="3">
        <f>ROUND(0.0,2)</f>
        <v/>
      </c>
      <c r="FI54" s="3">
        <f>ROUND(0.0,2)</f>
        <v/>
      </c>
      <c r="FJ54" s="4">
        <f>IFERROR((FD54/FC54),0)</f>
        <v/>
      </c>
      <c r="FK54" s="4">
        <f>IFERROR(((0+FB11+FB12+FB13+FB14+FB15+FB16+FB17+FB19+FB20+FB21+FB22+FB23+FB24+FB25+FB27+FB28+FB29+FB30+FB31+FB32+FB33+FB35+FB36+FB37+FB38+FB39+FB40+FB41+FB43+FB44+FB45+FB46+FB47+FB48+FB49+FB51+FB52+FB53+FB54)/T2),0)</f>
        <v/>
      </c>
      <c r="FL54" s="5">
        <f>IFERROR(ROUND(FB54/FD54,2),0)</f>
        <v/>
      </c>
      <c r="FM54" s="5">
        <f>IFERROR(ROUND(FB54/FE54,2),0)</f>
        <v/>
      </c>
      <c r="FN54" s="2" t="inlineStr">
        <is>
          <t>2023-10-28</t>
        </is>
      </c>
      <c r="FO54" s="5">
        <f>ROUND(0.6000000000000001,2)</f>
        <v/>
      </c>
      <c r="FP54" s="3">
        <f>ROUND(1605.0,2)</f>
        <v/>
      </c>
      <c r="FQ54" s="3">
        <f>ROUND(60.0,2)</f>
        <v/>
      </c>
      <c r="FR54" s="3">
        <f>ROUND(0.0,2)</f>
        <v/>
      </c>
      <c r="FS54" s="3">
        <f>ROUND(0.0,2)</f>
        <v/>
      </c>
      <c r="FT54" s="3">
        <f>ROUND(0.0,2)</f>
        <v/>
      </c>
      <c r="FU54" s="3">
        <f>ROUND(0.0,2)</f>
        <v/>
      </c>
      <c r="FV54" s="3">
        <f>ROUND(0.0,2)</f>
        <v/>
      </c>
      <c r="FW54" s="4">
        <f>IFERROR((FQ54/FP54),0)</f>
        <v/>
      </c>
      <c r="FX54" s="4">
        <f>IFERROR(((0+FO11+FO12+FO13+FO14+FO15+FO16+FO17+FO19+FO20+FO21+FO22+FO23+FO24+FO25+FO27+FO28+FO29+FO30+FO31+FO32+FO33+FO35+FO36+FO37+FO38+FO39+FO40+FO41+FO43+FO44+FO45+FO46+FO47+FO48+FO49+FO51+FO52+FO53+FO54)/T2),0)</f>
        <v/>
      </c>
      <c r="FY54" s="5">
        <f>IFERROR(ROUND(FO54/FQ54,2),0)</f>
        <v/>
      </c>
      <c r="FZ54" s="5">
        <f>IFERROR(ROUND(FO54/FR54,2),0)</f>
        <v/>
      </c>
      <c r="GA54" s="2" t="inlineStr">
        <is>
          <t>2023-10-28</t>
        </is>
      </c>
      <c r="GB54" s="5">
        <f>ROUND(0.0,2)</f>
        <v/>
      </c>
      <c r="GC54" s="3">
        <f>ROUND(0.0,2)</f>
        <v/>
      </c>
      <c r="GD54" s="3">
        <f>ROUND(0.0,2)</f>
        <v/>
      </c>
      <c r="GE54" s="3">
        <f>ROUND(0.0,2)</f>
        <v/>
      </c>
      <c r="GF54" s="3">
        <f>ROUND(0.0,2)</f>
        <v/>
      </c>
      <c r="GG54" s="3">
        <f>ROUND(0.0,2)</f>
        <v/>
      </c>
      <c r="GH54" s="3">
        <f>ROUND(0.0,2)</f>
        <v/>
      </c>
      <c r="GI54" s="3">
        <f>ROUND(0.0,2)</f>
        <v/>
      </c>
      <c r="GJ54" s="4">
        <f>IFERROR((GD54/GC54),0)</f>
        <v/>
      </c>
      <c r="GK54" s="4">
        <f>IFERROR(((0+GB11+GB12+GB13+GB14+GB15+GB16+GB17+GB19+GB20+GB21+GB22+GB23+GB24+GB25+GB27+GB28+GB29+GB30+GB31+GB32+GB33+GB35+GB36+GB37+GB38+GB39+GB40+GB41+GB43+GB44+GB45+GB46+GB47+GB48+GB49+GB51+GB52+GB53+GB54)/T2),0)</f>
        <v/>
      </c>
      <c r="GL54" s="5">
        <f>IFERROR(ROUND(GB54/GD54,2),0)</f>
        <v/>
      </c>
      <c r="GM54" s="5">
        <f>IFERROR(ROUND(GB54/GE54,2),0)</f>
        <v/>
      </c>
    </row>
    <row r="55">
      <c r="A55" s="2" t="inlineStr">
        <is>
          <t>2023-10-29</t>
        </is>
      </c>
      <c r="B55" s="5">
        <f>ROUND(55.9,2)</f>
        <v/>
      </c>
      <c r="C55" s="3">
        <f>ROUND(131227.0,2)</f>
        <v/>
      </c>
      <c r="D55" s="3">
        <f>ROUND(5590.0,2)</f>
        <v/>
      </c>
      <c r="E55" s="3">
        <f>ROUND(0.0,2)</f>
        <v/>
      </c>
      <c r="F55" s="3">
        <f>ROUND(0.0,2)</f>
        <v/>
      </c>
      <c r="G55" s="3">
        <f>ROUND(0.0,2)</f>
        <v/>
      </c>
      <c r="H55" s="3">
        <f>ROUND(0.0,2)</f>
        <v/>
      </c>
      <c r="I55" s="3">
        <f>ROUND(0.0,2)</f>
        <v/>
      </c>
      <c r="J55" s="4">
        <f>IFERROR((D55/C55),0)</f>
        <v/>
      </c>
      <c r="K55" s="4">
        <f>IFERROR(((0+B11+B12+B13+B14+B15+B16+B17+B19+B20+B21+B22+B23+B24+B25+B27+B28+B29+B30+B31+B32+B33+B35+B36+B37+B38+B39+B40+B41+B43+B44+B45+B46+B47+B48+B49+B51+B52+B53+B54+B55)/T2),0)</f>
        <v/>
      </c>
      <c r="L55" s="5">
        <f>IFERROR(ROUND(B55/D55,2),0)</f>
        <v/>
      </c>
      <c r="M55" s="5">
        <f>IFERROR(ROUND(B55/E55,2),0)</f>
        <v/>
      </c>
      <c r="N55" s="2" t="inlineStr">
        <is>
          <t>2023-10-29</t>
        </is>
      </c>
      <c r="O55" s="5">
        <f>ROUND(1.45,2)</f>
        <v/>
      </c>
      <c r="P55" s="3">
        <f>ROUND(4790.0,2)</f>
        <v/>
      </c>
      <c r="Q55" s="3">
        <f>ROUND(145.0,2)</f>
        <v/>
      </c>
      <c r="R55" s="3">
        <f>ROUND(0.0,2)</f>
        <v/>
      </c>
      <c r="S55" s="3">
        <f>ROUND(0.0,2)</f>
        <v/>
      </c>
      <c r="T55" s="3">
        <f>ROUND(0.0,2)</f>
        <v/>
      </c>
      <c r="U55" s="3">
        <f>ROUND(0.0,2)</f>
        <v/>
      </c>
      <c r="V55" s="3">
        <f>ROUND(0.0,2)</f>
        <v/>
      </c>
      <c r="W55" s="4">
        <f>IFERROR((Q55/P55),0)</f>
        <v/>
      </c>
      <c r="X55" s="4">
        <f>IFERROR(((0+O11+O12+O13+O14+O15+O16+O17+O19+O20+O21+O22+O23+O24+O25+O27+O28+O29+O30+O31+O32+O33+O35+O36+O37+O38+O39+O40+O41+O43+O44+O45+O46+O47+O48+O49+O51+O52+O53+O54+O55)/T2),0)</f>
        <v/>
      </c>
      <c r="Y55" s="5">
        <f>IFERROR(ROUND(O55/Q55,2),0)</f>
        <v/>
      </c>
      <c r="Z55" s="5">
        <f>IFERROR(ROUND(O55/R55,2),0)</f>
        <v/>
      </c>
      <c r="AA55" s="2" t="inlineStr">
        <is>
          <t>2023-10-29</t>
        </is>
      </c>
      <c r="AB55" s="5">
        <f>ROUND(23.72,2)</f>
        <v/>
      </c>
      <c r="AC55" s="3">
        <f>ROUND(33844.0,2)</f>
        <v/>
      </c>
      <c r="AD55" s="3">
        <f>ROUND(2372.0,2)</f>
        <v/>
      </c>
      <c r="AE55" s="3">
        <f>ROUND(0.0,2)</f>
        <v/>
      </c>
      <c r="AF55" s="3">
        <f>ROUND(0.0,2)</f>
        <v/>
      </c>
      <c r="AG55" s="3">
        <f>ROUND(0.0,2)</f>
        <v/>
      </c>
      <c r="AH55" s="3">
        <f>ROUND(0.0,2)</f>
        <v/>
      </c>
      <c r="AI55" s="3">
        <f>ROUND(0.0,2)</f>
        <v/>
      </c>
      <c r="AJ55" s="4">
        <f>IFERROR((AD55/AC55),0)</f>
        <v/>
      </c>
      <c r="AK55" s="4">
        <f>IFERROR(((0+AB11+AB12+AB13+AB14+AB15+AB16+AB17+AB19+AB20+AB21+AB22+AB23+AB24+AB25+AB27+AB28+AB29+AB30+AB31+AB32+AB33+AB35+AB36+AB37+AB38+AB39+AB40+AB41+AB43+AB44+AB45+AB46+AB47+AB48+AB49+AB51+AB52+AB53+AB54+AB55)/T2),0)</f>
        <v/>
      </c>
      <c r="AL55" s="5">
        <f>IFERROR(ROUND(AB55/AD55,2),0)</f>
        <v/>
      </c>
      <c r="AM55" s="5">
        <f>IFERROR(ROUND(AB55/AE55,2),0)</f>
        <v/>
      </c>
      <c r="AN55" s="2" t="inlineStr">
        <is>
          <t>2023-10-29</t>
        </is>
      </c>
      <c r="AO55" s="5">
        <f>ROUND(6.28,2)</f>
        <v/>
      </c>
      <c r="AP55" s="3">
        <f>ROUND(8484.0,2)</f>
        <v/>
      </c>
      <c r="AQ55" s="3">
        <f>ROUND(628.0,2)</f>
        <v/>
      </c>
      <c r="AR55" s="3">
        <f>ROUND(0.0,2)</f>
        <v/>
      </c>
      <c r="AS55" s="3">
        <f>ROUND(0.0,2)</f>
        <v/>
      </c>
      <c r="AT55" s="3">
        <f>ROUND(0.0,2)</f>
        <v/>
      </c>
      <c r="AU55" s="3">
        <f>ROUND(0.0,2)</f>
        <v/>
      </c>
      <c r="AV55" s="3">
        <f>ROUND(0.0,2)</f>
        <v/>
      </c>
      <c r="AW55" s="4">
        <f>IFERROR((AQ55/AP55),0)</f>
        <v/>
      </c>
      <c r="AX55" s="4">
        <f>IFERROR(((0+AO11+AO12+AO13+AO14+AO15+AO16+AO17+AO19+AO20+AO21+AO22+AO23+AO24+AO25+AO27+AO28+AO29+AO30+AO31+AO32+AO33+AO35+AO36+AO37+AO38+AO39+AO40+AO41+AO43+AO44+AO45+AO46+AO47+AO48+AO49+AO51+AO52+AO53+AO54+AO55)/T2),0)</f>
        <v/>
      </c>
      <c r="AY55" s="5">
        <f>IFERROR(ROUND(AO55/AQ55,2),0)</f>
        <v/>
      </c>
      <c r="AZ55" s="5">
        <f>IFERROR(ROUND(AO55/AR55,2),0)</f>
        <v/>
      </c>
      <c r="BA55" s="2" t="inlineStr">
        <is>
          <t>2023-10-29</t>
        </is>
      </c>
      <c r="BB55" s="5">
        <f>ROUND(0.22,2)</f>
        <v/>
      </c>
      <c r="BC55" s="3">
        <f>ROUND(1452.0,2)</f>
        <v/>
      </c>
      <c r="BD55" s="3">
        <f>ROUND(22.0,2)</f>
        <v/>
      </c>
      <c r="BE55" s="3">
        <f>ROUND(0.0,2)</f>
        <v/>
      </c>
      <c r="BF55" s="3">
        <f>ROUND(0.0,2)</f>
        <v/>
      </c>
      <c r="BG55" s="3">
        <f>ROUND(0.0,2)</f>
        <v/>
      </c>
      <c r="BH55" s="3">
        <f>ROUND(0.0,2)</f>
        <v/>
      </c>
      <c r="BI55" s="3">
        <f>ROUND(0.0,2)</f>
        <v/>
      </c>
      <c r="BJ55" s="4">
        <f>IFERROR((BD55/BC55),0)</f>
        <v/>
      </c>
      <c r="BK55" s="4">
        <f>IFERROR(((0+BB11+BB12+BB13+BB14+BB15+BB16+BB17+BB19+BB20+BB21+BB22+BB23+BB24+BB25+BB27+BB28+BB29+BB30+BB31+BB32+BB33+BB35+BB36+BB37+BB38+BB39+BB40+BB41+BB43+BB44+BB45+BB46+BB47+BB48+BB49+BB51+BB52+BB53+BB54+BB55)/T2),0)</f>
        <v/>
      </c>
      <c r="BL55" s="5">
        <f>IFERROR(ROUND(BB55/BD55,2),0)</f>
        <v/>
      </c>
      <c r="BM55" s="5">
        <f>IFERROR(ROUND(BB55/BE55,2),0)</f>
        <v/>
      </c>
      <c r="BN55" s="2" t="inlineStr">
        <is>
          <t>2023-10-29</t>
        </is>
      </c>
      <c r="BO55" s="5">
        <f>ROUND(9.129999999999999,2)</f>
        <v/>
      </c>
      <c r="BP55" s="3">
        <f>ROUND(26952.0,2)</f>
        <v/>
      </c>
      <c r="BQ55" s="3">
        <f>ROUND(913.0,2)</f>
        <v/>
      </c>
      <c r="BR55" s="3">
        <f>ROUND(0.0,2)</f>
        <v/>
      </c>
      <c r="BS55" s="3">
        <f>ROUND(0.0,2)</f>
        <v/>
      </c>
      <c r="BT55" s="3">
        <f>ROUND(0.0,2)</f>
        <v/>
      </c>
      <c r="BU55" s="3">
        <f>ROUND(0.0,2)</f>
        <v/>
      </c>
      <c r="BV55" s="3">
        <f>ROUND(0.0,2)</f>
        <v/>
      </c>
      <c r="BW55" s="4">
        <f>IFERROR((BQ55/BP55),0)</f>
        <v/>
      </c>
      <c r="BX55" s="4">
        <f>IFERROR(((0+BO11+BO12+BO13+BO14+BO15+BO16+BO17+BO19+BO20+BO21+BO22+BO23+BO24+BO25+BO27+BO28+BO29+BO30+BO31+BO32+BO33+BO35+BO36+BO37+BO38+BO39+BO40+BO41+BO43+BO44+BO45+BO46+BO47+BO48+BO49+BO51+BO52+BO53+BO54+BO55)/T2),0)</f>
        <v/>
      </c>
      <c r="BY55" s="5">
        <f>IFERROR(ROUND(BO55/BQ55,2),0)</f>
        <v/>
      </c>
      <c r="BZ55" s="5">
        <f>IFERROR(ROUND(BO55/BR55,2),0)</f>
        <v/>
      </c>
      <c r="CA55" s="2" t="inlineStr">
        <is>
          <t>2023-10-29</t>
        </is>
      </c>
      <c r="CB55" s="5">
        <f>ROUND(0.17,2)</f>
        <v/>
      </c>
      <c r="CC55" s="3">
        <f>ROUND(691.0,2)</f>
        <v/>
      </c>
      <c r="CD55" s="3">
        <f>ROUND(17.0,2)</f>
        <v/>
      </c>
      <c r="CE55" s="3">
        <f>ROUND(0.0,2)</f>
        <v/>
      </c>
      <c r="CF55" s="3">
        <f>ROUND(0.0,2)</f>
        <v/>
      </c>
      <c r="CG55" s="3">
        <f>ROUND(0.0,2)</f>
        <v/>
      </c>
      <c r="CH55" s="3">
        <f>ROUND(0.0,2)</f>
        <v/>
      </c>
      <c r="CI55" s="3">
        <f>ROUND(0.0,2)</f>
        <v/>
      </c>
      <c r="CJ55" s="4">
        <f>IFERROR((CD55/CC55),0)</f>
        <v/>
      </c>
      <c r="CK55" s="4">
        <f>IFERROR(((0+CB11+CB12+CB13+CB14+CB15+CB16+CB17+CB19+CB20+CB21+CB22+CB23+CB24+CB25+CB27+CB28+CB29+CB30+CB31+CB32+CB33+CB35+CB36+CB37+CB38+CB39+CB40+CB41+CB43+CB44+CB45+CB46+CB47+CB48+CB49+CB51+CB52+CB53+CB54+CB55)/T2),0)</f>
        <v/>
      </c>
      <c r="CL55" s="5">
        <f>IFERROR(ROUND(CB55/CD55,2),0)</f>
        <v/>
      </c>
      <c r="CM55" s="5">
        <f>IFERROR(ROUND(CB55/CE55,2),0)</f>
        <v/>
      </c>
      <c r="CN55" s="2" t="inlineStr">
        <is>
          <t>2023-10-29</t>
        </is>
      </c>
      <c r="CO55" s="5">
        <f>ROUND(0.1,2)</f>
        <v/>
      </c>
      <c r="CP55" s="3">
        <f>ROUND(159.0,2)</f>
        <v/>
      </c>
      <c r="CQ55" s="3">
        <f>ROUND(10.0,2)</f>
        <v/>
      </c>
      <c r="CR55" s="3">
        <f>ROUND(0.0,2)</f>
        <v/>
      </c>
      <c r="CS55" s="3">
        <f>ROUND(0.0,2)</f>
        <v/>
      </c>
      <c r="CT55" s="3">
        <f>ROUND(0.0,2)</f>
        <v/>
      </c>
      <c r="CU55" s="3">
        <f>ROUND(0.0,2)</f>
        <v/>
      </c>
      <c r="CV55" s="3">
        <f>ROUND(0.0,2)</f>
        <v/>
      </c>
      <c r="CW55" s="4">
        <f>IFERROR((CQ55/CP55),0)</f>
        <v/>
      </c>
      <c r="CX55" s="4">
        <f>IFERROR(((0+CO11+CO12+CO13+CO14+CO15+CO16+CO17+CO19+CO20+CO21+CO22+CO23+CO24+CO25+CO27+CO28+CO29+CO30+CO31+CO32+CO33+CO35+CO36+CO37+CO38+CO39+CO40+CO41+CO43+CO44+CO45+CO46+CO47+CO48+CO49+CO51+CO52+CO53+CO54+CO55)/T2),0)</f>
        <v/>
      </c>
      <c r="CY55" s="5">
        <f>IFERROR(ROUND(CO55/CQ55,2),0)</f>
        <v/>
      </c>
      <c r="CZ55" s="5">
        <f>IFERROR(ROUND(CO55/CR55,2),0)</f>
        <v/>
      </c>
      <c r="DA55" s="2" t="inlineStr">
        <is>
          <t>2023-10-29</t>
        </is>
      </c>
      <c r="DB55" s="5">
        <f>ROUND(0.5900000000000001,2)</f>
        <v/>
      </c>
      <c r="DC55" s="3">
        <f>ROUND(1202.0,2)</f>
        <v/>
      </c>
      <c r="DD55" s="3">
        <f>ROUND(59.0,2)</f>
        <v/>
      </c>
      <c r="DE55" s="3">
        <f>ROUND(0.0,2)</f>
        <v/>
      </c>
      <c r="DF55" s="3">
        <f>ROUND(0.0,2)</f>
        <v/>
      </c>
      <c r="DG55" s="3">
        <f>ROUND(0.0,2)</f>
        <v/>
      </c>
      <c r="DH55" s="3">
        <f>ROUND(0.0,2)</f>
        <v/>
      </c>
      <c r="DI55" s="3">
        <f>ROUND(0.0,2)</f>
        <v/>
      </c>
      <c r="DJ55" s="4">
        <f>IFERROR((DD55/DC55),0)</f>
        <v/>
      </c>
      <c r="DK55" s="4">
        <f>IFERROR(((0+DB11+DB12+DB13+DB14+DB15+DB16+DB17+DB19+DB20+DB21+DB22+DB23+DB24+DB25+DB27+DB28+DB29+DB30+DB31+DB32+DB33+DB35+DB36+DB37+DB38+DB39+DB40+DB41+DB43+DB44+DB45+DB46+DB47+DB48+DB49+DB51+DB52+DB53+DB54+DB55)/T2),0)</f>
        <v/>
      </c>
      <c r="DL55" s="5">
        <f>IFERROR(ROUND(DB55/DD55,2),0)</f>
        <v/>
      </c>
      <c r="DM55" s="5">
        <f>IFERROR(ROUND(DB55/DE55,2),0)</f>
        <v/>
      </c>
      <c r="DN55" s="2" t="inlineStr">
        <is>
          <t>2023-10-29</t>
        </is>
      </c>
      <c r="DO55" s="5">
        <f>ROUND(0.17,2)</f>
        <v/>
      </c>
      <c r="DP55" s="3">
        <f>ROUND(957.0,2)</f>
        <v/>
      </c>
      <c r="DQ55" s="3">
        <f>ROUND(17.0,2)</f>
        <v/>
      </c>
      <c r="DR55" s="3">
        <f>ROUND(0.0,2)</f>
        <v/>
      </c>
      <c r="DS55" s="3">
        <f>ROUND(0.0,2)</f>
        <v/>
      </c>
      <c r="DT55" s="3">
        <f>ROUND(0.0,2)</f>
        <v/>
      </c>
      <c r="DU55" s="3">
        <f>ROUND(0.0,2)</f>
        <v/>
      </c>
      <c r="DV55" s="3">
        <f>ROUND(0.0,2)</f>
        <v/>
      </c>
      <c r="DW55" s="4">
        <f>IFERROR((DQ55/DP55),0)</f>
        <v/>
      </c>
      <c r="DX55" s="4">
        <f>IFERROR(((0+DO11+DO12+DO13+DO14+DO15+DO16+DO17+DO19+DO20+DO21+DO22+DO23+DO24+DO25+DO27+DO28+DO29+DO30+DO31+DO32+DO33+DO35+DO36+DO37+DO38+DO39+DO40+DO41+DO43+DO44+DO45+DO46+DO47+DO48+DO49+DO51+DO52+DO53+DO54+DO55)/T2),0)</f>
        <v/>
      </c>
      <c r="DY55" s="5">
        <f>IFERROR(ROUND(DO55/DQ55,2),0)</f>
        <v/>
      </c>
      <c r="DZ55" s="5">
        <f>IFERROR(ROUND(DO55/DR55,2),0)</f>
        <v/>
      </c>
      <c r="EA55" s="2" t="inlineStr">
        <is>
          <t>2023-10-29</t>
        </is>
      </c>
      <c r="EB55" s="5">
        <f>ROUND(11.51,2)</f>
        <v/>
      </c>
      <c r="EC55" s="3">
        <f>ROUND(46442.0,2)</f>
        <v/>
      </c>
      <c r="ED55" s="3">
        <f>ROUND(1151.0,2)</f>
        <v/>
      </c>
      <c r="EE55" s="3">
        <f>ROUND(0.0,2)</f>
        <v/>
      </c>
      <c r="EF55" s="3">
        <f>ROUND(0.0,2)</f>
        <v/>
      </c>
      <c r="EG55" s="3">
        <f>ROUND(0.0,2)</f>
        <v/>
      </c>
      <c r="EH55" s="3">
        <f>ROUND(0.0,2)</f>
        <v/>
      </c>
      <c r="EI55" s="3">
        <f>ROUND(0.0,2)</f>
        <v/>
      </c>
      <c r="EJ55" s="4">
        <f>IFERROR((ED55/EC55),0)</f>
        <v/>
      </c>
      <c r="EK55" s="4">
        <f>IFERROR(((0+EB11+EB12+EB13+EB14+EB15+EB16+EB17+EB19+EB20+EB21+EB22+EB23+EB24+EB25+EB27+EB28+EB29+EB30+EB31+EB32+EB33+EB35+EB36+EB37+EB38+EB39+EB40+EB41+EB43+EB44+EB45+EB46+EB47+EB48+EB49+EB51+EB52+EB53+EB54+EB55)/T2),0)</f>
        <v/>
      </c>
      <c r="EL55" s="5">
        <f>IFERROR(ROUND(EB55/ED55,2),0)</f>
        <v/>
      </c>
      <c r="EM55" s="5">
        <f>IFERROR(ROUND(EB55/EE55,2),0)</f>
        <v/>
      </c>
      <c r="EN55" s="2" t="inlineStr">
        <is>
          <t>2023-10-29</t>
        </is>
      </c>
      <c r="EO55" s="5">
        <f>ROUND(1.46,2)</f>
        <v/>
      </c>
      <c r="EP55" s="3">
        <f>ROUND(3245.0,2)</f>
        <v/>
      </c>
      <c r="EQ55" s="3">
        <f>ROUND(146.0,2)</f>
        <v/>
      </c>
      <c r="ER55" s="3">
        <f>ROUND(0.0,2)</f>
        <v/>
      </c>
      <c r="ES55" s="3">
        <f>ROUND(0.0,2)</f>
        <v/>
      </c>
      <c r="ET55" s="3">
        <f>ROUND(0.0,2)</f>
        <v/>
      </c>
      <c r="EU55" s="3">
        <f>ROUND(0.0,2)</f>
        <v/>
      </c>
      <c r="EV55" s="3">
        <f>ROUND(0.0,2)</f>
        <v/>
      </c>
      <c r="EW55" s="4">
        <f>IFERROR((EQ55/EP55),0)</f>
        <v/>
      </c>
      <c r="EX55" s="4">
        <f>IFERROR(((0+EO11+EO12+EO13+EO14+EO15+EO16+EO17+EO19+EO20+EO21+EO22+EO23+EO24+EO25+EO27+EO28+EO29+EO30+EO31+EO32+EO33+EO35+EO36+EO37+EO38+EO39+EO40+EO41+EO43+EO44+EO45+EO46+EO47+EO48+EO49+EO51+EO52+EO53+EO54+EO55)/T2),0)</f>
        <v/>
      </c>
      <c r="EY55" s="5">
        <f>IFERROR(ROUND(EO55/EQ55,2),0)</f>
        <v/>
      </c>
      <c r="EZ55" s="5">
        <f>IFERROR(ROUND(EO55/ER55,2),0)</f>
        <v/>
      </c>
      <c r="FA55" s="2" t="inlineStr">
        <is>
          <t>2023-10-29</t>
        </is>
      </c>
      <c r="FB55" s="5">
        <f>ROUND(0.56,2)</f>
        <v/>
      </c>
      <c r="FC55" s="3">
        <f>ROUND(1852.0,2)</f>
        <v/>
      </c>
      <c r="FD55" s="3">
        <f>ROUND(56.0,2)</f>
        <v/>
      </c>
      <c r="FE55" s="3">
        <f>ROUND(0.0,2)</f>
        <v/>
      </c>
      <c r="FF55" s="3">
        <f>ROUND(0.0,2)</f>
        <v/>
      </c>
      <c r="FG55" s="3">
        <f>ROUND(0.0,2)</f>
        <v/>
      </c>
      <c r="FH55" s="3">
        <f>ROUND(0.0,2)</f>
        <v/>
      </c>
      <c r="FI55" s="3">
        <f>ROUND(0.0,2)</f>
        <v/>
      </c>
      <c r="FJ55" s="4">
        <f>IFERROR((FD55/FC55),0)</f>
        <v/>
      </c>
      <c r="FK55" s="4">
        <f>IFERROR(((0+FB11+FB12+FB13+FB14+FB15+FB16+FB17+FB19+FB20+FB21+FB22+FB23+FB24+FB25+FB27+FB28+FB29+FB30+FB31+FB32+FB33+FB35+FB36+FB37+FB38+FB39+FB40+FB41+FB43+FB44+FB45+FB46+FB47+FB48+FB49+FB51+FB52+FB53+FB54+FB55)/T2),0)</f>
        <v/>
      </c>
      <c r="FL55" s="5">
        <f>IFERROR(ROUND(FB55/FD55,2),0)</f>
        <v/>
      </c>
      <c r="FM55" s="5">
        <f>IFERROR(ROUND(FB55/FE55,2),0)</f>
        <v/>
      </c>
      <c r="FN55" s="2" t="inlineStr">
        <is>
          <t>2023-10-29</t>
        </is>
      </c>
      <c r="FO55" s="5">
        <f>ROUND(0.54,2)</f>
        <v/>
      </c>
      <c r="FP55" s="3">
        <f>ROUND(1157.0,2)</f>
        <v/>
      </c>
      <c r="FQ55" s="3">
        <f>ROUND(54.0,2)</f>
        <v/>
      </c>
      <c r="FR55" s="3">
        <f>ROUND(0.0,2)</f>
        <v/>
      </c>
      <c r="FS55" s="3">
        <f>ROUND(0.0,2)</f>
        <v/>
      </c>
      <c r="FT55" s="3">
        <f>ROUND(0.0,2)</f>
        <v/>
      </c>
      <c r="FU55" s="3">
        <f>ROUND(0.0,2)</f>
        <v/>
      </c>
      <c r="FV55" s="3">
        <f>ROUND(0.0,2)</f>
        <v/>
      </c>
      <c r="FW55" s="4">
        <f>IFERROR((FQ55/FP55),0)</f>
        <v/>
      </c>
      <c r="FX55" s="4">
        <f>IFERROR(((0+FO11+FO12+FO13+FO14+FO15+FO16+FO17+FO19+FO20+FO21+FO22+FO23+FO24+FO25+FO27+FO28+FO29+FO30+FO31+FO32+FO33+FO35+FO36+FO37+FO38+FO39+FO40+FO41+FO43+FO44+FO45+FO46+FO47+FO48+FO49+FO51+FO52+FO53+FO54+FO55)/T2),0)</f>
        <v/>
      </c>
      <c r="FY55" s="5">
        <f>IFERROR(ROUND(FO55/FQ55,2),0)</f>
        <v/>
      </c>
      <c r="FZ55" s="5">
        <f>IFERROR(ROUND(FO55/FR55,2),0)</f>
        <v/>
      </c>
      <c r="GA55" s="2" t="inlineStr">
        <is>
          <t>2023-10-29</t>
        </is>
      </c>
      <c r="GB55" s="5">
        <f>ROUND(0.0,2)</f>
        <v/>
      </c>
      <c r="GC55" s="3">
        <f>ROUND(0.0,2)</f>
        <v/>
      </c>
      <c r="GD55" s="3">
        <f>ROUND(0.0,2)</f>
        <v/>
      </c>
      <c r="GE55" s="3">
        <f>ROUND(0.0,2)</f>
        <v/>
      </c>
      <c r="GF55" s="3">
        <f>ROUND(0.0,2)</f>
        <v/>
      </c>
      <c r="GG55" s="3">
        <f>ROUND(0.0,2)</f>
        <v/>
      </c>
      <c r="GH55" s="3">
        <f>ROUND(0.0,2)</f>
        <v/>
      </c>
      <c r="GI55" s="3">
        <f>ROUND(0.0,2)</f>
        <v/>
      </c>
      <c r="GJ55" s="4">
        <f>IFERROR((GD55/GC55),0)</f>
        <v/>
      </c>
      <c r="GK55" s="4">
        <f>IFERROR(((0+GB11+GB12+GB13+GB14+GB15+GB16+GB17+GB19+GB20+GB21+GB22+GB23+GB24+GB25+GB27+GB28+GB29+GB30+GB31+GB32+GB33+GB35+GB36+GB37+GB38+GB39+GB40+GB41+GB43+GB44+GB45+GB46+GB47+GB48+GB49+GB51+GB52+GB53+GB54+GB55)/T2),0)</f>
        <v/>
      </c>
      <c r="GL55" s="5">
        <f>IFERROR(ROUND(GB55/GD55,2),0)</f>
        <v/>
      </c>
      <c r="GM55" s="5">
        <f>IFERROR(ROUND(GB55/GE55,2),0)</f>
        <v/>
      </c>
    </row>
    <row r="56">
      <c r="A56" s="6" t="inlineStr">
        <is>
          <t>Total</t>
        </is>
      </c>
      <c r="B56" s="7">
        <f>ROUND(289.04,2)</f>
        <v/>
      </c>
      <c r="C56" s="8">
        <f>ROUND(591843.0,2)</f>
        <v/>
      </c>
      <c r="D56" s="8">
        <f>ROUND(28778.0,2)</f>
        <v/>
      </c>
      <c r="E56" s="8">
        <f>ROUND(0.0,2)</f>
        <v/>
      </c>
      <c r="F56" s="8">
        <f>ROUND(0.0,2)</f>
        <v/>
      </c>
      <c r="G56" s="8">
        <f>ROUND(0.0,2)</f>
        <v/>
      </c>
      <c r="H56" s="8">
        <f>ROUND(0.0,2)</f>
        <v/>
      </c>
      <c r="I56" s="8">
        <f>ROUND(0.0,2)</f>
        <v/>
      </c>
      <c r="J56" s="9">
        <f>IFERROR((D56/C56),0)</f>
        <v/>
      </c>
      <c r="K56" s="9">
        <f>IFERROR(((0+B56)/T2),0)</f>
        <v/>
      </c>
      <c r="L56" s="7">
        <f>IFERROR(B56/D56,0)</f>
        <v/>
      </c>
      <c r="M56" s="7">
        <f>IFERROR(ROUND(B56/E56,2),0)</f>
        <v/>
      </c>
      <c r="N56" s="6" t="inlineStr">
        <is>
          <t>Total</t>
        </is>
      </c>
      <c r="O56" s="7">
        <f>ROUND(4.55,2)</f>
        <v/>
      </c>
      <c r="P56" s="8">
        <f>ROUND(16142.0,2)</f>
        <v/>
      </c>
      <c r="Q56" s="8">
        <f>ROUND(454.0,2)</f>
        <v/>
      </c>
      <c r="R56" s="8">
        <f>ROUND(0.0,2)</f>
        <v/>
      </c>
      <c r="S56" s="8">
        <f>ROUND(0.0,2)</f>
        <v/>
      </c>
      <c r="T56" s="8">
        <f>ROUND(0.0,2)</f>
        <v/>
      </c>
      <c r="U56" s="8">
        <f>ROUND(0.0,2)</f>
        <v/>
      </c>
      <c r="V56" s="8">
        <f>ROUND(0.0,2)</f>
        <v/>
      </c>
      <c r="W56" s="9">
        <f>IFERROR((Q56/P56),0)</f>
        <v/>
      </c>
      <c r="X56" s="9">
        <f>IFERROR(((0+O56)/T2),0)</f>
        <v/>
      </c>
      <c r="Y56" s="7">
        <f>IFERROR(O56/Q56,0)</f>
        <v/>
      </c>
      <c r="Z56" s="7">
        <f>IFERROR(ROUND(O56/R56,2),0)</f>
        <v/>
      </c>
      <c r="AA56" s="6" t="inlineStr">
        <is>
          <t>Total</t>
        </is>
      </c>
      <c r="AB56" s="7">
        <f>ROUND(120.48,2)</f>
        <v/>
      </c>
      <c r="AC56" s="8">
        <f>ROUND(171453.0,2)</f>
        <v/>
      </c>
      <c r="AD56" s="8">
        <f>ROUND(12046.0,2)</f>
        <v/>
      </c>
      <c r="AE56" s="8">
        <f>ROUND(0.0,2)</f>
        <v/>
      </c>
      <c r="AF56" s="8">
        <f>ROUND(0.0,2)</f>
        <v/>
      </c>
      <c r="AG56" s="8">
        <f>ROUND(0.0,2)</f>
        <v/>
      </c>
      <c r="AH56" s="8">
        <f>ROUND(0.0,2)</f>
        <v/>
      </c>
      <c r="AI56" s="8">
        <f>ROUND(0.0,2)</f>
        <v/>
      </c>
      <c r="AJ56" s="9">
        <f>IFERROR((AD56/AC56),0)</f>
        <v/>
      </c>
      <c r="AK56" s="9">
        <f>IFERROR(((0+AB56)/T2),0)</f>
        <v/>
      </c>
      <c r="AL56" s="7">
        <f>IFERROR(AB56/AD56,0)</f>
        <v/>
      </c>
      <c r="AM56" s="7">
        <f>IFERROR(ROUND(AB56/AE56,2),0)</f>
        <v/>
      </c>
      <c r="AN56" s="6" t="inlineStr">
        <is>
          <t>Total</t>
        </is>
      </c>
      <c r="AO56" s="7">
        <f>ROUND(8.66,2)</f>
        <v/>
      </c>
      <c r="AP56" s="8">
        <f>ROUND(14306.0,2)</f>
        <v/>
      </c>
      <c r="AQ56" s="8">
        <f>ROUND(865.0,2)</f>
        <v/>
      </c>
      <c r="AR56" s="8">
        <f>ROUND(0.0,2)</f>
        <v/>
      </c>
      <c r="AS56" s="8">
        <f>ROUND(0.0,2)</f>
        <v/>
      </c>
      <c r="AT56" s="8">
        <f>ROUND(0.0,2)</f>
        <v/>
      </c>
      <c r="AU56" s="8">
        <f>ROUND(0.0,2)</f>
        <v/>
      </c>
      <c r="AV56" s="8">
        <f>ROUND(0.0,2)</f>
        <v/>
      </c>
      <c r="AW56" s="9">
        <f>IFERROR((AQ56/AP56),0)</f>
        <v/>
      </c>
      <c r="AX56" s="9">
        <f>IFERROR(((0+AO56)/T2),0)</f>
        <v/>
      </c>
      <c r="AY56" s="7">
        <f>IFERROR(AO56/AQ56,0)</f>
        <v/>
      </c>
      <c r="AZ56" s="7">
        <f>IFERROR(ROUND(AO56/AR56,2),0)</f>
        <v/>
      </c>
      <c r="BA56" s="6" t="inlineStr">
        <is>
          <t>Total</t>
        </is>
      </c>
      <c r="BB56" s="7">
        <f>ROUND(11.42,2)</f>
        <v/>
      </c>
      <c r="BC56" s="8">
        <f>ROUND(18394.0,2)</f>
        <v/>
      </c>
      <c r="BD56" s="8">
        <f>ROUND(1142.0,2)</f>
        <v/>
      </c>
      <c r="BE56" s="8">
        <f>ROUND(0.0,2)</f>
        <v/>
      </c>
      <c r="BF56" s="8">
        <f>ROUND(0.0,2)</f>
        <v/>
      </c>
      <c r="BG56" s="8">
        <f>ROUND(0.0,2)</f>
        <v/>
      </c>
      <c r="BH56" s="8">
        <f>ROUND(0.0,2)</f>
        <v/>
      </c>
      <c r="BI56" s="8">
        <f>ROUND(0.0,2)</f>
        <v/>
      </c>
      <c r="BJ56" s="9">
        <f>IFERROR((BD56/BC56),0)</f>
        <v/>
      </c>
      <c r="BK56" s="9">
        <f>IFERROR(((0+BB56)/T2),0)</f>
        <v/>
      </c>
      <c r="BL56" s="7">
        <f>IFERROR(BB56/BD56,0)</f>
        <v/>
      </c>
      <c r="BM56" s="7">
        <f>IFERROR(ROUND(BB56/BE56,2),0)</f>
        <v/>
      </c>
      <c r="BN56" s="6" t="inlineStr">
        <is>
          <t>Total</t>
        </is>
      </c>
      <c r="BO56" s="7">
        <f>ROUND(52.379999999999995,2)</f>
        <v/>
      </c>
      <c r="BP56" s="8">
        <f>ROUND(103991.0,2)</f>
        <v/>
      </c>
      <c r="BQ56" s="8">
        <f>ROUND(5229.0,2)</f>
        <v/>
      </c>
      <c r="BR56" s="8">
        <f>ROUND(0.0,2)</f>
        <v/>
      </c>
      <c r="BS56" s="8">
        <f>ROUND(0.0,2)</f>
        <v/>
      </c>
      <c r="BT56" s="8">
        <f>ROUND(0.0,2)</f>
        <v/>
      </c>
      <c r="BU56" s="8">
        <f>ROUND(0.0,2)</f>
        <v/>
      </c>
      <c r="BV56" s="8">
        <f>ROUND(0.0,2)</f>
        <v/>
      </c>
      <c r="BW56" s="9">
        <f>IFERROR((BQ56/BP56),0)</f>
        <v/>
      </c>
      <c r="BX56" s="9">
        <f>IFERROR(((0+BO56)/T2),0)</f>
        <v/>
      </c>
      <c r="BY56" s="7">
        <f>IFERROR(BO56/BQ56,0)</f>
        <v/>
      </c>
      <c r="BZ56" s="7">
        <f>IFERROR(ROUND(BO56/BR56,2),0)</f>
        <v/>
      </c>
      <c r="CA56" s="6" t="inlineStr">
        <is>
          <t>Total</t>
        </is>
      </c>
      <c r="CB56" s="7">
        <f>ROUND(0.44,2)</f>
        <v/>
      </c>
      <c r="CC56" s="8">
        <f>ROUND(2329.0,2)</f>
        <v/>
      </c>
      <c r="CD56" s="8">
        <f>ROUND(44.0,2)</f>
        <v/>
      </c>
      <c r="CE56" s="8">
        <f>ROUND(0.0,2)</f>
        <v/>
      </c>
      <c r="CF56" s="8">
        <f>ROUND(0.0,2)</f>
        <v/>
      </c>
      <c r="CG56" s="8">
        <f>ROUND(0.0,2)</f>
        <v/>
      </c>
      <c r="CH56" s="8">
        <f>ROUND(0.0,2)</f>
        <v/>
      </c>
      <c r="CI56" s="8">
        <f>ROUND(0.0,2)</f>
        <v/>
      </c>
      <c r="CJ56" s="9">
        <f>IFERROR((CD56/CC56),0)</f>
        <v/>
      </c>
      <c r="CK56" s="9">
        <f>IFERROR(((0+CB56)/T2),0)</f>
        <v/>
      </c>
      <c r="CL56" s="7">
        <f>IFERROR(CB56/CD56,0)</f>
        <v/>
      </c>
      <c r="CM56" s="7">
        <f>IFERROR(ROUND(CB56/CE56,2),0)</f>
        <v/>
      </c>
      <c r="CN56" s="6" t="inlineStr">
        <is>
          <t>Total</t>
        </is>
      </c>
      <c r="CO56" s="7">
        <f>ROUND(0.62,2)</f>
        <v/>
      </c>
      <c r="CP56" s="8">
        <f>ROUND(988.0,2)</f>
        <v/>
      </c>
      <c r="CQ56" s="8">
        <f>ROUND(62.0,2)</f>
        <v/>
      </c>
      <c r="CR56" s="8">
        <f>ROUND(0.0,2)</f>
        <v/>
      </c>
      <c r="CS56" s="8">
        <f>ROUND(0.0,2)</f>
        <v/>
      </c>
      <c r="CT56" s="8">
        <f>ROUND(0.0,2)</f>
        <v/>
      </c>
      <c r="CU56" s="8">
        <f>ROUND(0.0,2)</f>
        <v/>
      </c>
      <c r="CV56" s="8">
        <f>ROUND(0.0,2)</f>
        <v/>
      </c>
      <c r="CW56" s="9">
        <f>IFERROR((CQ56/CP56),0)</f>
        <v/>
      </c>
      <c r="CX56" s="9">
        <f>IFERROR(((0+CO56)/T2),0)</f>
        <v/>
      </c>
      <c r="CY56" s="7">
        <f>IFERROR(CO56/CQ56,0)</f>
        <v/>
      </c>
      <c r="CZ56" s="7">
        <f>IFERROR(ROUND(CO56/CR56,2),0)</f>
        <v/>
      </c>
      <c r="DA56" s="6" t="inlineStr">
        <is>
          <t>Total</t>
        </is>
      </c>
      <c r="DB56" s="7">
        <f>ROUND(8.18,2)</f>
        <v/>
      </c>
      <c r="DC56" s="8">
        <f>ROUND(14083.0,2)</f>
        <v/>
      </c>
      <c r="DD56" s="8">
        <f>ROUND(816.0,2)</f>
        <v/>
      </c>
      <c r="DE56" s="8">
        <f>ROUND(0.0,2)</f>
        <v/>
      </c>
      <c r="DF56" s="8">
        <f>ROUND(0.0,2)</f>
        <v/>
      </c>
      <c r="DG56" s="8">
        <f>ROUND(0.0,2)</f>
        <v/>
      </c>
      <c r="DH56" s="8">
        <f>ROUND(0.0,2)</f>
        <v/>
      </c>
      <c r="DI56" s="8">
        <f>ROUND(0.0,2)</f>
        <v/>
      </c>
      <c r="DJ56" s="9">
        <f>IFERROR((DD56/DC56),0)</f>
        <v/>
      </c>
      <c r="DK56" s="9">
        <f>IFERROR(((0+DB56)/T2),0)</f>
        <v/>
      </c>
      <c r="DL56" s="7">
        <f>IFERROR(DB56/DD56,0)</f>
        <v/>
      </c>
      <c r="DM56" s="7">
        <f>IFERROR(ROUND(DB56/DE56,2),0)</f>
        <v/>
      </c>
      <c r="DN56" s="6" t="inlineStr">
        <is>
          <t>Total</t>
        </is>
      </c>
      <c r="DO56" s="7">
        <f>ROUND(2.65,2)</f>
        <v/>
      </c>
      <c r="DP56" s="8">
        <f>ROUND(8351.0,2)</f>
        <v/>
      </c>
      <c r="DQ56" s="8">
        <f>ROUND(260.0,2)</f>
        <v/>
      </c>
      <c r="DR56" s="8">
        <f>ROUND(0.0,2)</f>
        <v/>
      </c>
      <c r="DS56" s="8">
        <f>ROUND(0.0,2)</f>
        <v/>
      </c>
      <c r="DT56" s="8">
        <f>ROUND(0.0,2)</f>
        <v/>
      </c>
      <c r="DU56" s="8">
        <f>ROUND(0.0,2)</f>
        <v/>
      </c>
      <c r="DV56" s="8">
        <f>ROUND(0.0,2)</f>
        <v/>
      </c>
      <c r="DW56" s="9">
        <f>IFERROR((DQ56/DP56),0)</f>
        <v/>
      </c>
      <c r="DX56" s="9">
        <f>IFERROR(((0+DO56)/T2),0)</f>
        <v/>
      </c>
      <c r="DY56" s="7">
        <f>IFERROR(DO56/DQ56,0)</f>
        <v/>
      </c>
      <c r="DZ56" s="7">
        <f>IFERROR(ROUND(DO56/DR56,2),0)</f>
        <v/>
      </c>
      <c r="EA56" s="6" t="inlineStr">
        <is>
          <t>Total</t>
        </is>
      </c>
      <c r="EB56" s="7">
        <f>ROUND(57.68,2)</f>
        <v/>
      </c>
      <c r="EC56" s="8">
        <f>ROUND(200759.0,2)</f>
        <v/>
      </c>
      <c r="ED56" s="8">
        <f>ROUND(5715.0,2)</f>
        <v/>
      </c>
      <c r="EE56" s="8">
        <f>ROUND(0.0,2)</f>
        <v/>
      </c>
      <c r="EF56" s="8">
        <f>ROUND(0.0,2)</f>
        <v/>
      </c>
      <c r="EG56" s="8">
        <f>ROUND(0.0,2)</f>
        <v/>
      </c>
      <c r="EH56" s="8">
        <f>ROUND(0.0,2)</f>
        <v/>
      </c>
      <c r="EI56" s="8">
        <f>ROUND(0.0,2)</f>
        <v/>
      </c>
      <c r="EJ56" s="9">
        <f>IFERROR((ED56/EC56),0)</f>
        <v/>
      </c>
      <c r="EK56" s="9">
        <f>IFERROR(((0+EB56)/T2),0)</f>
        <v/>
      </c>
      <c r="EL56" s="7">
        <f>IFERROR(EB56/ED56,0)</f>
        <v/>
      </c>
      <c r="EM56" s="7">
        <f>IFERROR(ROUND(EB56/EE56,2),0)</f>
        <v/>
      </c>
      <c r="EN56" s="6" t="inlineStr">
        <is>
          <t>Total</t>
        </is>
      </c>
      <c r="EO56" s="7">
        <f>ROUND(12.34,2)</f>
        <v/>
      </c>
      <c r="EP56" s="8">
        <f>ROUND(21972.0,2)</f>
        <v/>
      </c>
      <c r="EQ56" s="8">
        <f>ROUND(1188.0,2)</f>
        <v/>
      </c>
      <c r="ER56" s="8">
        <f>ROUND(0.0,2)</f>
        <v/>
      </c>
      <c r="ES56" s="8">
        <f>ROUND(0.0,2)</f>
        <v/>
      </c>
      <c r="ET56" s="8">
        <f>ROUND(0.0,2)</f>
        <v/>
      </c>
      <c r="EU56" s="8">
        <f>ROUND(0.0,2)</f>
        <v/>
      </c>
      <c r="EV56" s="8">
        <f>ROUND(0.0,2)</f>
        <v/>
      </c>
      <c r="EW56" s="9">
        <f>IFERROR((EQ56/EP56),0)</f>
        <v/>
      </c>
      <c r="EX56" s="9">
        <f>IFERROR(((0+EO56)/T2),0)</f>
        <v/>
      </c>
      <c r="EY56" s="7">
        <f>IFERROR(EO56/EQ56,0)</f>
        <v/>
      </c>
      <c r="EZ56" s="7">
        <f>IFERROR(ROUND(EO56/ER56,2),0)</f>
        <v/>
      </c>
      <c r="FA56" s="6" t="inlineStr">
        <is>
          <t>Total</t>
        </is>
      </c>
      <c r="FB56" s="7">
        <f>ROUND(6.04,2)</f>
        <v/>
      </c>
      <c r="FC56" s="8">
        <f>ROUND(13339.0,2)</f>
        <v/>
      </c>
      <c r="FD56" s="8">
        <f>ROUND(599.0,2)</f>
        <v/>
      </c>
      <c r="FE56" s="8">
        <f>ROUND(0.0,2)</f>
        <v/>
      </c>
      <c r="FF56" s="8">
        <f>ROUND(0.0,2)</f>
        <v/>
      </c>
      <c r="FG56" s="8">
        <f>ROUND(0.0,2)</f>
        <v/>
      </c>
      <c r="FH56" s="8">
        <f>ROUND(0.0,2)</f>
        <v/>
      </c>
      <c r="FI56" s="8">
        <f>ROUND(0.0,2)</f>
        <v/>
      </c>
      <c r="FJ56" s="9">
        <f>IFERROR((FD56/FC56),0)</f>
        <v/>
      </c>
      <c r="FK56" s="9">
        <f>IFERROR(((0+FB56)/T2),0)</f>
        <v/>
      </c>
      <c r="FL56" s="7">
        <f>IFERROR(FB56/FD56,0)</f>
        <v/>
      </c>
      <c r="FM56" s="7">
        <f>IFERROR(ROUND(FB56/FE56,2),0)</f>
        <v/>
      </c>
      <c r="FN56" s="6" t="inlineStr">
        <is>
          <t>Total</t>
        </is>
      </c>
      <c r="FO56" s="7">
        <f>ROUND(3.6,2)</f>
        <v/>
      </c>
      <c r="FP56" s="8">
        <f>ROUND(5726.0,2)</f>
        <v/>
      </c>
      <c r="FQ56" s="8">
        <f>ROUND(358.0,2)</f>
        <v/>
      </c>
      <c r="FR56" s="8">
        <f>ROUND(0.0,2)</f>
        <v/>
      </c>
      <c r="FS56" s="8">
        <f>ROUND(0.0,2)</f>
        <v/>
      </c>
      <c r="FT56" s="8">
        <f>ROUND(0.0,2)</f>
        <v/>
      </c>
      <c r="FU56" s="8">
        <f>ROUND(0.0,2)</f>
        <v/>
      </c>
      <c r="FV56" s="8">
        <f>ROUND(0.0,2)</f>
        <v/>
      </c>
      <c r="FW56" s="9">
        <f>IFERROR((FQ56/FP56),0)</f>
        <v/>
      </c>
      <c r="FX56" s="9">
        <f>IFERROR(((0+FO56)/T2),0)</f>
        <v/>
      </c>
      <c r="FY56" s="7">
        <f>IFERROR(FO56/FQ56,0)</f>
        <v/>
      </c>
      <c r="FZ56" s="7">
        <f>IFERROR(ROUND(FO56/FR56,2),0)</f>
        <v/>
      </c>
      <c r="GA56" s="6" t="inlineStr">
        <is>
          <t>Total</t>
        </is>
      </c>
      <c r="GB56" s="7">
        <f>ROUND(0.0,2)</f>
        <v/>
      </c>
      <c r="GC56" s="8">
        <f>ROUND(10.0,2)</f>
        <v/>
      </c>
      <c r="GD56" s="8">
        <f>ROUND(0.0,2)</f>
        <v/>
      </c>
      <c r="GE56" s="8">
        <f>ROUND(0.0,2)</f>
        <v/>
      </c>
      <c r="GF56" s="8">
        <f>ROUND(0.0,2)</f>
        <v/>
      </c>
      <c r="GG56" s="8">
        <f>ROUND(0.0,2)</f>
        <v/>
      </c>
      <c r="GH56" s="8">
        <f>ROUND(0.0,2)</f>
        <v/>
      </c>
      <c r="GI56" s="8">
        <f>ROUND(0.0,2)</f>
        <v/>
      </c>
      <c r="GJ56" s="9">
        <f>IFERROR((GD56/GC56),0)</f>
        <v/>
      </c>
      <c r="GK56" s="9">
        <f>IFERROR(((0+GB56)/T2),0)</f>
        <v/>
      </c>
      <c r="GL56" s="7">
        <f>IFERROR(GB56/GD56,0)</f>
        <v/>
      </c>
      <c r="GM56" s="7">
        <f>IFERROR(ROUND(GB56/GE56,2),0)</f>
        <v/>
      </c>
    </row>
  </sheetData>
  <mergeCells count="14">
    <mergeCell ref="FA9:FM9"/>
    <mergeCell ref="EN9:EZ9"/>
    <mergeCell ref="FN9:FZ9"/>
    <mergeCell ref="GA9:GM9"/>
    <mergeCell ref="DN9:DZ9"/>
    <mergeCell ref="AA9:AM9"/>
    <mergeCell ref="N9:Z9"/>
    <mergeCell ref="BA9:BM9"/>
    <mergeCell ref="CA9:CM9"/>
    <mergeCell ref="BN9:BZ9"/>
    <mergeCell ref="AN9:AZ9"/>
    <mergeCell ref="EA9:EM9"/>
    <mergeCell ref="CN9:CZ9"/>
    <mergeCell ref="DA9:DM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M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budget</t>
        </is>
      </c>
      <c r="C1" s="1" t="inlineStr">
        <is>
          <t>impressions</t>
        </is>
      </c>
      <c r="D1" s="1" t="inlineStr">
        <is>
          <t>clicks</t>
        </is>
      </c>
      <c r="E1" s="1" t="inlineStr">
        <is>
          <t>view</t>
        </is>
      </c>
      <c r="F1" s="1" t="inlineStr">
        <is>
          <t>percent_25</t>
        </is>
      </c>
      <c r="G1" s="1" t="inlineStr">
        <is>
          <t>percent_50</t>
        </is>
      </c>
      <c r="H1" s="1" t="inlineStr">
        <is>
          <t>percent_75</t>
        </is>
      </c>
      <c r="I1" s="1" t="inlineStr">
        <is>
          <t>percent_100</t>
        </is>
      </c>
      <c r="J1" s="1" t="inlineStr">
        <is>
          <t>CTR</t>
        </is>
      </c>
      <c r="K1" s="1" t="inlineStr">
        <is>
          <t>Spent Budget %</t>
        </is>
      </c>
      <c r="L1" s="1" t="inlineStr">
        <is>
          <t>CPC</t>
        </is>
      </c>
      <c r="M1" s="1" t="inlineStr">
        <is>
          <t>CPV</t>
        </is>
      </c>
      <c r="T1" s="2" t="inlineStr">
        <is>
          <t>Total Budget</t>
        </is>
      </c>
    </row>
    <row r="2">
      <c r="A2" s="2" t="inlineStr">
        <is>
          <t>1</t>
        </is>
      </c>
      <c r="B2" s="3">
        <f>ROUND(0.0,2)</f>
        <v/>
      </c>
      <c r="C2" s="3">
        <f>ROUND(0.0,2)</f>
        <v/>
      </c>
      <c r="D2" s="3">
        <f>ROUND(0.0,2)</f>
        <v/>
      </c>
      <c r="E2" s="3">
        <f>ROUND(0.0,2)</f>
        <v/>
      </c>
      <c r="F2" s="3">
        <f>ROUND(0.0,2)</f>
        <v/>
      </c>
      <c r="G2" s="3">
        <f>ROUND(0.0,2)</f>
        <v/>
      </c>
      <c r="H2" s="3">
        <f>ROUND(0.0,2)</f>
        <v/>
      </c>
      <c r="I2" s="3">
        <f>ROUND(0.0,2)</f>
        <v/>
      </c>
      <c r="J2" s="4">
        <f>IFERROR((D2/C2),0)</f>
        <v/>
      </c>
      <c r="K2" s="4">
        <f>IFERROR(((0+B2)/T2),0)</f>
        <v/>
      </c>
      <c r="L2" s="5">
        <f>IFERROR(ROUND(B2/D2,2),0)</f>
        <v/>
      </c>
      <c r="M2" s="5">
        <f>IFERROR(ROUND(B2/E2,2),0)</f>
        <v/>
      </c>
    </row>
    <row r="3">
      <c r="A3" s="2" t="inlineStr">
        <is>
          <t>2</t>
        </is>
      </c>
      <c r="B3" s="3">
        <f>ROUND(0.0,2)</f>
        <v/>
      </c>
      <c r="C3" s="3">
        <f>ROUND(0.0,2)</f>
        <v/>
      </c>
      <c r="D3" s="3">
        <f>ROUND(0.0,2)</f>
        <v/>
      </c>
      <c r="E3" s="3">
        <f>ROUND(0.0,2)</f>
        <v/>
      </c>
      <c r="F3" s="3">
        <f>ROUND(0.0,2)</f>
        <v/>
      </c>
      <c r="G3" s="3">
        <f>ROUND(0.0,2)</f>
        <v/>
      </c>
      <c r="H3" s="3">
        <f>ROUND(0.0,2)</f>
        <v/>
      </c>
      <c r="I3" s="3">
        <f>ROUND(0.0,2)</f>
        <v/>
      </c>
      <c r="J3" s="4">
        <f>IFERROR((D3/C3),0)</f>
        <v/>
      </c>
      <c r="K3" s="4">
        <f>IFERROR(((0+B2+B3)/T2),0)</f>
        <v/>
      </c>
      <c r="L3" s="5">
        <f>IFERROR(ROUND(B3/D3,2),0)</f>
        <v/>
      </c>
      <c r="M3" s="5">
        <f>IFERROR(ROUND(B3/E3,2),0)</f>
        <v/>
      </c>
    </row>
    <row r="4">
      <c r="A4" s="2" t="inlineStr">
        <is>
          <t>3</t>
        </is>
      </c>
      <c r="B4" s="3">
        <f>ROUND(0.0,2)</f>
        <v/>
      </c>
      <c r="C4" s="3">
        <f>ROUND(0.0,2)</f>
        <v/>
      </c>
      <c r="D4" s="3">
        <f>ROUND(0.0,2)</f>
        <v/>
      </c>
      <c r="E4" s="3">
        <f>ROUND(0.0,2)</f>
        <v/>
      </c>
      <c r="F4" s="3">
        <f>ROUND(0.0,2)</f>
        <v/>
      </c>
      <c r="G4" s="3">
        <f>ROUND(0.0,2)</f>
        <v/>
      </c>
      <c r="H4" s="3">
        <f>ROUND(0.0,2)</f>
        <v/>
      </c>
      <c r="I4" s="3">
        <f>ROUND(0.0,2)</f>
        <v/>
      </c>
      <c r="J4" s="4">
        <f>IFERROR((D4/C4),0)</f>
        <v/>
      </c>
      <c r="K4" s="4">
        <f>IFERROR(((0+B2+B3+B4)/T2),0)</f>
        <v/>
      </c>
      <c r="L4" s="5">
        <f>IFERROR(ROUND(B4/D4,2),0)</f>
        <v/>
      </c>
      <c r="M4" s="5">
        <f>IFERROR(ROUND(B4/E4,2),0)</f>
        <v/>
      </c>
    </row>
    <row r="5">
      <c r="A5" s="2" t="inlineStr">
        <is>
          <t>4</t>
        </is>
      </c>
      <c r="B5" s="3">
        <f>ROUND(0.0,2)</f>
        <v/>
      </c>
      <c r="C5" s="3">
        <f>ROUND(0.0,2)</f>
        <v/>
      </c>
      <c r="D5" s="3">
        <f>ROUND(0.0,2)</f>
        <v/>
      </c>
      <c r="E5" s="3">
        <f>ROUND(0.0,2)</f>
        <v/>
      </c>
      <c r="F5" s="3">
        <f>ROUND(0.0,2)</f>
        <v/>
      </c>
      <c r="G5" s="3">
        <f>ROUND(0.0,2)</f>
        <v/>
      </c>
      <c r="H5" s="3">
        <f>ROUND(0.0,2)</f>
        <v/>
      </c>
      <c r="I5" s="3">
        <f>ROUND(0.0,2)</f>
        <v/>
      </c>
      <c r="J5" s="4">
        <f>IFERROR((D5/C5),0)</f>
        <v/>
      </c>
      <c r="K5" s="4">
        <f>IFERROR(((0+B2+B3+B4+B5)/T2),0)</f>
        <v/>
      </c>
      <c r="L5" s="5">
        <f>IFERROR(ROUND(B5/D5,2),0)</f>
        <v/>
      </c>
      <c r="M5" s="5">
        <f>IFERROR(ROUND(B5/E5,2),0)</f>
        <v/>
      </c>
    </row>
    <row r="6">
      <c r="A6" s="2" t="inlineStr">
        <is>
          <t>5</t>
        </is>
      </c>
      <c r="B6" s="3">
        <f>ROUND(429.74,2)</f>
        <v/>
      </c>
      <c r="C6" s="3">
        <f>ROUND(523119.0,2)</f>
        <v/>
      </c>
      <c r="D6" s="3">
        <f>ROUND(12917.0,2)</f>
        <v/>
      </c>
      <c r="E6" s="3">
        <f>ROUND(48958.0,2)</f>
        <v/>
      </c>
      <c r="F6" s="3">
        <f>ROUND(185913.0,2)</f>
        <v/>
      </c>
      <c r="G6" s="3">
        <f>ROUND(81840.0,2)</f>
        <v/>
      </c>
      <c r="H6" s="3">
        <f>ROUND(57892.0,2)</f>
        <v/>
      </c>
      <c r="I6" s="3">
        <f>ROUND(44617.0,2)</f>
        <v/>
      </c>
      <c r="J6" s="4">
        <f>IFERROR((D6/C6),0)</f>
        <v/>
      </c>
      <c r="K6" s="4">
        <f>IFERROR(((0+B2+B3+B4+B5+B6)/T2),0)</f>
        <v/>
      </c>
      <c r="L6" s="5">
        <f>IFERROR(ROUND(B6/D6,2),0)</f>
        <v/>
      </c>
      <c r="M6" s="5">
        <f>IFERROR(ROUND(B6/E6,2),0)</f>
        <v/>
      </c>
    </row>
    <row r="7">
      <c r="A7" s="2" t="inlineStr">
        <is>
          <t>6</t>
        </is>
      </c>
      <c r="B7" s="3">
        <f>ROUND(539.24,2)</f>
        <v/>
      </c>
      <c r="C7" s="3">
        <f>ROUND(659089.0,2)</f>
        <v/>
      </c>
      <c r="D7" s="3">
        <f>ROUND(9970.0,2)</f>
        <v/>
      </c>
      <c r="E7" s="3">
        <f>ROUND(178057.0,2)</f>
        <v/>
      </c>
      <c r="F7" s="3">
        <f>ROUND(583923.0,2)</f>
        <v/>
      </c>
      <c r="G7" s="3">
        <f>ROUND(289991.0,2)</f>
        <v/>
      </c>
      <c r="H7" s="3">
        <f>ROUND(207310.0,2)</f>
        <v/>
      </c>
      <c r="I7" s="3">
        <f>ROUND(157427.0,2)</f>
        <v/>
      </c>
      <c r="J7" s="4">
        <f>IFERROR((D7/C7),0)</f>
        <v/>
      </c>
      <c r="K7" s="4">
        <f>IFERROR(((0+B2+B3+B4+B5+B6+B7)/T2),0)</f>
        <v/>
      </c>
      <c r="L7" s="5">
        <f>IFERROR(ROUND(B7/D7,2),0)</f>
        <v/>
      </c>
      <c r="M7" s="5">
        <f>IFERROR(ROUND(B7/E7,2),0)</f>
        <v/>
      </c>
    </row>
    <row r="8">
      <c r="A8" s="6" t="inlineStr">
        <is>
          <t>Total</t>
        </is>
      </c>
      <c r="B8" s="7">
        <f>ROUND(968.98,2)</f>
        <v/>
      </c>
      <c r="C8" s="8">
        <f>ROUND(1182208.0,2)</f>
        <v/>
      </c>
      <c r="D8" s="8">
        <f>ROUND(22887.0,2)</f>
        <v/>
      </c>
      <c r="E8" s="8">
        <f>ROUND(227015.0,2)</f>
        <v/>
      </c>
      <c r="F8" s="8">
        <f>ROUND(769836.0,2)</f>
        <v/>
      </c>
      <c r="G8" s="8">
        <f>ROUND(371831.0,2)</f>
        <v/>
      </c>
      <c r="H8" s="8">
        <f>ROUND(265202.0,2)</f>
        <v/>
      </c>
      <c r="I8" s="8">
        <f>ROUND(202044.0,2)</f>
        <v/>
      </c>
      <c r="J8" s="9">
        <f>IFERROR((D8/C8),0)</f>
        <v/>
      </c>
      <c r="K8" s="9">
        <f>IFERROR(((0+B8)/T2),0)</f>
        <v/>
      </c>
      <c r="L8" s="7">
        <f>IFERROR(B8/D8,0)</f>
        <v/>
      </c>
      <c r="M8" s="7">
        <f>IFERROR(ROUND(B8/E8,2),0)</f>
        <v/>
      </c>
      <c r="N8" s="1" t="inlineStr">
        <is>
          <t>Video</t>
        </is>
      </c>
      <c r="AA8" s="1" t="inlineStr">
        <is>
          <t>Video</t>
        </is>
      </c>
      <c r="AN8" s="1" t="inlineStr">
        <is>
          <t>Video</t>
        </is>
      </c>
      <c r="BA8" s="1" t="inlineStr">
        <is>
          <t>Video</t>
        </is>
      </c>
    </row>
    <row r="9">
      <c r="N9" s="1" t="inlineStr">
        <is>
          <t xml:space="preserve">RAC_ThinQ (EN) </t>
        </is>
      </c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1" t="n"/>
      <c r="AA9" s="1" t="inlineStr">
        <is>
          <t xml:space="preserve">Oled_VO (EN) </t>
        </is>
      </c>
      <c r="AB9" s="10" t="n"/>
      <c r="AC9" s="10" t="n"/>
      <c r="AD9" s="10" t="n"/>
      <c r="AE9" s="10" t="n"/>
      <c r="AF9" s="10" t="n"/>
      <c r="AG9" s="10" t="n"/>
      <c r="AH9" s="10" t="n"/>
      <c r="AI9" s="10" t="n"/>
      <c r="AJ9" s="10" t="n"/>
      <c r="AK9" s="10" t="n"/>
      <c r="AL9" s="10" t="n"/>
      <c r="AM9" s="11" t="n"/>
      <c r="AN9" s="1" t="inlineStr">
        <is>
          <t xml:space="preserve">Knock (EN) </t>
        </is>
      </c>
      <c r="AO9" s="10" t="n"/>
      <c r="AP9" s="10" t="n"/>
      <c r="AQ9" s="10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1" t="n"/>
      <c r="BA9" s="1" t="inlineStr">
        <is>
          <t xml:space="preserve">DW (EN) </t>
        </is>
      </c>
    </row>
    <row r="10">
      <c r="A10" s="1" t="inlineStr">
        <is>
          <t>date</t>
        </is>
      </c>
      <c r="B10" s="1" t="inlineStr">
        <is>
          <t>budget</t>
        </is>
      </c>
      <c r="C10" s="1" t="inlineStr">
        <is>
          <t>impressions</t>
        </is>
      </c>
      <c r="D10" s="1" t="inlineStr">
        <is>
          <t>clicks</t>
        </is>
      </c>
      <c r="E10" s="1" t="inlineStr">
        <is>
          <t>view</t>
        </is>
      </c>
      <c r="F10" s="1" t="inlineStr">
        <is>
          <t>percent_25</t>
        </is>
      </c>
      <c r="G10" s="1" t="inlineStr">
        <is>
          <t>percent_50</t>
        </is>
      </c>
      <c r="H10" s="1" t="inlineStr">
        <is>
          <t>percent_75</t>
        </is>
      </c>
      <c r="I10" s="1" t="inlineStr">
        <is>
          <t>percent_100</t>
        </is>
      </c>
      <c r="J10" s="1" t="inlineStr">
        <is>
          <t>CTR</t>
        </is>
      </c>
      <c r="K10" s="1" t="inlineStr">
        <is>
          <t>Spent Budget %</t>
        </is>
      </c>
      <c r="L10" s="1" t="inlineStr">
        <is>
          <t>CPC</t>
        </is>
      </c>
      <c r="M10" s="1" t="inlineStr">
        <is>
          <t>CPV</t>
        </is>
      </c>
      <c r="N10" s="1" t="inlineStr">
        <is>
          <t>date</t>
        </is>
      </c>
      <c r="O10" s="1" t="inlineStr">
        <is>
          <t>budget</t>
        </is>
      </c>
      <c r="P10" s="1" t="inlineStr">
        <is>
          <t>impressions</t>
        </is>
      </c>
      <c r="Q10" s="1" t="inlineStr">
        <is>
          <t>clicks</t>
        </is>
      </c>
      <c r="R10" s="1" t="inlineStr">
        <is>
          <t>view</t>
        </is>
      </c>
      <c r="S10" s="1" t="inlineStr">
        <is>
          <t>percent_25</t>
        </is>
      </c>
      <c r="T10" s="1" t="inlineStr">
        <is>
          <t>percent_50</t>
        </is>
      </c>
      <c r="U10" s="1" t="inlineStr">
        <is>
          <t>percent_75</t>
        </is>
      </c>
      <c r="V10" s="1" t="inlineStr">
        <is>
          <t>percent_100</t>
        </is>
      </c>
      <c r="W10" s="1" t="inlineStr">
        <is>
          <t>CTR</t>
        </is>
      </c>
      <c r="X10" s="1" t="inlineStr">
        <is>
          <t>Spent Budget %</t>
        </is>
      </c>
      <c r="Y10" s="1" t="inlineStr">
        <is>
          <t>CPC</t>
        </is>
      </c>
      <c r="Z10" s="1" t="inlineStr">
        <is>
          <t>CPV</t>
        </is>
      </c>
      <c r="AA10" s="1" t="inlineStr">
        <is>
          <t>date</t>
        </is>
      </c>
      <c r="AB10" s="1" t="inlineStr">
        <is>
          <t>budget</t>
        </is>
      </c>
      <c r="AC10" s="1" t="inlineStr">
        <is>
          <t>impressions</t>
        </is>
      </c>
      <c r="AD10" s="1" t="inlineStr">
        <is>
          <t>clicks</t>
        </is>
      </c>
      <c r="AE10" s="1" t="inlineStr">
        <is>
          <t>view</t>
        </is>
      </c>
      <c r="AF10" s="1" t="inlineStr">
        <is>
          <t>percent_25</t>
        </is>
      </c>
      <c r="AG10" s="1" t="inlineStr">
        <is>
          <t>percent_50</t>
        </is>
      </c>
      <c r="AH10" s="1" t="inlineStr">
        <is>
          <t>percent_75</t>
        </is>
      </c>
      <c r="AI10" s="1" t="inlineStr">
        <is>
          <t>percent_100</t>
        </is>
      </c>
      <c r="AJ10" s="1" t="inlineStr">
        <is>
          <t>CTR</t>
        </is>
      </c>
      <c r="AK10" s="1" t="inlineStr">
        <is>
          <t>Spent Budget %</t>
        </is>
      </c>
      <c r="AL10" s="1" t="inlineStr">
        <is>
          <t>CPC</t>
        </is>
      </c>
      <c r="AM10" s="1" t="inlineStr">
        <is>
          <t>CPV</t>
        </is>
      </c>
      <c r="AN10" s="1" t="inlineStr">
        <is>
          <t>date</t>
        </is>
      </c>
      <c r="AO10" s="1" t="inlineStr">
        <is>
          <t>budget</t>
        </is>
      </c>
      <c r="AP10" s="1" t="inlineStr">
        <is>
          <t>impressions</t>
        </is>
      </c>
      <c r="AQ10" s="1" t="inlineStr">
        <is>
          <t>clicks</t>
        </is>
      </c>
      <c r="AR10" s="1" t="inlineStr">
        <is>
          <t>view</t>
        </is>
      </c>
      <c r="AS10" s="1" t="inlineStr">
        <is>
          <t>percent_25</t>
        </is>
      </c>
      <c r="AT10" s="1" t="inlineStr">
        <is>
          <t>percent_50</t>
        </is>
      </c>
      <c r="AU10" s="1" t="inlineStr">
        <is>
          <t>percent_75</t>
        </is>
      </c>
      <c r="AV10" s="1" t="inlineStr">
        <is>
          <t>percent_100</t>
        </is>
      </c>
      <c r="AW10" s="1" t="inlineStr">
        <is>
          <t>CTR</t>
        </is>
      </c>
      <c r="AX10" s="1" t="inlineStr">
        <is>
          <t>Spent Budget %</t>
        </is>
      </c>
      <c r="AY10" s="1" t="inlineStr">
        <is>
          <t>CPC</t>
        </is>
      </c>
      <c r="AZ10" s="1" t="inlineStr">
        <is>
          <t>CPV</t>
        </is>
      </c>
      <c r="BA10" s="1" t="inlineStr">
        <is>
          <t>date</t>
        </is>
      </c>
      <c r="BB10" s="1" t="inlineStr">
        <is>
          <t>budget</t>
        </is>
      </c>
      <c r="BC10" s="1" t="inlineStr">
        <is>
          <t>impressions</t>
        </is>
      </c>
      <c r="BD10" s="1" t="inlineStr">
        <is>
          <t>clicks</t>
        </is>
      </c>
      <c r="BE10" s="1" t="inlineStr">
        <is>
          <t>view</t>
        </is>
      </c>
      <c r="BF10" s="1" t="inlineStr">
        <is>
          <t>percent_25</t>
        </is>
      </c>
      <c r="BG10" s="1" t="inlineStr">
        <is>
          <t>percent_50</t>
        </is>
      </c>
      <c r="BH10" s="1" t="inlineStr">
        <is>
          <t>percent_75</t>
        </is>
      </c>
      <c r="BI10" s="1" t="inlineStr">
        <is>
          <t>percent_100</t>
        </is>
      </c>
      <c r="BJ10" s="1" t="inlineStr">
        <is>
          <t>CTR</t>
        </is>
      </c>
      <c r="BK10" s="1" t="inlineStr">
        <is>
          <t>Spent Budget %</t>
        </is>
      </c>
      <c r="BL10" s="1" t="inlineStr">
        <is>
          <t>CPC</t>
        </is>
      </c>
      <c r="BM10" s="1" t="inlineStr">
        <is>
          <t>CPV</t>
        </is>
      </c>
    </row>
    <row r="11">
      <c r="A11" s="2" t="inlineStr">
        <is>
          <t>2023-09-20</t>
        </is>
      </c>
      <c r="B11" s="5">
        <f>ROUND(0.0,2)</f>
        <v/>
      </c>
      <c r="C11" s="3">
        <f>ROUND(0.0,2)</f>
        <v/>
      </c>
      <c r="D11" s="3">
        <f>ROUND(0.0,2)</f>
        <v/>
      </c>
      <c r="E11" s="3">
        <f>ROUND(0.0,2)</f>
        <v/>
      </c>
      <c r="F11" s="3">
        <f>ROUND(0.0,2)</f>
        <v/>
      </c>
      <c r="G11" s="3">
        <f>ROUND(0.0,2)</f>
        <v/>
      </c>
      <c r="H11" s="3">
        <f>ROUND(0.0,2)</f>
        <v/>
      </c>
      <c r="I11" s="3">
        <f>ROUND(0.0,2)</f>
        <v/>
      </c>
      <c r="J11" s="4">
        <f>IFERROR((D11/C11),0)</f>
        <v/>
      </c>
      <c r="K11" s="4">
        <f>IFERROR(((0+B11)/T2),0)</f>
        <v/>
      </c>
      <c r="L11" s="5">
        <f>IFERROR(ROUND(B11/D11,2),0)</f>
        <v/>
      </c>
      <c r="M11" s="5">
        <f>IFERROR(ROUND(B11/E11,2),0)</f>
        <v/>
      </c>
      <c r="N11" s="2" t="inlineStr">
        <is>
          <t>2023-09-20</t>
        </is>
      </c>
      <c r="O11" s="5">
        <f>ROUND(0.0,2)</f>
        <v/>
      </c>
      <c r="P11" s="3">
        <f>ROUND(0.0,2)</f>
        <v/>
      </c>
      <c r="Q11" s="3">
        <f>ROUND(0.0,2)</f>
        <v/>
      </c>
      <c r="R11" s="3">
        <f>ROUND(0.0,2)</f>
        <v/>
      </c>
      <c r="S11" s="3">
        <f>ROUND(0.0,2)</f>
        <v/>
      </c>
      <c r="T11" s="3">
        <f>ROUND(0.0,2)</f>
        <v/>
      </c>
      <c r="U11" s="3">
        <f>ROUND(0.0,2)</f>
        <v/>
      </c>
      <c r="V11" s="3">
        <f>ROUND(0.0,2)</f>
        <v/>
      </c>
      <c r="W11" s="4">
        <f>IFERROR((Q11/P11),0)</f>
        <v/>
      </c>
      <c r="X11" s="4">
        <f>IFERROR(((0+O11)/T2),0)</f>
        <v/>
      </c>
      <c r="Y11" s="5">
        <f>IFERROR(ROUND(O11/Q11,2),0)</f>
        <v/>
      </c>
      <c r="Z11" s="5">
        <f>IFERROR(ROUND(O11/R11,2),0)</f>
        <v/>
      </c>
      <c r="AA11" s="2" t="inlineStr">
        <is>
          <t>2023-09-20</t>
        </is>
      </c>
      <c r="AB11" s="5">
        <f>ROUND(0.0,2)</f>
        <v/>
      </c>
      <c r="AC11" s="3">
        <f>ROUND(0.0,2)</f>
        <v/>
      </c>
      <c r="AD11" s="3">
        <f>ROUND(0.0,2)</f>
        <v/>
      </c>
      <c r="AE11" s="3">
        <f>ROUND(0.0,2)</f>
        <v/>
      </c>
      <c r="AF11" s="3">
        <f>ROUND(0.0,2)</f>
        <v/>
      </c>
      <c r="AG11" s="3">
        <f>ROUND(0.0,2)</f>
        <v/>
      </c>
      <c r="AH11" s="3">
        <f>ROUND(0.0,2)</f>
        <v/>
      </c>
      <c r="AI11" s="3">
        <f>ROUND(0.0,2)</f>
        <v/>
      </c>
      <c r="AJ11" s="4">
        <f>IFERROR((AD11/AC11),0)</f>
        <v/>
      </c>
      <c r="AK11" s="4">
        <f>IFERROR(((0+AB11)/T2),0)</f>
        <v/>
      </c>
      <c r="AL11" s="5">
        <f>IFERROR(ROUND(AB11/AD11,2),0)</f>
        <v/>
      </c>
      <c r="AM11" s="5">
        <f>IFERROR(ROUND(AB11/AE11,2),0)</f>
        <v/>
      </c>
      <c r="AN11" s="2" t="inlineStr">
        <is>
          <t>2023-09-20</t>
        </is>
      </c>
      <c r="AO11" s="5">
        <f>ROUND(0.0,2)</f>
        <v/>
      </c>
      <c r="AP11" s="3">
        <f>ROUND(0.0,2)</f>
        <v/>
      </c>
      <c r="AQ11" s="3">
        <f>ROUND(0.0,2)</f>
        <v/>
      </c>
      <c r="AR11" s="3">
        <f>ROUND(0.0,2)</f>
        <v/>
      </c>
      <c r="AS11" s="3">
        <f>ROUND(0.0,2)</f>
        <v/>
      </c>
      <c r="AT11" s="3">
        <f>ROUND(0.0,2)</f>
        <v/>
      </c>
      <c r="AU11" s="3">
        <f>ROUND(0.0,2)</f>
        <v/>
      </c>
      <c r="AV11" s="3">
        <f>ROUND(0.0,2)</f>
        <v/>
      </c>
      <c r="AW11" s="4">
        <f>IFERROR((AQ11/AP11),0)</f>
        <v/>
      </c>
      <c r="AX11" s="4">
        <f>IFERROR(((0+AO11)/T2),0)</f>
        <v/>
      </c>
      <c r="AY11" s="5">
        <f>IFERROR(ROUND(AO11/AQ11,2),0)</f>
        <v/>
      </c>
      <c r="AZ11" s="5">
        <f>IFERROR(ROUND(AO11/AR11,2),0)</f>
        <v/>
      </c>
      <c r="BA11" s="2" t="inlineStr">
        <is>
          <t>2023-09-20</t>
        </is>
      </c>
      <c r="BB11" s="5">
        <f>ROUND(0.0,2)</f>
        <v/>
      </c>
      <c r="BC11" s="3">
        <f>ROUND(0.0,2)</f>
        <v/>
      </c>
      <c r="BD11" s="3">
        <f>ROUND(0.0,2)</f>
        <v/>
      </c>
      <c r="BE11" s="3">
        <f>ROUND(0.0,2)</f>
        <v/>
      </c>
      <c r="BF11" s="3">
        <f>ROUND(0.0,2)</f>
        <v/>
      </c>
      <c r="BG11" s="3">
        <f>ROUND(0.0,2)</f>
        <v/>
      </c>
      <c r="BH11" s="3">
        <f>ROUND(0.0,2)</f>
        <v/>
      </c>
      <c r="BI11" s="3">
        <f>ROUND(0.0,2)</f>
        <v/>
      </c>
      <c r="BJ11" s="4">
        <f>IFERROR((BD11/BC11),0)</f>
        <v/>
      </c>
      <c r="BK11" s="4">
        <f>IFERROR(((0+BB11)/T2),0)</f>
        <v/>
      </c>
      <c r="BL11" s="5">
        <f>IFERROR(ROUND(BB11/BD11,2),0)</f>
        <v/>
      </c>
      <c r="BM11" s="5">
        <f>IFERROR(ROUND(BB11/BE11,2),0)</f>
        <v/>
      </c>
    </row>
    <row r="12">
      <c r="A12" s="2" t="inlineStr">
        <is>
          <t>2023-09-21</t>
        </is>
      </c>
      <c r="B12" s="5">
        <f>ROUND(0.0,2)</f>
        <v/>
      </c>
      <c r="C12" s="3">
        <f>ROUND(0.0,2)</f>
        <v/>
      </c>
      <c r="D12" s="3">
        <f>ROUND(0.0,2)</f>
        <v/>
      </c>
      <c r="E12" s="3">
        <f>ROUND(0.0,2)</f>
        <v/>
      </c>
      <c r="F12" s="3">
        <f>ROUND(0.0,2)</f>
        <v/>
      </c>
      <c r="G12" s="3">
        <f>ROUND(0.0,2)</f>
        <v/>
      </c>
      <c r="H12" s="3">
        <f>ROUND(0.0,2)</f>
        <v/>
      </c>
      <c r="I12" s="3">
        <f>ROUND(0.0,2)</f>
        <v/>
      </c>
      <c r="J12" s="4">
        <f>IFERROR((D12/C12),0)</f>
        <v/>
      </c>
      <c r="K12" s="4">
        <f>IFERROR(((0+B11+B12)/T2),0)</f>
        <v/>
      </c>
      <c r="L12" s="5">
        <f>IFERROR(ROUND(B12/D12,2),0)</f>
        <v/>
      </c>
      <c r="M12" s="5">
        <f>IFERROR(ROUND(B12/E12,2),0)</f>
        <v/>
      </c>
      <c r="N12" s="2" t="inlineStr">
        <is>
          <t>2023-09-21</t>
        </is>
      </c>
      <c r="O12" s="5">
        <f>ROUND(0.0,2)</f>
        <v/>
      </c>
      <c r="P12" s="3">
        <f>ROUND(0.0,2)</f>
        <v/>
      </c>
      <c r="Q12" s="3">
        <f>ROUND(0.0,2)</f>
        <v/>
      </c>
      <c r="R12" s="3">
        <f>ROUND(0.0,2)</f>
        <v/>
      </c>
      <c r="S12" s="3">
        <f>ROUND(0.0,2)</f>
        <v/>
      </c>
      <c r="T12" s="3">
        <f>ROUND(0.0,2)</f>
        <v/>
      </c>
      <c r="U12" s="3">
        <f>ROUND(0.0,2)</f>
        <v/>
      </c>
      <c r="V12" s="3">
        <f>ROUND(0.0,2)</f>
        <v/>
      </c>
      <c r="W12" s="4">
        <f>IFERROR((Q12/P12),0)</f>
        <v/>
      </c>
      <c r="X12" s="4">
        <f>IFERROR(((0+O11+O12)/T2),0)</f>
        <v/>
      </c>
      <c r="Y12" s="5">
        <f>IFERROR(ROUND(O12/Q12,2),0)</f>
        <v/>
      </c>
      <c r="Z12" s="5">
        <f>IFERROR(ROUND(O12/R12,2),0)</f>
        <v/>
      </c>
      <c r="AA12" s="2" t="inlineStr">
        <is>
          <t>2023-09-21</t>
        </is>
      </c>
      <c r="AB12" s="5">
        <f>ROUND(0.0,2)</f>
        <v/>
      </c>
      <c r="AC12" s="3">
        <f>ROUND(0.0,2)</f>
        <v/>
      </c>
      <c r="AD12" s="3">
        <f>ROUND(0.0,2)</f>
        <v/>
      </c>
      <c r="AE12" s="3">
        <f>ROUND(0.0,2)</f>
        <v/>
      </c>
      <c r="AF12" s="3">
        <f>ROUND(0.0,2)</f>
        <v/>
      </c>
      <c r="AG12" s="3">
        <f>ROUND(0.0,2)</f>
        <v/>
      </c>
      <c r="AH12" s="3">
        <f>ROUND(0.0,2)</f>
        <v/>
      </c>
      <c r="AI12" s="3">
        <f>ROUND(0.0,2)</f>
        <v/>
      </c>
      <c r="AJ12" s="4">
        <f>IFERROR((AD12/AC12),0)</f>
        <v/>
      </c>
      <c r="AK12" s="4">
        <f>IFERROR(((0+AB11+AB12)/T2),0)</f>
        <v/>
      </c>
      <c r="AL12" s="5">
        <f>IFERROR(ROUND(AB12/AD12,2),0)</f>
        <v/>
      </c>
      <c r="AM12" s="5">
        <f>IFERROR(ROUND(AB12/AE12,2),0)</f>
        <v/>
      </c>
      <c r="AN12" s="2" t="inlineStr">
        <is>
          <t>2023-09-21</t>
        </is>
      </c>
      <c r="AO12" s="5">
        <f>ROUND(0.0,2)</f>
        <v/>
      </c>
      <c r="AP12" s="3">
        <f>ROUND(0.0,2)</f>
        <v/>
      </c>
      <c r="AQ12" s="3">
        <f>ROUND(0.0,2)</f>
        <v/>
      </c>
      <c r="AR12" s="3">
        <f>ROUND(0.0,2)</f>
        <v/>
      </c>
      <c r="AS12" s="3">
        <f>ROUND(0.0,2)</f>
        <v/>
      </c>
      <c r="AT12" s="3">
        <f>ROUND(0.0,2)</f>
        <v/>
      </c>
      <c r="AU12" s="3">
        <f>ROUND(0.0,2)</f>
        <v/>
      </c>
      <c r="AV12" s="3">
        <f>ROUND(0.0,2)</f>
        <v/>
      </c>
      <c r="AW12" s="4">
        <f>IFERROR((AQ12/AP12),0)</f>
        <v/>
      </c>
      <c r="AX12" s="4">
        <f>IFERROR(((0+AO11+AO12)/T2),0)</f>
        <v/>
      </c>
      <c r="AY12" s="5">
        <f>IFERROR(ROUND(AO12/AQ12,2),0)</f>
        <v/>
      </c>
      <c r="AZ12" s="5">
        <f>IFERROR(ROUND(AO12/AR12,2),0)</f>
        <v/>
      </c>
      <c r="BA12" s="2" t="inlineStr">
        <is>
          <t>2023-09-21</t>
        </is>
      </c>
      <c r="BB12" s="5">
        <f>ROUND(0.0,2)</f>
        <v/>
      </c>
      <c r="BC12" s="3">
        <f>ROUND(0.0,2)</f>
        <v/>
      </c>
      <c r="BD12" s="3">
        <f>ROUND(0.0,2)</f>
        <v/>
      </c>
      <c r="BE12" s="3">
        <f>ROUND(0.0,2)</f>
        <v/>
      </c>
      <c r="BF12" s="3">
        <f>ROUND(0.0,2)</f>
        <v/>
      </c>
      <c r="BG12" s="3">
        <f>ROUND(0.0,2)</f>
        <v/>
      </c>
      <c r="BH12" s="3">
        <f>ROUND(0.0,2)</f>
        <v/>
      </c>
      <c r="BI12" s="3">
        <f>ROUND(0.0,2)</f>
        <v/>
      </c>
      <c r="BJ12" s="4">
        <f>IFERROR((BD12/BC12),0)</f>
        <v/>
      </c>
      <c r="BK12" s="4">
        <f>IFERROR(((0+BB11+BB12)/T2),0)</f>
        <v/>
      </c>
      <c r="BL12" s="5">
        <f>IFERROR(ROUND(BB12/BD12,2),0)</f>
        <v/>
      </c>
      <c r="BM12" s="5">
        <f>IFERROR(ROUND(BB12/BE12,2),0)</f>
        <v/>
      </c>
    </row>
    <row r="13">
      <c r="A13" s="2" t="inlineStr">
        <is>
          <t>2023-09-22</t>
        </is>
      </c>
      <c r="B13" s="5">
        <f>ROUND(0.0,2)</f>
        <v/>
      </c>
      <c r="C13" s="3">
        <f>ROUND(0.0,2)</f>
        <v/>
      </c>
      <c r="D13" s="3">
        <f>ROUND(0.0,2)</f>
        <v/>
      </c>
      <c r="E13" s="3">
        <f>ROUND(0.0,2)</f>
        <v/>
      </c>
      <c r="F13" s="3">
        <f>ROUND(0.0,2)</f>
        <v/>
      </c>
      <c r="G13" s="3">
        <f>ROUND(0.0,2)</f>
        <v/>
      </c>
      <c r="H13" s="3">
        <f>ROUND(0.0,2)</f>
        <v/>
      </c>
      <c r="I13" s="3">
        <f>ROUND(0.0,2)</f>
        <v/>
      </c>
      <c r="J13" s="4">
        <f>IFERROR((D13/C13),0)</f>
        <v/>
      </c>
      <c r="K13" s="4">
        <f>IFERROR(((0+B11+B12+B13)/T2),0)</f>
        <v/>
      </c>
      <c r="L13" s="5">
        <f>IFERROR(ROUND(B13/D13,2),0)</f>
        <v/>
      </c>
      <c r="M13" s="5">
        <f>IFERROR(ROUND(B13/E13,2),0)</f>
        <v/>
      </c>
      <c r="N13" s="2" t="inlineStr">
        <is>
          <t>2023-09-22</t>
        </is>
      </c>
      <c r="O13" s="5">
        <f>ROUND(0.0,2)</f>
        <v/>
      </c>
      <c r="P13" s="3">
        <f>ROUND(0.0,2)</f>
        <v/>
      </c>
      <c r="Q13" s="3">
        <f>ROUND(0.0,2)</f>
        <v/>
      </c>
      <c r="R13" s="3">
        <f>ROUND(0.0,2)</f>
        <v/>
      </c>
      <c r="S13" s="3">
        <f>ROUND(0.0,2)</f>
        <v/>
      </c>
      <c r="T13" s="3">
        <f>ROUND(0.0,2)</f>
        <v/>
      </c>
      <c r="U13" s="3">
        <f>ROUND(0.0,2)</f>
        <v/>
      </c>
      <c r="V13" s="3">
        <f>ROUND(0.0,2)</f>
        <v/>
      </c>
      <c r="W13" s="4">
        <f>IFERROR((Q13/P13),0)</f>
        <v/>
      </c>
      <c r="X13" s="4">
        <f>IFERROR(((0+O11+O12+O13)/T2),0)</f>
        <v/>
      </c>
      <c r="Y13" s="5">
        <f>IFERROR(ROUND(O13/Q13,2),0)</f>
        <v/>
      </c>
      <c r="Z13" s="5">
        <f>IFERROR(ROUND(O13/R13,2),0)</f>
        <v/>
      </c>
      <c r="AA13" s="2" t="inlineStr">
        <is>
          <t>2023-09-22</t>
        </is>
      </c>
      <c r="AB13" s="5">
        <f>ROUND(0.0,2)</f>
        <v/>
      </c>
      <c r="AC13" s="3">
        <f>ROUND(0.0,2)</f>
        <v/>
      </c>
      <c r="AD13" s="3">
        <f>ROUND(0.0,2)</f>
        <v/>
      </c>
      <c r="AE13" s="3">
        <f>ROUND(0.0,2)</f>
        <v/>
      </c>
      <c r="AF13" s="3">
        <f>ROUND(0.0,2)</f>
        <v/>
      </c>
      <c r="AG13" s="3">
        <f>ROUND(0.0,2)</f>
        <v/>
      </c>
      <c r="AH13" s="3">
        <f>ROUND(0.0,2)</f>
        <v/>
      </c>
      <c r="AI13" s="3">
        <f>ROUND(0.0,2)</f>
        <v/>
      </c>
      <c r="AJ13" s="4">
        <f>IFERROR((AD13/AC13),0)</f>
        <v/>
      </c>
      <c r="AK13" s="4">
        <f>IFERROR(((0+AB11+AB12+AB13)/T2),0)</f>
        <v/>
      </c>
      <c r="AL13" s="5">
        <f>IFERROR(ROUND(AB13/AD13,2),0)</f>
        <v/>
      </c>
      <c r="AM13" s="5">
        <f>IFERROR(ROUND(AB13/AE13,2),0)</f>
        <v/>
      </c>
      <c r="AN13" s="2" t="inlineStr">
        <is>
          <t>2023-09-22</t>
        </is>
      </c>
      <c r="AO13" s="5">
        <f>ROUND(0.0,2)</f>
        <v/>
      </c>
      <c r="AP13" s="3">
        <f>ROUND(0.0,2)</f>
        <v/>
      </c>
      <c r="AQ13" s="3">
        <f>ROUND(0.0,2)</f>
        <v/>
      </c>
      <c r="AR13" s="3">
        <f>ROUND(0.0,2)</f>
        <v/>
      </c>
      <c r="AS13" s="3">
        <f>ROUND(0.0,2)</f>
        <v/>
      </c>
      <c r="AT13" s="3">
        <f>ROUND(0.0,2)</f>
        <v/>
      </c>
      <c r="AU13" s="3">
        <f>ROUND(0.0,2)</f>
        <v/>
      </c>
      <c r="AV13" s="3">
        <f>ROUND(0.0,2)</f>
        <v/>
      </c>
      <c r="AW13" s="4">
        <f>IFERROR((AQ13/AP13),0)</f>
        <v/>
      </c>
      <c r="AX13" s="4">
        <f>IFERROR(((0+AO11+AO12+AO13)/T2),0)</f>
        <v/>
      </c>
      <c r="AY13" s="5">
        <f>IFERROR(ROUND(AO13/AQ13,2),0)</f>
        <v/>
      </c>
      <c r="AZ13" s="5">
        <f>IFERROR(ROUND(AO13/AR13,2),0)</f>
        <v/>
      </c>
      <c r="BA13" s="2" t="inlineStr">
        <is>
          <t>2023-09-22</t>
        </is>
      </c>
      <c r="BB13" s="5">
        <f>ROUND(0.0,2)</f>
        <v/>
      </c>
      <c r="BC13" s="3">
        <f>ROUND(0.0,2)</f>
        <v/>
      </c>
      <c r="BD13" s="3">
        <f>ROUND(0.0,2)</f>
        <v/>
      </c>
      <c r="BE13" s="3">
        <f>ROUND(0.0,2)</f>
        <v/>
      </c>
      <c r="BF13" s="3">
        <f>ROUND(0.0,2)</f>
        <v/>
      </c>
      <c r="BG13" s="3">
        <f>ROUND(0.0,2)</f>
        <v/>
      </c>
      <c r="BH13" s="3">
        <f>ROUND(0.0,2)</f>
        <v/>
      </c>
      <c r="BI13" s="3">
        <f>ROUND(0.0,2)</f>
        <v/>
      </c>
      <c r="BJ13" s="4">
        <f>IFERROR((BD13/BC13),0)</f>
        <v/>
      </c>
      <c r="BK13" s="4">
        <f>IFERROR(((0+BB11+BB12+BB13)/T2),0)</f>
        <v/>
      </c>
      <c r="BL13" s="5">
        <f>IFERROR(ROUND(BB13/BD13,2),0)</f>
        <v/>
      </c>
      <c r="BM13" s="5">
        <f>IFERROR(ROUND(BB13/BE13,2),0)</f>
        <v/>
      </c>
    </row>
    <row r="14">
      <c r="A14" s="2" t="inlineStr">
        <is>
          <t>2023-09-23</t>
        </is>
      </c>
      <c r="B14" s="5">
        <f>ROUND(0.0,2)</f>
        <v/>
      </c>
      <c r="C14" s="3">
        <f>ROUND(0.0,2)</f>
        <v/>
      </c>
      <c r="D14" s="3">
        <f>ROUND(0.0,2)</f>
        <v/>
      </c>
      <c r="E14" s="3">
        <f>ROUND(0.0,2)</f>
        <v/>
      </c>
      <c r="F14" s="3">
        <f>ROUND(0.0,2)</f>
        <v/>
      </c>
      <c r="G14" s="3">
        <f>ROUND(0.0,2)</f>
        <v/>
      </c>
      <c r="H14" s="3">
        <f>ROUND(0.0,2)</f>
        <v/>
      </c>
      <c r="I14" s="3">
        <f>ROUND(0.0,2)</f>
        <v/>
      </c>
      <c r="J14" s="4">
        <f>IFERROR((D14/C14),0)</f>
        <v/>
      </c>
      <c r="K14" s="4">
        <f>IFERROR(((0+B11+B12+B13+B14)/T2),0)</f>
        <v/>
      </c>
      <c r="L14" s="5">
        <f>IFERROR(ROUND(B14/D14,2),0)</f>
        <v/>
      </c>
      <c r="M14" s="5">
        <f>IFERROR(ROUND(B14/E14,2),0)</f>
        <v/>
      </c>
      <c r="N14" s="2" t="inlineStr">
        <is>
          <t>2023-09-23</t>
        </is>
      </c>
      <c r="O14" s="5">
        <f>ROUND(0.0,2)</f>
        <v/>
      </c>
      <c r="P14" s="3">
        <f>ROUND(0.0,2)</f>
        <v/>
      </c>
      <c r="Q14" s="3">
        <f>ROUND(0.0,2)</f>
        <v/>
      </c>
      <c r="R14" s="3">
        <f>ROUND(0.0,2)</f>
        <v/>
      </c>
      <c r="S14" s="3">
        <f>ROUND(0.0,2)</f>
        <v/>
      </c>
      <c r="T14" s="3">
        <f>ROUND(0.0,2)</f>
        <v/>
      </c>
      <c r="U14" s="3">
        <f>ROUND(0.0,2)</f>
        <v/>
      </c>
      <c r="V14" s="3">
        <f>ROUND(0.0,2)</f>
        <v/>
      </c>
      <c r="W14" s="4">
        <f>IFERROR((Q14/P14),0)</f>
        <v/>
      </c>
      <c r="X14" s="4">
        <f>IFERROR(((0+O11+O12+O13+O14)/T2),0)</f>
        <v/>
      </c>
      <c r="Y14" s="5">
        <f>IFERROR(ROUND(O14/Q14,2),0)</f>
        <v/>
      </c>
      <c r="Z14" s="5">
        <f>IFERROR(ROUND(O14/R14,2),0)</f>
        <v/>
      </c>
      <c r="AA14" s="2" t="inlineStr">
        <is>
          <t>2023-09-23</t>
        </is>
      </c>
      <c r="AB14" s="5">
        <f>ROUND(0.0,2)</f>
        <v/>
      </c>
      <c r="AC14" s="3">
        <f>ROUND(0.0,2)</f>
        <v/>
      </c>
      <c r="AD14" s="3">
        <f>ROUND(0.0,2)</f>
        <v/>
      </c>
      <c r="AE14" s="3">
        <f>ROUND(0.0,2)</f>
        <v/>
      </c>
      <c r="AF14" s="3">
        <f>ROUND(0.0,2)</f>
        <v/>
      </c>
      <c r="AG14" s="3">
        <f>ROUND(0.0,2)</f>
        <v/>
      </c>
      <c r="AH14" s="3">
        <f>ROUND(0.0,2)</f>
        <v/>
      </c>
      <c r="AI14" s="3">
        <f>ROUND(0.0,2)</f>
        <v/>
      </c>
      <c r="AJ14" s="4">
        <f>IFERROR((AD14/AC14),0)</f>
        <v/>
      </c>
      <c r="AK14" s="4">
        <f>IFERROR(((0+AB11+AB12+AB13+AB14)/T2),0)</f>
        <v/>
      </c>
      <c r="AL14" s="5">
        <f>IFERROR(ROUND(AB14/AD14,2),0)</f>
        <v/>
      </c>
      <c r="AM14" s="5">
        <f>IFERROR(ROUND(AB14/AE14,2),0)</f>
        <v/>
      </c>
      <c r="AN14" s="2" t="inlineStr">
        <is>
          <t>2023-09-23</t>
        </is>
      </c>
      <c r="AO14" s="5">
        <f>ROUND(0.0,2)</f>
        <v/>
      </c>
      <c r="AP14" s="3">
        <f>ROUND(0.0,2)</f>
        <v/>
      </c>
      <c r="AQ14" s="3">
        <f>ROUND(0.0,2)</f>
        <v/>
      </c>
      <c r="AR14" s="3">
        <f>ROUND(0.0,2)</f>
        <v/>
      </c>
      <c r="AS14" s="3">
        <f>ROUND(0.0,2)</f>
        <v/>
      </c>
      <c r="AT14" s="3">
        <f>ROUND(0.0,2)</f>
        <v/>
      </c>
      <c r="AU14" s="3">
        <f>ROUND(0.0,2)</f>
        <v/>
      </c>
      <c r="AV14" s="3">
        <f>ROUND(0.0,2)</f>
        <v/>
      </c>
      <c r="AW14" s="4">
        <f>IFERROR((AQ14/AP14),0)</f>
        <v/>
      </c>
      <c r="AX14" s="4">
        <f>IFERROR(((0+AO11+AO12+AO13+AO14)/T2),0)</f>
        <v/>
      </c>
      <c r="AY14" s="5">
        <f>IFERROR(ROUND(AO14/AQ14,2),0)</f>
        <v/>
      </c>
      <c r="AZ14" s="5">
        <f>IFERROR(ROUND(AO14/AR14,2),0)</f>
        <v/>
      </c>
      <c r="BA14" s="2" t="inlineStr">
        <is>
          <t>2023-09-23</t>
        </is>
      </c>
      <c r="BB14" s="5">
        <f>ROUND(0.0,2)</f>
        <v/>
      </c>
      <c r="BC14" s="3">
        <f>ROUND(0.0,2)</f>
        <v/>
      </c>
      <c r="BD14" s="3">
        <f>ROUND(0.0,2)</f>
        <v/>
      </c>
      <c r="BE14" s="3">
        <f>ROUND(0.0,2)</f>
        <v/>
      </c>
      <c r="BF14" s="3">
        <f>ROUND(0.0,2)</f>
        <v/>
      </c>
      <c r="BG14" s="3">
        <f>ROUND(0.0,2)</f>
        <v/>
      </c>
      <c r="BH14" s="3">
        <f>ROUND(0.0,2)</f>
        <v/>
      </c>
      <c r="BI14" s="3">
        <f>ROUND(0.0,2)</f>
        <v/>
      </c>
      <c r="BJ14" s="4">
        <f>IFERROR((BD14/BC14),0)</f>
        <v/>
      </c>
      <c r="BK14" s="4">
        <f>IFERROR(((0+BB11+BB12+BB13+BB14)/T2),0)</f>
        <v/>
      </c>
      <c r="BL14" s="5">
        <f>IFERROR(ROUND(BB14/BD14,2),0)</f>
        <v/>
      </c>
      <c r="BM14" s="5">
        <f>IFERROR(ROUND(BB14/BE14,2),0)</f>
        <v/>
      </c>
    </row>
    <row r="15">
      <c r="A15" s="2" t="inlineStr">
        <is>
          <t>2023-09-24</t>
        </is>
      </c>
      <c r="B15" s="5">
        <f>ROUND(0.0,2)</f>
        <v/>
      </c>
      <c r="C15" s="3">
        <f>ROUND(0.0,2)</f>
        <v/>
      </c>
      <c r="D15" s="3">
        <f>ROUND(0.0,2)</f>
        <v/>
      </c>
      <c r="E15" s="3">
        <f>ROUND(0.0,2)</f>
        <v/>
      </c>
      <c r="F15" s="3">
        <f>ROUND(0.0,2)</f>
        <v/>
      </c>
      <c r="G15" s="3">
        <f>ROUND(0.0,2)</f>
        <v/>
      </c>
      <c r="H15" s="3">
        <f>ROUND(0.0,2)</f>
        <v/>
      </c>
      <c r="I15" s="3">
        <f>ROUND(0.0,2)</f>
        <v/>
      </c>
      <c r="J15" s="4">
        <f>IFERROR((D15/C15),0)</f>
        <v/>
      </c>
      <c r="K15" s="4">
        <f>IFERROR(((0+B11+B12+B13+B14+B15)/T2),0)</f>
        <v/>
      </c>
      <c r="L15" s="5">
        <f>IFERROR(ROUND(B15/D15,2),0)</f>
        <v/>
      </c>
      <c r="M15" s="5">
        <f>IFERROR(ROUND(B15/E15,2),0)</f>
        <v/>
      </c>
      <c r="N15" s="2" t="inlineStr">
        <is>
          <t>2023-09-24</t>
        </is>
      </c>
      <c r="O15" s="5">
        <f>ROUND(0.0,2)</f>
        <v/>
      </c>
      <c r="P15" s="3">
        <f>ROUND(0.0,2)</f>
        <v/>
      </c>
      <c r="Q15" s="3">
        <f>ROUND(0.0,2)</f>
        <v/>
      </c>
      <c r="R15" s="3">
        <f>ROUND(0.0,2)</f>
        <v/>
      </c>
      <c r="S15" s="3">
        <f>ROUND(0.0,2)</f>
        <v/>
      </c>
      <c r="T15" s="3">
        <f>ROUND(0.0,2)</f>
        <v/>
      </c>
      <c r="U15" s="3">
        <f>ROUND(0.0,2)</f>
        <v/>
      </c>
      <c r="V15" s="3">
        <f>ROUND(0.0,2)</f>
        <v/>
      </c>
      <c r="W15" s="4">
        <f>IFERROR((Q15/P15),0)</f>
        <v/>
      </c>
      <c r="X15" s="4">
        <f>IFERROR(((0+O11+O12+O13+O14+O15)/T2),0)</f>
        <v/>
      </c>
      <c r="Y15" s="5">
        <f>IFERROR(ROUND(O15/Q15,2),0)</f>
        <v/>
      </c>
      <c r="Z15" s="5">
        <f>IFERROR(ROUND(O15/R15,2),0)</f>
        <v/>
      </c>
      <c r="AA15" s="2" t="inlineStr">
        <is>
          <t>2023-09-24</t>
        </is>
      </c>
      <c r="AB15" s="5">
        <f>ROUND(0.0,2)</f>
        <v/>
      </c>
      <c r="AC15" s="3">
        <f>ROUND(0.0,2)</f>
        <v/>
      </c>
      <c r="AD15" s="3">
        <f>ROUND(0.0,2)</f>
        <v/>
      </c>
      <c r="AE15" s="3">
        <f>ROUND(0.0,2)</f>
        <v/>
      </c>
      <c r="AF15" s="3">
        <f>ROUND(0.0,2)</f>
        <v/>
      </c>
      <c r="AG15" s="3">
        <f>ROUND(0.0,2)</f>
        <v/>
      </c>
      <c r="AH15" s="3">
        <f>ROUND(0.0,2)</f>
        <v/>
      </c>
      <c r="AI15" s="3">
        <f>ROUND(0.0,2)</f>
        <v/>
      </c>
      <c r="AJ15" s="4">
        <f>IFERROR((AD15/AC15),0)</f>
        <v/>
      </c>
      <c r="AK15" s="4">
        <f>IFERROR(((0+AB11+AB12+AB13+AB14+AB15)/T2),0)</f>
        <v/>
      </c>
      <c r="AL15" s="5">
        <f>IFERROR(ROUND(AB15/AD15,2),0)</f>
        <v/>
      </c>
      <c r="AM15" s="5">
        <f>IFERROR(ROUND(AB15/AE15,2),0)</f>
        <v/>
      </c>
      <c r="AN15" s="2" t="inlineStr">
        <is>
          <t>2023-09-24</t>
        </is>
      </c>
      <c r="AO15" s="5">
        <f>ROUND(0.0,2)</f>
        <v/>
      </c>
      <c r="AP15" s="3">
        <f>ROUND(0.0,2)</f>
        <v/>
      </c>
      <c r="AQ15" s="3">
        <f>ROUND(0.0,2)</f>
        <v/>
      </c>
      <c r="AR15" s="3">
        <f>ROUND(0.0,2)</f>
        <v/>
      </c>
      <c r="AS15" s="3">
        <f>ROUND(0.0,2)</f>
        <v/>
      </c>
      <c r="AT15" s="3">
        <f>ROUND(0.0,2)</f>
        <v/>
      </c>
      <c r="AU15" s="3">
        <f>ROUND(0.0,2)</f>
        <v/>
      </c>
      <c r="AV15" s="3">
        <f>ROUND(0.0,2)</f>
        <v/>
      </c>
      <c r="AW15" s="4">
        <f>IFERROR((AQ15/AP15),0)</f>
        <v/>
      </c>
      <c r="AX15" s="4">
        <f>IFERROR(((0+AO11+AO12+AO13+AO14+AO15)/T2),0)</f>
        <v/>
      </c>
      <c r="AY15" s="5">
        <f>IFERROR(ROUND(AO15/AQ15,2),0)</f>
        <v/>
      </c>
      <c r="AZ15" s="5">
        <f>IFERROR(ROUND(AO15/AR15,2),0)</f>
        <v/>
      </c>
      <c r="BA15" s="2" t="inlineStr">
        <is>
          <t>2023-09-24</t>
        </is>
      </c>
      <c r="BB15" s="5">
        <f>ROUND(0.0,2)</f>
        <v/>
      </c>
      <c r="BC15" s="3">
        <f>ROUND(0.0,2)</f>
        <v/>
      </c>
      <c r="BD15" s="3">
        <f>ROUND(0.0,2)</f>
        <v/>
      </c>
      <c r="BE15" s="3">
        <f>ROUND(0.0,2)</f>
        <v/>
      </c>
      <c r="BF15" s="3">
        <f>ROUND(0.0,2)</f>
        <v/>
      </c>
      <c r="BG15" s="3">
        <f>ROUND(0.0,2)</f>
        <v/>
      </c>
      <c r="BH15" s="3">
        <f>ROUND(0.0,2)</f>
        <v/>
      </c>
      <c r="BI15" s="3">
        <f>ROUND(0.0,2)</f>
        <v/>
      </c>
      <c r="BJ15" s="4">
        <f>IFERROR((BD15/BC15),0)</f>
        <v/>
      </c>
      <c r="BK15" s="4">
        <f>IFERROR(((0+BB11+BB12+BB13+BB14+BB15)/T2),0)</f>
        <v/>
      </c>
      <c r="BL15" s="5">
        <f>IFERROR(ROUND(BB15/BD15,2),0)</f>
        <v/>
      </c>
      <c r="BM15" s="5">
        <f>IFERROR(ROUND(BB15/BE15,2),0)</f>
        <v/>
      </c>
    </row>
    <row r="16">
      <c r="A16" s="2" t="inlineStr">
        <is>
          <t>2023-09-25</t>
        </is>
      </c>
      <c r="B16" s="5">
        <f>ROUND(0.0,2)</f>
        <v/>
      </c>
      <c r="C16" s="3">
        <f>ROUND(0.0,2)</f>
        <v/>
      </c>
      <c r="D16" s="3">
        <f>ROUND(0.0,2)</f>
        <v/>
      </c>
      <c r="E16" s="3">
        <f>ROUND(0.0,2)</f>
        <v/>
      </c>
      <c r="F16" s="3">
        <f>ROUND(0.0,2)</f>
        <v/>
      </c>
      <c r="G16" s="3">
        <f>ROUND(0.0,2)</f>
        <v/>
      </c>
      <c r="H16" s="3">
        <f>ROUND(0.0,2)</f>
        <v/>
      </c>
      <c r="I16" s="3">
        <f>ROUND(0.0,2)</f>
        <v/>
      </c>
      <c r="J16" s="4">
        <f>IFERROR((D16/C16),0)</f>
        <v/>
      </c>
      <c r="K16" s="4">
        <f>IFERROR(((0+B11+B12+B13+B14+B15+B16)/T2),0)</f>
        <v/>
      </c>
      <c r="L16" s="5">
        <f>IFERROR(ROUND(B16/D16,2),0)</f>
        <v/>
      </c>
      <c r="M16" s="5">
        <f>IFERROR(ROUND(B16/E16,2),0)</f>
        <v/>
      </c>
      <c r="N16" s="2" t="inlineStr">
        <is>
          <t>2023-09-25</t>
        </is>
      </c>
      <c r="O16" s="5">
        <f>ROUND(0.0,2)</f>
        <v/>
      </c>
      <c r="P16" s="3">
        <f>ROUND(0.0,2)</f>
        <v/>
      </c>
      <c r="Q16" s="3">
        <f>ROUND(0.0,2)</f>
        <v/>
      </c>
      <c r="R16" s="3">
        <f>ROUND(0.0,2)</f>
        <v/>
      </c>
      <c r="S16" s="3">
        <f>ROUND(0.0,2)</f>
        <v/>
      </c>
      <c r="T16" s="3">
        <f>ROUND(0.0,2)</f>
        <v/>
      </c>
      <c r="U16" s="3">
        <f>ROUND(0.0,2)</f>
        <v/>
      </c>
      <c r="V16" s="3">
        <f>ROUND(0.0,2)</f>
        <v/>
      </c>
      <c r="W16" s="4">
        <f>IFERROR((Q16/P16),0)</f>
        <v/>
      </c>
      <c r="X16" s="4">
        <f>IFERROR(((0+O11+O12+O13+O14+O15+O16)/T2),0)</f>
        <v/>
      </c>
      <c r="Y16" s="5">
        <f>IFERROR(ROUND(O16/Q16,2),0)</f>
        <v/>
      </c>
      <c r="Z16" s="5">
        <f>IFERROR(ROUND(O16/R16,2),0)</f>
        <v/>
      </c>
      <c r="AA16" s="2" t="inlineStr">
        <is>
          <t>2023-09-25</t>
        </is>
      </c>
      <c r="AB16" s="5">
        <f>ROUND(0.0,2)</f>
        <v/>
      </c>
      <c r="AC16" s="3">
        <f>ROUND(0.0,2)</f>
        <v/>
      </c>
      <c r="AD16" s="3">
        <f>ROUND(0.0,2)</f>
        <v/>
      </c>
      <c r="AE16" s="3">
        <f>ROUND(0.0,2)</f>
        <v/>
      </c>
      <c r="AF16" s="3">
        <f>ROUND(0.0,2)</f>
        <v/>
      </c>
      <c r="AG16" s="3">
        <f>ROUND(0.0,2)</f>
        <v/>
      </c>
      <c r="AH16" s="3">
        <f>ROUND(0.0,2)</f>
        <v/>
      </c>
      <c r="AI16" s="3">
        <f>ROUND(0.0,2)</f>
        <v/>
      </c>
      <c r="AJ16" s="4">
        <f>IFERROR((AD16/AC16),0)</f>
        <v/>
      </c>
      <c r="AK16" s="4">
        <f>IFERROR(((0+AB11+AB12+AB13+AB14+AB15+AB16)/T2),0)</f>
        <v/>
      </c>
      <c r="AL16" s="5">
        <f>IFERROR(ROUND(AB16/AD16,2),0)</f>
        <v/>
      </c>
      <c r="AM16" s="5">
        <f>IFERROR(ROUND(AB16/AE16,2),0)</f>
        <v/>
      </c>
      <c r="AN16" s="2" t="inlineStr">
        <is>
          <t>2023-09-25</t>
        </is>
      </c>
      <c r="AO16" s="5">
        <f>ROUND(0.0,2)</f>
        <v/>
      </c>
      <c r="AP16" s="3">
        <f>ROUND(0.0,2)</f>
        <v/>
      </c>
      <c r="AQ16" s="3">
        <f>ROUND(0.0,2)</f>
        <v/>
      </c>
      <c r="AR16" s="3">
        <f>ROUND(0.0,2)</f>
        <v/>
      </c>
      <c r="AS16" s="3">
        <f>ROUND(0.0,2)</f>
        <v/>
      </c>
      <c r="AT16" s="3">
        <f>ROUND(0.0,2)</f>
        <v/>
      </c>
      <c r="AU16" s="3">
        <f>ROUND(0.0,2)</f>
        <v/>
      </c>
      <c r="AV16" s="3">
        <f>ROUND(0.0,2)</f>
        <v/>
      </c>
      <c r="AW16" s="4">
        <f>IFERROR((AQ16/AP16),0)</f>
        <v/>
      </c>
      <c r="AX16" s="4">
        <f>IFERROR(((0+AO11+AO12+AO13+AO14+AO15+AO16)/T2),0)</f>
        <v/>
      </c>
      <c r="AY16" s="5">
        <f>IFERROR(ROUND(AO16/AQ16,2),0)</f>
        <v/>
      </c>
      <c r="AZ16" s="5">
        <f>IFERROR(ROUND(AO16/AR16,2),0)</f>
        <v/>
      </c>
      <c r="BA16" s="2" t="inlineStr">
        <is>
          <t>2023-09-25</t>
        </is>
      </c>
      <c r="BB16" s="5">
        <f>ROUND(0.0,2)</f>
        <v/>
      </c>
      <c r="BC16" s="3">
        <f>ROUND(0.0,2)</f>
        <v/>
      </c>
      <c r="BD16" s="3">
        <f>ROUND(0.0,2)</f>
        <v/>
      </c>
      <c r="BE16" s="3">
        <f>ROUND(0.0,2)</f>
        <v/>
      </c>
      <c r="BF16" s="3">
        <f>ROUND(0.0,2)</f>
        <v/>
      </c>
      <c r="BG16" s="3">
        <f>ROUND(0.0,2)</f>
        <v/>
      </c>
      <c r="BH16" s="3">
        <f>ROUND(0.0,2)</f>
        <v/>
      </c>
      <c r="BI16" s="3">
        <f>ROUND(0.0,2)</f>
        <v/>
      </c>
      <c r="BJ16" s="4">
        <f>IFERROR((BD16/BC16),0)</f>
        <v/>
      </c>
      <c r="BK16" s="4">
        <f>IFERROR(((0+BB11+BB12+BB13+BB14+BB15+BB16)/T2),0)</f>
        <v/>
      </c>
      <c r="BL16" s="5">
        <f>IFERROR(ROUND(BB16/BD16,2),0)</f>
        <v/>
      </c>
      <c r="BM16" s="5">
        <f>IFERROR(ROUND(BB16/BE16,2),0)</f>
        <v/>
      </c>
    </row>
    <row r="17">
      <c r="A17" s="2" t="inlineStr">
        <is>
          <t>2023-09-26</t>
        </is>
      </c>
      <c r="B17" s="5">
        <f>ROUND(0.0,2)</f>
        <v/>
      </c>
      <c r="C17" s="3">
        <f>ROUND(0.0,2)</f>
        <v/>
      </c>
      <c r="D17" s="3">
        <f>ROUND(0.0,2)</f>
        <v/>
      </c>
      <c r="E17" s="3">
        <f>ROUND(0.0,2)</f>
        <v/>
      </c>
      <c r="F17" s="3">
        <f>ROUND(0.0,2)</f>
        <v/>
      </c>
      <c r="G17" s="3">
        <f>ROUND(0.0,2)</f>
        <v/>
      </c>
      <c r="H17" s="3">
        <f>ROUND(0.0,2)</f>
        <v/>
      </c>
      <c r="I17" s="3">
        <f>ROUND(0.0,2)</f>
        <v/>
      </c>
      <c r="J17" s="4">
        <f>IFERROR((D17/C17),0)</f>
        <v/>
      </c>
      <c r="K17" s="4">
        <f>IFERROR(((0+B11+B12+B13+B14+B15+B16+B17)/T2),0)</f>
        <v/>
      </c>
      <c r="L17" s="5">
        <f>IFERROR(ROUND(B17/D17,2),0)</f>
        <v/>
      </c>
      <c r="M17" s="5">
        <f>IFERROR(ROUND(B17/E17,2),0)</f>
        <v/>
      </c>
      <c r="N17" s="2" t="inlineStr">
        <is>
          <t>2023-09-26</t>
        </is>
      </c>
      <c r="O17" s="5">
        <f>ROUND(0.0,2)</f>
        <v/>
      </c>
      <c r="P17" s="3">
        <f>ROUND(0.0,2)</f>
        <v/>
      </c>
      <c r="Q17" s="3">
        <f>ROUND(0.0,2)</f>
        <v/>
      </c>
      <c r="R17" s="3">
        <f>ROUND(0.0,2)</f>
        <v/>
      </c>
      <c r="S17" s="3">
        <f>ROUND(0.0,2)</f>
        <v/>
      </c>
      <c r="T17" s="3">
        <f>ROUND(0.0,2)</f>
        <v/>
      </c>
      <c r="U17" s="3">
        <f>ROUND(0.0,2)</f>
        <v/>
      </c>
      <c r="V17" s="3">
        <f>ROUND(0.0,2)</f>
        <v/>
      </c>
      <c r="W17" s="4">
        <f>IFERROR((Q17/P17),0)</f>
        <v/>
      </c>
      <c r="X17" s="4">
        <f>IFERROR(((0+O11+O12+O13+O14+O15+O16+O17)/T2),0)</f>
        <v/>
      </c>
      <c r="Y17" s="5">
        <f>IFERROR(ROUND(O17/Q17,2),0)</f>
        <v/>
      </c>
      <c r="Z17" s="5">
        <f>IFERROR(ROUND(O17/R17,2),0)</f>
        <v/>
      </c>
      <c r="AA17" s="2" t="inlineStr">
        <is>
          <t>2023-09-26</t>
        </is>
      </c>
      <c r="AB17" s="5">
        <f>ROUND(0.0,2)</f>
        <v/>
      </c>
      <c r="AC17" s="3">
        <f>ROUND(0.0,2)</f>
        <v/>
      </c>
      <c r="AD17" s="3">
        <f>ROUND(0.0,2)</f>
        <v/>
      </c>
      <c r="AE17" s="3">
        <f>ROUND(0.0,2)</f>
        <v/>
      </c>
      <c r="AF17" s="3">
        <f>ROUND(0.0,2)</f>
        <v/>
      </c>
      <c r="AG17" s="3">
        <f>ROUND(0.0,2)</f>
        <v/>
      </c>
      <c r="AH17" s="3">
        <f>ROUND(0.0,2)</f>
        <v/>
      </c>
      <c r="AI17" s="3">
        <f>ROUND(0.0,2)</f>
        <v/>
      </c>
      <c r="AJ17" s="4">
        <f>IFERROR((AD17/AC17),0)</f>
        <v/>
      </c>
      <c r="AK17" s="4">
        <f>IFERROR(((0+AB11+AB12+AB13+AB14+AB15+AB16+AB17)/T2),0)</f>
        <v/>
      </c>
      <c r="AL17" s="5">
        <f>IFERROR(ROUND(AB17/AD17,2),0)</f>
        <v/>
      </c>
      <c r="AM17" s="5">
        <f>IFERROR(ROUND(AB17/AE17,2),0)</f>
        <v/>
      </c>
      <c r="AN17" s="2" t="inlineStr">
        <is>
          <t>2023-09-26</t>
        </is>
      </c>
      <c r="AO17" s="5">
        <f>ROUND(0.0,2)</f>
        <v/>
      </c>
      <c r="AP17" s="3">
        <f>ROUND(0.0,2)</f>
        <v/>
      </c>
      <c r="AQ17" s="3">
        <f>ROUND(0.0,2)</f>
        <v/>
      </c>
      <c r="AR17" s="3">
        <f>ROUND(0.0,2)</f>
        <v/>
      </c>
      <c r="AS17" s="3">
        <f>ROUND(0.0,2)</f>
        <v/>
      </c>
      <c r="AT17" s="3">
        <f>ROUND(0.0,2)</f>
        <v/>
      </c>
      <c r="AU17" s="3">
        <f>ROUND(0.0,2)</f>
        <v/>
      </c>
      <c r="AV17" s="3">
        <f>ROUND(0.0,2)</f>
        <v/>
      </c>
      <c r="AW17" s="4">
        <f>IFERROR((AQ17/AP17),0)</f>
        <v/>
      </c>
      <c r="AX17" s="4">
        <f>IFERROR(((0+AO11+AO12+AO13+AO14+AO15+AO16+AO17)/T2),0)</f>
        <v/>
      </c>
      <c r="AY17" s="5">
        <f>IFERROR(ROUND(AO17/AQ17,2),0)</f>
        <v/>
      </c>
      <c r="AZ17" s="5">
        <f>IFERROR(ROUND(AO17/AR17,2),0)</f>
        <v/>
      </c>
      <c r="BA17" s="2" t="inlineStr">
        <is>
          <t>2023-09-26</t>
        </is>
      </c>
      <c r="BB17" s="5">
        <f>ROUND(0.0,2)</f>
        <v/>
      </c>
      <c r="BC17" s="3">
        <f>ROUND(0.0,2)</f>
        <v/>
      </c>
      <c r="BD17" s="3">
        <f>ROUND(0.0,2)</f>
        <v/>
      </c>
      <c r="BE17" s="3">
        <f>ROUND(0.0,2)</f>
        <v/>
      </c>
      <c r="BF17" s="3">
        <f>ROUND(0.0,2)</f>
        <v/>
      </c>
      <c r="BG17" s="3">
        <f>ROUND(0.0,2)</f>
        <v/>
      </c>
      <c r="BH17" s="3">
        <f>ROUND(0.0,2)</f>
        <v/>
      </c>
      <c r="BI17" s="3">
        <f>ROUND(0.0,2)</f>
        <v/>
      </c>
      <c r="BJ17" s="4">
        <f>IFERROR((BD17/BC17),0)</f>
        <v/>
      </c>
      <c r="BK17" s="4">
        <f>IFERROR(((0+BB11+BB12+BB13+BB14+BB15+BB16+BB17)/T2),0)</f>
        <v/>
      </c>
      <c r="BL17" s="5">
        <f>IFERROR(ROUND(BB17/BD17,2),0)</f>
        <v/>
      </c>
      <c r="BM17" s="5">
        <f>IFERROR(ROUND(BB17/BE17,2),0)</f>
        <v/>
      </c>
    </row>
    <row r="18">
      <c r="A18" s="2" t="inlineStr">
        <is>
          <t>1 Weekly Total</t>
        </is>
      </c>
      <c r="B18" s="5">
        <f>ROUND(0.0,2)</f>
        <v/>
      </c>
      <c r="C18" s="3">
        <f>ROUND(0.0,2)</f>
        <v/>
      </c>
      <c r="D18" s="3">
        <f>ROUND(0.0,2)</f>
        <v/>
      </c>
      <c r="E18" s="3">
        <f>ROUND(0.0,2)</f>
        <v/>
      </c>
      <c r="F18" s="3">
        <f>ROUND(0.0,2)</f>
        <v/>
      </c>
      <c r="G18" s="3">
        <f>ROUND(0.0,2)</f>
        <v/>
      </c>
      <c r="H18" s="3">
        <f>ROUND(0.0,2)</f>
        <v/>
      </c>
      <c r="I18" s="3">
        <f>ROUND(0.0,2)</f>
        <v/>
      </c>
      <c r="J18" s="4">
        <f>IFERROR((D18/C18),0)</f>
        <v/>
      </c>
      <c r="K18" s="4">
        <f>IFERROR(((0+B11+B12+B13+B14+B15+B16+B17)/T2),0)</f>
        <v/>
      </c>
      <c r="L18" s="5">
        <f>IFERROR(ROUND(B18/D18,2),0)</f>
        <v/>
      </c>
      <c r="M18" s="5">
        <f>IFERROR(ROUND(B18/E18,2),0)</f>
        <v/>
      </c>
      <c r="N18" s="2" t="inlineStr">
        <is>
          <t>1 Weekly Total</t>
        </is>
      </c>
      <c r="O18" s="5">
        <f>ROUND(0.0,2)</f>
        <v/>
      </c>
      <c r="P18" s="3">
        <f>ROUND(0.0,2)</f>
        <v/>
      </c>
      <c r="Q18" s="3">
        <f>ROUND(0.0,2)</f>
        <v/>
      </c>
      <c r="R18" s="3">
        <f>ROUND(0.0,2)</f>
        <v/>
      </c>
      <c r="S18" s="3">
        <f>ROUND(0.0,2)</f>
        <v/>
      </c>
      <c r="T18" s="3">
        <f>ROUND(0.0,2)</f>
        <v/>
      </c>
      <c r="U18" s="3">
        <f>ROUND(0.0,2)</f>
        <v/>
      </c>
      <c r="V18" s="3">
        <f>ROUND(0.0,2)</f>
        <v/>
      </c>
      <c r="W18" s="4">
        <f>IFERROR((Q18/P18),0)</f>
        <v/>
      </c>
      <c r="X18" s="4">
        <f>IFERROR(((0+O11+O12+O13+O14+O15+O16+O17)/T2),0)</f>
        <v/>
      </c>
      <c r="Y18" s="5">
        <f>IFERROR(ROUND(O18/Q18,2),0)</f>
        <v/>
      </c>
      <c r="Z18" s="5">
        <f>IFERROR(ROUND(O18/R18,2),0)</f>
        <v/>
      </c>
      <c r="AA18" s="2" t="inlineStr">
        <is>
          <t>1 Weekly Total</t>
        </is>
      </c>
      <c r="AB18" s="5">
        <f>ROUND(0.0,2)</f>
        <v/>
      </c>
      <c r="AC18" s="3">
        <f>ROUND(0.0,2)</f>
        <v/>
      </c>
      <c r="AD18" s="3">
        <f>ROUND(0.0,2)</f>
        <v/>
      </c>
      <c r="AE18" s="3">
        <f>ROUND(0.0,2)</f>
        <v/>
      </c>
      <c r="AF18" s="3">
        <f>ROUND(0.0,2)</f>
        <v/>
      </c>
      <c r="AG18" s="3">
        <f>ROUND(0.0,2)</f>
        <v/>
      </c>
      <c r="AH18" s="3">
        <f>ROUND(0.0,2)</f>
        <v/>
      </c>
      <c r="AI18" s="3">
        <f>ROUND(0.0,2)</f>
        <v/>
      </c>
      <c r="AJ18" s="4">
        <f>IFERROR((AD18/AC18),0)</f>
        <v/>
      </c>
      <c r="AK18" s="4">
        <f>IFERROR(((0+AB11+AB12+AB13+AB14+AB15+AB16+AB17)/T2),0)</f>
        <v/>
      </c>
      <c r="AL18" s="5">
        <f>IFERROR(ROUND(AB18/AD18,2),0)</f>
        <v/>
      </c>
      <c r="AM18" s="5">
        <f>IFERROR(ROUND(AB18/AE18,2),0)</f>
        <v/>
      </c>
      <c r="AN18" s="2" t="inlineStr">
        <is>
          <t>1 Weekly Total</t>
        </is>
      </c>
      <c r="AO18" s="5">
        <f>ROUND(0.0,2)</f>
        <v/>
      </c>
      <c r="AP18" s="3">
        <f>ROUND(0.0,2)</f>
        <v/>
      </c>
      <c r="AQ18" s="3">
        <f>ROUND(0.0,2)</f>
        <v/>
      </c>
      <c r="AR18" s="3">
        <f>ROUND(0.0,2)</f>
        <v/>
      </c>
      <c r="AS18" s="3">
        <f>ROUND(0.0,2)</f>
        <v/>
      </c>
      <c r="AT18" s="3">
        <f>ROUND(0.0,2)</f>
        <v/>
      </c>
      <c r="AU18" s="3">
        <f>ROUND(0.0,2)</f>
        <v/>
      </c>
      <c r="AV18" s="3">
        <f>ROUND(0.0,2)</f>
        <v/>
      </c>
      <c r="AW18" s="4">
        <f>IFERROR((AQ18/AP18),0)</f>
        <v/>
      </c>
      <c r="AX18" s="4">
        <f>IFERROR(((0+AO11+AO12+AO13+AO14+AO15+AO16+AO17)/T2),0)</f>
        <v/>
      </c>
      <c r="AY18" s="5">
        <f>IFERROR(ROUND(AO18/AQ18,2),0)</f>
        <v/>
      </c>
      <c r="AZ18" s="5">
        <f>IFERROR(ROUND(AO18/AR18,2),0)</f>
        <v/>
      </c>
      <c r="BA18" s="2" t="inlineStr">
        <is>
          <t>1 Weekly Total</t>
        </is>
      </c>
      <c r="BB18" s="5">
        <f>ROUND(0.0,2)</f>
        <v/>
      </c>
      <c r="BC18" s="3">
        <f>ROUND(0.0,2)</f>
        <v/>
      </c>
      <c r="BD18" s="3">
        <f>ROUND(0.0,2)</f>
        <v/>
      </c>
      <c r="BE18" s="3">
        <f>ROUND(0.0,2)</f>
        <v/>
      </c>
      <c r="BF18" s="3">
        <f>ROUND(0.0,2)</f>
        <v/>
      </c>
      <c r="BG18" s="3">
        <f>ROUND(0.0,2)</f>
        <v/>
      </c>
      <c r="BH18" s="3">
        <f>ROUND(0.0,2)</f>
        <v/>
      </c>
      <c r="BI18" s="3">
        <f>ROUND(0.0,2)</f>
        <v/>
      </c>
      <c r="BJ18" s="4">
        <f>IFERROR((BD18/BC18),0)</f>
        <v/>
      </c>
      <c r="BK18" s="4">
        <f>IFERROR(((0+BB11+BB12+BB13+BB14+BB15+BB16+BB17)/T2),0)</f>
        <v/>
      </c>
      <c r="BL18" s="5">
        <f>IFERROR(ROUND(BB18/BD18,2),0)</f>
        <v/>
      </c>
      <c r="BM18" s="5">
        <f>IFERROR(ROUND(BB18/BE18,2),0)</f>
        <v/>
      </c>
    </row>
    <row r="19">
      <c r="A19" s="2" t="inlineStr">
        <is>
          <t>2023-09-27</t>
        </is>
      </c>
      <c r="B19" s="5">
        <f>ROUND(0.0,2)</f>
        <v/>
      </c>
      <c r="C19" s="3">
        <f>ROUND(0.0,2)</f>
        <v/>
      </c>
      <c r="D19" s="3">
        <f>ROUND(0.0,2)</f>
        <v/>
      </c>
      <c r="E19" s="3">
        <f>ROUND(0.0,2)</f>
        <v/>
      </c>
      <c r="F19" s="3">
        <f>ROUND(0.0,2)</f>
        <v/>
      </c>
      <c r="G19" s="3">
        <f>ROUND(0.0,2)</f>
        <v/>
      </c>
      <c r="H19" s="3">
        <f>ROUND(0.0,2)</f>
        <v/>
      </c>
      <c r="I19" s="3">
        <f>ROUND(0.0,2)</f>
        <v/>
      </c>
      <c r="J19" s="4">
        <f>IFERROR((D19/C19),0)</f>
        <v/>
      </c>
      <c r="K19" s="4">
        <f>IFERROR(((0+B11+B12+B13+B14+B15+B16+B17+B19)/T2),0)</f>
        <v/>
      </c>
      <c r="L19" s="5">
        <f>IFERROR(ROUND(B19/D19,2),0)</f>
        <v/>
      </c>
      <c r="M19" s="5">
        <f>IFERROR(ROUND(B19/E19,2),0)</f>
        <v/>
      </c>
      <c r="N19" s="2" t="inlineStr">
        <is>
          <t>2023-09-27</t>
        </is>
      </c>
      <c r="O19" s="5">
        <f>ROUND(0.0,2)</f>
        <v/>
      </c>
      <c r="P19" s="3">
        <f>ROUND(0.0,2)</f>
        <v/>
      </c>
      <c r="Q19" s="3">
        <f>ROUND(0.0,2)</f>
        <v/>
      </c>
      <c r="R19" s="3">
        <f>ROUND(0.0,2)</f>
        <v/>
      </c>
      <c r="S19" s="3">
        <f>ROUND(0.0,2)</f>
        <v/>
      </c>
      <c r="T19" s="3">
        <f>ROUND(0.0,2)</f>
        <v/>
      </c>
      <c r="U19" s="3">
        <f>ROUND(0.0,2)</f>
        <v/>
      </c>
      <c r="V19" s="3">
        <f>ROUND(0.0,2)</f>
        <v/>
      </c>
      <c r="W19" s="4">
        <f>IFERROR((Q19/P19),0)</f>
        <v/>
      </c>
      <c r="X19" s="4">
        <f>IFERROR(((0+O11+O12+O13+O14+O15+O16+O17+O19)/T2),0)</f>
        <v/>
      </c>
      <c r="Y19" s="5">
        <f>IFERROR(ROUND(O19/Q19,2),0)</f>
        <v/>
      </c>
      <c r="Z19" s="5">
        <f>IFERROR(ROUND(O19/R19,2),0)</f>
        <v/>
      </c>
      <c r="AA19" s="2" t="inlineStr">
        <is>
          <t>2023-09-27</t>
        </is>
      </c>
      <c r="AB19" s="5">
        <f>ROUND(0.0,2)</f>
        <v/>
      </c>
      <c r="AC19" s="3">
        <f>ROUND(0.0,2)</f>
        <v/>
      </c>
      <c r="AD19" s="3">
        <f>ROUND(0.0,2)</f>
        <v/>
      </c>
      <c r="AE19" s="3">
        <f>ROUND(0.0,2)</f>
        <v/>
      </c>
      <c r="AF19" s="3">
        <f>ROUND(0.0,2)</f>
        <v/>
      </c>
      <c r="AG19" s="3">
        <f>ROUND(0.0,2)</f>
        <v/>
      </c>
      <c r="AH19" s="3">
        <f>ROUND(0.0,2)</f>
        <v/>
      </c>
      <c r="AI19" s="3">
        <f>ROUND(0.0,2)</f>
        <v/>
      </c>
      <c r="AJ19" s="4">
        <f>IFERROR((AD19/AC19),0)</f>
        <v/>
      </c>
      <c r="AK19" s="4">
        <f>IFERROR(((0+AB11+AB12+AB13+AB14+AB15+AB16+AB17+AB19)/T2),0)</f>
        <v/>
      </c>
      <c r="AL19" s="5">
        <f>IFERROR(ROUND(AB19/AD19,2),0)</f>
        <v/>
      </c>
      <c r="AM19" s="5">
        <f>IFERROR(ROUND(AB19/AE19,2),0)</f>
        <v/>
      </c>
      <c r="AN19" s="2" t="inlineStr">
        <is>
          <t>2023-09-27</t>
        </is>
      </c>
      <c r="AO19" s="5">
        <f>ROUND(0.0,2)</f>
        <v/>
      </c>
      <c r="AP19" s="3">
        <f>ROUND(0.0,2)</f>
        <v/>
      </c>
      <c r="AQ19" s="3">
        <f>ROUND(0.0,2)</f>
        <v/>
      </c>
      <c r="AR19" s="3">
        <f>ROUND(0.0,2)</f>
        <v/>
      </c>
      <c r="AS19" s="3">
        <f>ROUND(0.0,2)</f>
        <v/>
      </c>
      <c r="AT19" s="3">
        <f>ROUND(0.0,2)</f>
        <v/>
      </c>
      <c r="AU19" s="3">
        <f>ROUND(0.0,2)</f>
        <v/>
      </c>
      <c r="AV19" s="3">
        <f>ROUND(0.0,2)</f>
        <v/>
      </c>
      <c r="AW19" s="4">
        <f>IFERROR((AQ19/AP19),0)</f>
        <v/>
      </c>
      <c r="AX19" s="4">
        <f>IFERROR(((0+AO11+AO12+AO13+AO14+AO15+AO16+AO17+AO19)/T2),0)</f>
        <v/>
      </c>
      <c r="AY19" s="5">
        <f>IFERROR(ROUND(AO19/AQ19,2),0)</f>
        <v/>
      </c>
      <c r="AZ19" s="5">
        <f>IFERROR(ROUND(AO19/AR19,2),0)</f>
        <v/>
      </c>
      <c r="BA19" s="2" t="inlineStr">
        <is>
          <t>2023-09-27</t>
        </is>
      </c>
      <c r="BB19" s="5">
        <f>ROUND(0.0,2)</f>
        <v/>
      </c>
      <c r="BC19" s="3">
        <f>ROUND(0.0,2)</f>
        <v/>
      </c>
      <c r="BD19" s="3">
        <f>ROUND(0.0,2)</f>
        <v/>
      </c>
      <c r="BE19" s="3">
        <f>ROUND(0.0,2)</f>
        <v/>
      </c>
      <c r="BF19" s="3">
        <f>ROUND(0.0,2)</f>
        <v/>
      </c>
      <c r="BG19" s="3">
        <f>ROUND(0.0,2)</f>
        <v/>
      </c>
      <c r="BH19" s="3">
        <f>ROUND(0.0,2)</f>
        <v/>
      </c>
      <c r="BI19" s="3">
        <f>ROUND(0.0,2)</f>
        <v/>
      </c>
      <c r="BJ19" s="4">
        <f>IFERROR((BD19/BC19),0)</f>
        <v/>
      </c>
      <c r="BK19" s="4">
        <f>IFERROR(((0+BB11+BB12+BB13+BB14+BB15+BB16+BB17+BB19)/T2),0)</f>
        <v/>
      </c>
      <c r="BL19" s="5">
        <f>IFERROR(ROUND(BB19/BD19,2),0)</f>
        <v/>
      </c>
      <c r="BM19" s="5">
        <f>IFERROR(ROUND(BB19/BE19,2),0)</f>
        <v/>
      </c>
    </row>
    <row r="20">
      <c r="A20" s="2" t="inlineStr">
        <is>
          <t>2023-09-28</t>
        </is>
      </c>
      <c r="B20" s="5">
        <f>ROUND(0.0,2)</f>
        <v/>
      </c>
      <c r="C20" s="3">
        <f>ROUND(0.0,2)</f>
        <v/>
      </c>
      <c r="D20" s="3">
        <f>ROUND(0.0,2)</f>
        <v/>
      </c>
      <c r="E20" s="3">
        <f>ROUND(0.0,2)</f>
        <v/>
      </c>
      <c r="F20" s="3">
        <f>ROUND(0.0,2)</f>
        <v/>
      </c>
      <c r="G20" s="3">
        <f>ROUND(0.0,2)</f>
        <v/>
      </c>
      <c r="H20" s="3">
        <f>ROUND(0.0,2)</f>
        <v/>
      </c>
      <c r="I20" s="3">
        <f>ROUND(0.0,2)</f>
        <v/>
      </c>
      <c r="J20" s="4">
        <f>IFERROR((D20/C20),0)</f>
        <v/>
      </c>
      <c r="K20" s="4">
        <f>IFERROR(((0+B11+B12+B13+B14+B15+B16+B17+B19+B20)/T2),0)</f>
        <v/>
      </c>
      <c r="L20" s="5">
        <f>IFERROR(ROUND(B20/D20,2),0)</f>
        <v/>
      </c>
      <c r="M20" s="5">
        <f>IFERROR(ROUND(B20/E20,2),0)</f>
        <v/>
      </c>
      <c r="N20" s="2" t="inlineStr">
        <is>
          <t>2023-09-28</t>
        </is>
      </c>
      <c r="O20" s="5">
        <f>ROUND(0.0,2)</f>
        <v/>
      </c>
      <c r="P20" s="3">
        <f>ROUND(0.0,2)</f>
        <v/>
      </c>
      <c r="Q20" s="3">
        <f>ROUND(0.0,2)</f>
        <v/>
      </c>
      <c r="R20" s="3">
        <f>ROUND(0.0,2)</f>
        <v/>
      </c>
      <c r="S20" s="3">
        <f>ROUND(0.0,2)</f>
        <v/>
      </c>
      <c r="T20" s="3">
        <f>ROUND(0.0,2)</f>
        <v/>
      </c>
      <c r="U20" s="3">
        <f>ROUND(0.0,2)</f>
        <v/>
      </c>
      <c r="V20" s="3">
        <f>ROUND(0.0,2)</f>
        <v/>
      </c>
      <c r="W20" s="4">
        <f>IFERROR((Q20/P20),0)</f>
        <v/>
      </c>
      <c r="X20" s="4">
        <f>IFERROR(((0+O11+O12+O13+O14+O15+O16+O17+O19+O20)/T2),0)</f>
        <v/>
      </c>
      <c r="Y20" s="5">
        <f>IFERROR(ROUND(O20/Q20,2),0)</f>
        <v/>
      </c>
      <c r="Z20" s="5">
        <f>IFERROR(ROUND(O20/R20,2),0)</f>
        <v/>
      </c>
      <c r="AA20" s="2" t="inlineStr">
        <is>
          <t>2023-09-28</t>
        </is>
      </c>
      <c r="AB20" s="5">
        <f>ROUND(0.0,2)</f>
        <v/>
      </c>
      <c r="AC20" s="3">
        <f>ROUND(0.0,2)</f>
        <v/>
      </c>
      <c r="AD20" s="3">
        <f>ROUND(0.0,2)</f>
        <v/>
      </c>
      <c r="AE20" s="3">
        <f>ROUND(0.0,2)</f>
        <v/>
      </c>
      <c r="AF20" s="3">
        <f>ROUND(0.0,2)</f>
        <v/>
      </c>
      <c r="AG20" s="3">
        <f>ROUND(0.0,2)</f>
        <v/>
      </c>
      <c r="AH20" s="3">
        <f>ROUND(0.0,2)</f>
        <v/>
      </c>
      <c r="AI20" s="3">
        <f>ROUND(0.0,2)</f>
        <v/>
      </c>
      <c r="AJ20" s="4">
        <f>IFERROR((AD20/AC20),0)</f>
        <v/>
      </c>
      <c r="AK20" s="4">
        <f>IFERROR(((0+AB11+AB12+AB13+AB14+AB15+AB16+AB17+AB19+AB20)/T2),0)</f>
        <v/>
      </c>
      <c r="AL20" s="5">
        <f>IFERROR(ROUND(AB20/AD20,2),0)</f>
        <v/>
      </c>
      <c r="AM20" s="5">
        <f>IFERROR(ROUND(AB20/AE20,2),0)</f>
        <v/>
      </c>
      <c r="AN20" s="2" t="inlineStr">
        <is>
          <t>2023-09-28</t>
        </is>
      </c>
      <c r="AO20" s="5">
        <f>ROUND(0.0,2)</f>
        <v/>
      </c>
      <c r="AP20" s="3">
        <f>ROUND(0.0,2)</f>
        <v/>
      </c>
      <c r="AQ20" s="3">
        <f>ROUND(0.0,2)</f>
        <v/>
      </c>
      <c r="AR20" s="3">
        <f>ROUND(0.0,2)</f>
        <v/>
      </c>
      <c r="AS20" s="3">
        <f>ROUND(0.0,2)</f>
        <v/>
      </c>
      <c r="AT20" s="3">
        <f>ROUND(0.0,2)</f>
        <v/>
      </c>
      <c r="AU20" s="3">
        <f>ROUND(0.0,2)</f>
        <v/>
      </c>
      <c r="AV20" s="3">
        <f>ROUND(0.0,2)</f>
        <v/>
      </c>
      <c r="AW20" s="4">
        <f>IFERROR((AQ20/AP20),0)</f>
        <v/>
      </c>
      <c r="AX20" s="4">
        <f>IFERROR(((0+AO11+AO12+AO13+AO14+AO15+AO16+AO17+AO19+AO20)/T2),0)</f>
        <v/>
      </c>
      <c r="AY20" s="5">
        <f>IFERROR(ROUND(AO20/AQ20,2),0)</f>
        <v/>
      </c>
      <c r="AZ20" s="5">
        <f>IFERROR(ROUND(AO20/AR20,2),0)</f>
        <v/>
      </c>
      <c r="BA20" s="2" t="inlineStr">
        <is>
          <t>2023-09-28</t>
        </is>
      </c>
      <c r="BB20" s="5">
        <f>ROUND(0.0,2)</f>
        <v/>
      </c>
      <c r="BC20" s="3">
        <f>ROUND(0.0,2)</f>
        <v/>
      </c>
      <c r="BD20" s="3">
        <f>ROUND(0.0,2)</f>
        <v/>
      </c>
      <c r="BE20" s="3">
        <f>ROUND(0.0,2)</f>
        <v/>
      </c>
      <c r="BF20" s="3">
        <f>ROUND(0.0,2)</f>
        <v/>
      </c>
      <c r="BG20" s="3">
        <f>ROUND(0.0,2)</f>
        <v/>
      </c>
      <c r="BH20" s="3">
        <f>ROUND(0.0,2)</f>
        <v/>
      </c>
      <c r="BI20" s="3">
        <f>ROUND(0.0,2)</f>
        <v/>
      </c>
      <c r="BJ20" s="4">
        <f>IFERROR((BD20/BC20),0)</f>
        <v/>
      </c>
      <c r="BK20" s="4">
        <f>IFERROR(((0+BB11+BB12+BB13+BB14+BB15+BB16+BB17+BB19+BB20)/T2),0)</f>
        <v/>
      </c>
      <c r="BL20" s="5">
        <f>IFERROR(ROUND(BB20/BD20,2),0)</f>
        <v/>
      </c>
      <c r="BM20" s="5">
        <f>IFERROR(ROUND(BB20/BE20,2),0)</f>
        <v/>
      </c>
    </row>
    <row r="21">
      <c r="A21" s="2" t="inlineStr">
        <is>
          <t>2023-09-29</t>
        </is>
      </c>
      <c r="B21" s="5">
        <f>ROUND(0.0,2)</f>
        <v/>
      </c>
      <c r="C21" s="3">
        <f>ROUND(0.0,2)</f>
        <v/>
      </c>
      <c r="D21" s="3">
        <f>ROUND(0.0,2)</f>
        <v/>
      </c>
      <c r="E21" s="3">
        <f>ROUND(0.0,2)</f>
        <v/>
      </c>
      <c r="F21" s="3">
        <f>ROUND(0.0,2)</f>
        <v/>
      </c>
      <c r="G21" s="3">
        <f>ROUND(0.0,2)</f>
        <v/>
      </c>
      <c r="H21" s="3">
        <f>ROUND(0.0,2)</f>
        <v/>
      </c>
      <c r="I21" s="3">
        <f>ROUND(0.0,2)</f>
        <v/>
      </c>
      <c r="J21" s="4">
        <f>IFERROR((D21/C21),0)</f>
        <v/>
      </c>
      <c r="K21" s="4">
        <f>IFERROR(((0+B11+B12+B13+B14+B15+B16+B17+B19+B20+B21)/T2),0)</f>
        <v/>
      </c>
      <c r="L21" s="5">
        <f>IFERROR(ROUND(B21/D21,2),0)</f>
        <v/>
      </c>
      <c r="M21" s="5">
        <f>IFERROR(ROUND(B21/E21,2),0)</f>
        <v/>
      </c>
      <c r="N21" s="2" t="inlineStr">
        <is>
          <t>2023-09-29</t>
        </is>
      </c>
      <c r="O21" s="5">
        <f>ROUND(0.0,2)</f>
        <v/>
      </c>
      <c r="P21" s="3">
        <f>ROUND(0.0,2)</f>
        <v/>
      </c>
      <c r="Q21" s="3">
        <f>ROUND(0.0,2)</f>
        <v/>
      </c>
      <c r="R21" s="3">
        <f>ROUND(0.0,2)</f>
        <v/>
      </c>
      <c r="S21" s="3">
        <f>ROUND(0.0,2)</f>
        <v/>
      </c>
      <c r="T21" s="3">
        <f>ROUND(0.0,2)</f>
        <v/>
      </c>
      <c r="U21" s="3">
        <f>ROUND(0.0,2)</f>
        <v/>
      </c>
      <c r="V21" s="3">
        <f>ROUND(0.0,2)</f>
        <v/>
      </c>
      <c r="W21" s="4">
        <f>IFERROR((Q21/P21),0)</f>
        <v/>
      </c>
      <c r="X21" s="4">
        <f>IFERROR(((0+O11+O12+O13+O14+O15+O16+O17+O19+O20+O21)/T2),0)</f>
        <v/>
      </c>
      <c r="Y21" s="5">
        <f>IFERROR(ROUND(O21/Q21,2),0)</f>
        <v/>
      </c>
      <c r="Z21" s="5">
        <f>IFERROR(ROUND(O21/R21,2),0)</f>
        <v/>
      </c>
      <c r="AA21" s="2" t="inlineStr">
        <is>
          <t>2023-09-29</t>
        </is>
      </c>
      <c r="AB21" s="5">
        <f>ROUND(0.0,2)</f>
        <v/>
      </c>
      <c r="AC21" s="3">
        <f>ROUND(0.0,2)</f>
        <v/>
      </c>
      <c r="AD21" s="3">
        <f>ROUND(0.0,2)</f>
        <v/>
      </c>
      <c r="AE21" s="3">
        <f>ROUND(0.0,2)</f>
        <v/>
      </c>
      <c r="AF21" s="3">
        <f>ROUND(0.0,2)</f>
        <v/>
      </c>
      <c r="AG21" s="3">
        <f>ROUND(0.0,2)</f>
        <v/>
      </c>
      <c r="AH21" s="3">
        <f>ROUND(0.0,2)</f>
        <v/>
      </c>
      <c r="AI21" s="3">
        <f>ROUND(0.0,2)</f>
        <v/>
      </c>
      <c r="AJ21" s="4">
        <f>IFERROR((AD21/AC21),0)</f>
        <v/>
      </c>
      <c r="AK21" s="4">
        <f>IFERROR(((0+AB11+AB12+AB13+AB14+AB15+AB16+AB17+AB19+AB20+AB21)/T2),0)</f>
        <v/>
      </c>
      <c r="AL21" s="5">
        <f>IFERROR(ROUND(AB21/AD21,2),0)</f>
        <v/>
      </c>
      <c r="AM21" s="5">
        <f>IFERROR(ROUND(AB21/AE21,2),0)</f>
        <v/>
      </c>
      <c r="AN21" s="2" t="inlineStr">
        <is>
          <t>2023-09-29</t>
        </is>
      </c>
      <c r="AO21" s="5">
        <f>ROUND(0.0,2)</f>
        <v/>
      </c>
      <c r="AP21" s="3">
        <f>ROUND(0.0,2)</f>
        <v/>
      </c>
      <c r="AQ21" s="3">
        <f>ROUND(0.0,2)</f>
        <v/>
      </c>
      <c r="AR21" s="3">
        <f>ROUND(0.0,2)</f>
        <v/>
      </c>
      <c r="AS21" s="3">
        <f>ROUND(0.0,2)</f>
        <v/>
      </c>
      <c r="AT21" s="3">
        <f>ROUND(0.0,2)</f>
        <v/>
      </c>
      <c r="AU21" s="3">
        <f>ROUND(0.0,2)</f>
        <v/>
      </c>
      <c r="AV21" s="3">
        <f>ROUND(0.0,2)</f>
        <v/>
      </c>
      <c r="AW21" s="4">
        <f>IFERROR((AQ21/AP21),0)</f>
        <v/>
      </c>
      <c r="AX21" s="4">
        <f>IFERROR(((0+AO11+AO12+AO13+AO14+AO15+AO16+AO17+AO19+AO20+AO21)/T2),0)</f>
        <v/>
      </c>
      <c r="AY21" s="5">
        <f>IFERROR(ROUND(AO21/AQ21,2),0)</f>
        <v/>
      </c>
      <c r="AZ21" s="5">
        <f>IFERROR(ROUND(AO21/AR21,2),0)</f>
        <v/>
      </c>
      <c r="BA21" s="2" t="inlineStr">
        <is>
          <t>2023-09-29</t>
        </is>
      </c>
      <c r="BB21" s="5">
        <f>ROUND(0.0,2)</f>
        <v/>
      </c>
      <c r="BC21" s="3">
        <f>ROUND(0.0,2)</f>
        <v/>
      </c>
      <c r="BD21" s="3">
        <f>ROUND(0.0,2)</f>
        <v/>
      </c>
      <c r="BE21" s="3">
        <f>ROUND(0.0,2)</f>
        <v/>
      </c>
      <c r="BF21" s="3">
        <f>ROUND(0.0,2)</f>
        <v/>
      </c>
      <c r="BG21" s="3">
        <f>ROUND(0.0,2)</f>
        <v/>
      </c>
      <c r="BH21" s="3">
        <f>ROUND(0.0,2)</f>
        <v/>
      </c>
      <c r="BI21" s="3">
        <f>ROUND(0.0,2)</f>
        <v/>
      </c>
      <c r="BJ21" s="4">
        <f>IFERROR((BD21/BC21),0)</f>
        <v/>
      </c>
      <c r="BK21" s="4">
        <f>IFERROR(((0+BB11+BB12+BB13+BB14+BB15+BB16+BB17+BB19+BB20+BB21)/T2),0)</f>
        <v/>
      </c>
      <c r="BL21" s="5">
        <f>IFERROR(ROUND(BB21/BD21,2),0)</f>
        <v/>
      </c>
      <c r="BM21" s="5">
        <f>IFERROR(ROUND(BB21/BE21,2),0)</f>
        <v/>
      </c>
    </row>
    <row r="22">
      <c r="A22" s="2" t="inlineStr">
        <is>
          <t>2023-09-30</t>
        </is>
      </c>
      <c r="B22" s="5">
        <f>ROUND(0.0,2)</f>
        <v/>
      </c>
      <c r="C22" s="3">
        <f>ROUND(0.0,2)</f>
        <v/>
      </c>
      <c r="D22" s="3">
        <f>ROUND(0.0,2)</f>
        <v/>
      </c>
      <c r="E22" s="3">
        <f>ROUND(0.0,2)</f>
        <v/>
      </c>
      <c r="F22" s="3">
        <f>ROUND(0.0,2)</f>
        <v/>
      </c>
      <c r="G22" s="3">
        <f>ROUND(0.0,2)</f>
        <v/>
      </c>
      <c r="H22" s="3">
        <f>ROUND(0.0,2)</f>
        <v/>
      </c>
      <c r="I22" s="3">
        <f>ROUND(0.0,2)</f>
        <v/>
      </c>
      <c r="J22" s="4">
        <f>IFERROR((D22/C22),0)</f>
        <v/>
      </c>
      <c r="K22" s="4">
        <f>IFERROR(((0+B11+B12+B13+B14+B15+B16+B17+B19+B20+B21+B22)/T2),0)</f>
        <v/>
      </c>
      <c r="L22" s="5">
        <f>IFERROR(ROUND(B22/D22,2),0)</f>
        <v/>
      </c>
      <c r="M22" s="5">
        <f>IFERROR(ROUND(B22/E22,2),0)</f>
        <v/>
      </c>
      <c r="N22" s="2" t="inlineStr">
        <is>
          <t>2023-09-30</t>
        </is>
      </c>
      <c r="O22" s="5">
        <f>ROUND(0.0,2)</f>
        <v/>
      </c>
      <c r="P22" s="3">
        <f>ROUND(0.0,2)</f>
        <v/>
      </c>
      <c r="Q22" s="3">
        <f>ROUND(0.0,2)</f>
        <v/>
      </c>
      <c r="R22" s="3">
        <f>ROUND(0.0,2)</f>
        <v/>
      </c>
      <c r="S22" s="3">
        <f>ROUND(0.0,2)</f>
        <v/>
      </c>
      <c r="T22" s="3">
        <f>ROUND(0.0,2)</f>
        <v/>
      </c>
      <c r="U22" s="3">
        <f>ROUND(0.0,2)</f>
        <v/>
      </c>
      <c r="V22" s="3">
        <f>ROUND(0.0,2)</f>
        <v/>
      </c>
      <c r="W22" s="4">
        <f>IFERROR((Q22/P22),0)</f>
        <v/>
      </c>
      <c r="X22" s="4">
        <f>IFERROR(((0+O11+O12+O13+O14+O15+O16+O17+O19+O20+O21+O22)/T2),0)</f>
        <v/>
      </c>
      <c r="Y22" s="5">
        <f>IFERROR(ROUND(O22/Q22,2),0)</f>
        <v/>
      </c>
      <c r="Z22" s="5">
        <f>IFERROR(ROUND(O22/R22,2),0)</f>
        <v/>
      </c>
      <c r="AA22" s="2" t="inlineStr">
        <is>
          <t>2023-09-30</t>
        </is>
      </c>
      <c r="AB22" s="5">
        <f>ROUND(0.0,2)</f>
        <v/>
      </c>
      <c r="AC22" s="3">
        <f>ROUND(0.0,2)</f>
        <v/>
      </c>
      <c r="AD22" s="3">
        <f>ROUND(0.0,2)</f>
        <v/>
      </c>
      <c r="AE22" s="3">
        <f>ROUND(0.0,2)</f>
        <v/>
      </c>
      <c r="AF22" s="3">
        <f>ROUND(0.0,2)</f>
        <v/>
      </c>
      <c r="AG22" s="3">
        <f>ROUND(0.0,2)</f>
        <v/>
      </c>
      <c r="AH22" s="3">
        <f>ROUND(0.0,2)</f>
        <v/>
      </c>
      <c r="AI22" s="3">
        <f>ROUND(0.0,2)</f>
        <v/>
      </c>
      <c r="AJ22" s="4">
        <f>IFERROR((AD22/AC22),0)</f>
        <v/>
      </c>
      <c r="AK22" s="4">
        <f>IFERROR(((0+AB11+AB12+AB13+AB14+AB15+AB16+AB17+AB19+AB20+AB21+AB22)/T2),0)</f>
        <v/>
      </c>
      <c r="AL22" s="5">
        <f>IFERROR(ROUND(AB22/AD22,2),0)</f>
        <v/>
      </c>
      <c r="AM22" s="5">
        <f>IFERROR(ROUND(AB22/AE22,2),0)</f>
        <v/>
      </c>
      <c r="AN22" s="2" t="inlineStr">
        <is>
          <t>2023-09-30</t>
        </is>
      </c>
      <c r="AO22" s="5">
        <f>ROUND(0.0,2)</f>
        <v/>
      </c>
      <c r="AP22" s="3">
        <f>ROUND(0.0,2)</f>
        <v/>
      </c>
      <c r="AQ22" s="3">
        <f>ROUND(0.0,2)</f>
        <v/>
      </c>
      <c r="AR22" s="3">
        <f>ROUND(0.0,2)</f>
        <v/>
      </c>
      <c r="AS22" s="3">
        <f>ROUND(0.0,2)</f>
        <v/>
      </c>
      <c r="AT22" s="3">
        <f>ROUND(0.0,2)</f>
        <v/>
      </c>
      <c r="AU22" s="3">
        <f>ROUND(0.0,2)</f>
        <v/>
      </c>
      <c r="AV22" s="3">
        <f>ROUND(0.0,2)</f>
        <v/>
      </c>
      <c r="AW22" s="4">
        <f>IFERROR((AQ22/AP22),0)</f>
        <v/>
      </c>
      <c r="AX22" s="4">
        <f>IFERROR(((0+AO11+AO12+AO13+AO14+AO15+AO16+AO17+AO19+AO20+AO21+AO22)/T2),0)</f>
        <v/>
      </c>
      <c r="AY22" s="5">
        <f>IFERROR(ROUND(AO22/AQ22,2),0)</f>
        <v/>
      </c>
      <c r="AZ22" s="5">
        <f>IFERROR(ROUND(AO22/AR22,2),0)</f>
        <v/>
      </c>
      <c r="BA22" s="2" t="inlineStr">
        <is>
          <t>2023-09-30</t>
        </is>
      </c>
      <c r="BB22" s="5">
        <f>ROUND(0.0,2)</f>
        <v/>
      </c>
      <c r="BC22" s="3">
        <f>ROUND(0.0,2)</f>
        <v/>
      </c>
      <c r="BD22" s="3">
        <f>ROUND(0.0,2)</f>
        <v/>
      </c>
      <c r="BE22" s="3">
        <f>ROUND(0.0,2)</f>
        <v/>
      </c>
      <c r="BF22" s="3">
        <f>ROUND(0.0,2)</f>
        <v/>
      </c>
      <c r="BG22" s="3">
        <f>ROUND(0.0,2)</f>
        <v/>
      </c>
      <c r="BH22" s="3">
        <f>ROUND(0.0,2)</f>
        <v/>
      </c>
      <c r="BI22" s="3">
        <f>ROUND(0.0,2)</f>
        <v/>
      </c>
      <c r="BJ22" s="4">
        <f>IFERROR((BD22/BC22),0)</f>
        <v/>
      </c>
      <c r="BK22" s="4">
        <f>IFERROR(((0+BB11+BB12+BB13+BB14+BB15+BB16+BB17+BB19+BB20+BB21+BB22)/T2),0)</f>
        <v/>
      </c>
      <c r="BL22" s="5">
        <f>IFERROR(ROUND(BB22/BD22,2),0)</f>
        <v/>
      </c>
      <c r="BM22" s="5">
        <f>IFERROR(ROUND(BB22/BE22,2),0)</f>
        <v/>
      </c>
    </row>
    <row r="23">
      <c r="A23" s="2" t="inlineStr">
        <is>
          <t>2023-10-01</t>
        </is>
      </c>
      <c r="B23" s="5">
        <f>ROUND(0.0,2)</f>
        <v/>
      </c>
      <c r="C23" s="3">
        <f>ROUND(0.0,2)</f>
        <v/>
      </c>
      <c r="D23" s="3">
        <f>ROUND(0.0,2)</f>
        <v/>
      </c>
      <c r="E23" s="3">
        <f>ROUND(0.0,2)</f>
        <v/>
      </c>
      <c r="F23" s="3">
        <f>ROUND(0.0,2)</f>
        <v/>
      </c>
      <c r="G23" s="3">
        <f>ROUND(0.0,2)</f>
        <v/>
      </c>
      <c r="H23" s="3">
        <f>ROUND(0.0,2)</f>
        <v/>
      </c>
      <c r="I23" s="3">
        <f>ROUND(0.0,2)</f>
        <v/>
      </c>
      <c r="J23" s="4">
        <f>IFERROR((D23/C23),0)</f>
        <v/>
      </c>
      <c r="K23" s="4">
        <f>IFERROR(((0+B11+B12+B13+B14+B15+B16+B17+B19+B20+B21+B22+B23)/T2),0)</f>
        <v/>
      </c>
      <c r="L23" s="5">
        <f>IFERROR(ROUND(B23/D23,2),0)</f>
        <v/>
      </c>
      <c r="M23" s="5">
        <f>IFERROR(ROUND(B23/E23,2),0)</f>
        <v/>
      </c>
      <c r="N23" s="2" t="inlineStr">
        <is>
          <t>2023-10-01</t>
        </is>
      </c>
      <c r="O23" s="5">
        <f>ROUND(0.0,2)</f>
        <v/>
      </c>
      <c r="P23" s="3">
        <f>ROUND(0.0,2)</f>
        <v/>
      </c>
      <c r="Q23" s="3">
        <f>ROUND(0.0,2)</f>
        <v/>
      </c>
      <c r="R23" s="3">
        <f>ROUND(0.0,2)</f>
        <v/>
      </c>
      <c r="S23" s="3">
        <f>ROUND(0.0,2)</f>
        <v/>
      </c>
      <c r="T23" s="3">
        <f>ROUND(0.0,2)</f>
        <v/>
      </c>
      <c r="U23" s="3">
        <f>ROUND(0.0,2)</f>
        <v/>
      </c>
      <c r="V23" s="3">
        <f>ROUND(0.0,2)</f>
        <v/>
      </c>
      <c r="W23" s="4">
        <f>IFERROR((Q23/P23),0)</f>
        <v/>
      </c>
      <c r="X23" s="4">
        <f>IFERROR(((0+O11+O12+O13+O14+O15+O16+O17+O19+O20+O21+O22+O23)/T2),0)</f>
        <v/>
      </c>
      <c r="Y23" s="5">
        <f>IFERROR(ROUND(O23/Q23,2),0)</f>
        <v/>
      </c>
      <c r="Z23" s="5">
        <f>IFERROR(ROUND(O23/R23,2),0)</f>
        <v/>
      </c>
      <c r="AA23" s="2" t="inlineStr">
        <is>
          <t>2023-10-01</t>
        </is>
      </c>
      <c r="AB23" s="5">
        <f>ROUND(0.0,2)</f>
        <v/>
      </c>
      <c r="AC23" s="3">
        <f>ROUND(0.0,2)</f>
        <v/>
      </c>
      <c r="AD23" s="3">
        <f>ROUND(0.0,2)</f>
        <v/>
      </c>
      <c r="AE23" s="3">
        <f>ROUND(0.0,2)</f>
        <v/>
      </c>
      <c r="AF23" s="3">
        <f>ROUND(0.0,2)</f>
        <v/>
      </c>
      <c r="AG23" s="3">
        <f>ROUND(0.0,2)</f>
        <v/>
      </c>
      <c r="AH23" s="3">
        <f>ROUND(0.0,2)</f>
        <v/>
      </c>
      <c r="AI23" s="3">
        <f>ROUND(0.0,2)</f>
        <v/>
      </c>
      <c r="AJ23" s="4">
        <f>IFERROR((AD23/AC23),0)</f>
        <v/>
      </c>
      <c r="AK23" s="4">
        <f>IFERROR(((0+AB11+AB12+AB13+AB14+AB15+AB16+AB17+AB19+AB20+AB21+AB22+AB23)/T2),0)</f>
        <v/>
      </c>
      <c r="AL23" s="5">
        <f>IFERROR(ROUND(AB23/AD23,2),0)</f>
        <v/>
      </c>
      <c r="AM23" s="5">
        <f>IFERROR(ROUND(AB23/AE23,2),0)</f>
        <v/>
      </c>
      <c r="AN23" s="2" t="inlineStr">
        <is>
          <t>2023-10-01</t>
        </is>
      </c>
      <c r="AO23" s="5">
        <f>ROUND(0.0,2)</f>
        <v/>
      </c>
      <c r="AP23" s="3">
        <f>ROUND(0.0,2)</f>
        <v/>
      </c>
      <c r="AQ23" s="3">
        <f>ROUND(0.0,2)</f>
        <v/>
      </c>
      <c r="AR23" s="3">
        <f>ROUND(0.0,2)</f>
        <v/>
      </c>
      <c r="AS23" s="3">
        <f>ROUND(0.0,2)</f>
        <v/>
      </c>
      <c r="AT23" s="3">
        <f>ROUND(0.0,2)</f>
        <v/>
      </c>
      <c r="AU23" s="3">
        <f>ROUND(0.0,2)</f>
        <v/>
      </c>
      <c r="AV23" s="3">
        <f>ROUND(0.0,2)</f>
        <v/>
      </c>
      <c r="AW23" s="4">
        <f>IFERROR((AQ23/AP23),0)</f>
        <v/>
      </c>
      <c r="AX23" s="4">
        <f>IFERROR(((0+AO11+AO12+AO13+AO14+AO15+AO16+AO17+AO19+AO20+AO21+AO22+AO23)/T2),0)</f>
        <v/>
      </c>
      <c r="AY23" s="5">
        <f>IFERROR(ROUND(AO23/AQ23,2),0)</f>
        <v/>
      </c>
      <c r="AZ23" s="5">
        <f>IFERROR(ROUND(AO23/AR23,2),0)</f>
        <v/>
      </c>
      <c r="BA23" s="2" t="inlineStr">
        <is>
          <t>2023-10-01</t>
        </is>
      </c>
      <c r="BB23" s="5">
        <f>ROUND(0.0,2)</f>
        <v/>
      </c>
      <c r="BC23" s="3">
        <f>ROUND(0.0,2)</f>
        <v/>
      </c>
      <c r="BD23" s="3">
        <f>ROUND(0.0,2)</f>
        <v/>
      </c>
      <c r="BE23" s="3">
        <f>ROUND(0.0,2)</f>
        <v/>
      </c>
      <c r="BF23" s="3">
        <f>ROUND(0.0,2)</f>
        <v/>
      </c>
      <c r="BG23" s="3">
        <f>ROUND(0.0,2)</f>
        <v/>
      </c>
      <c r="BH23" s="3">
        <f>ROUND(0.0,2)</f>
        <v/>
      </c>
      <c r="BI23" s="3">
        <f>ROUND(0.0,2)</f>
        <v/>
      </c>
      <c r="BJ23" s="4">
        <f>IFERROR((BD23/BC23),0)</f>
        <v/>
      </c>
      <c r="BK23" s="4">
        <f>IFERROR(((0+BB11+BB12+BB13+BB14+BB15+BB16+BB17+BB19+BB20+BB21+BB22+BB23)/T2),0)</f>
        <v/>
      </c>
      <c r="BL23" s="5">
        <f>IFERROR(ROUND(BB23/BD23,2),0)</f>
        <v/>
      </c>
      <c r="BM23" s="5">
        <f>IFERROR(ROUND(BB23/BE23,2),0)</f>
        <v/>
      </c>
    </row>
    <row r="24">
      <c r="A24" s="2" t="inlineStr">
        <is>
          <t>2023-10-02</t>
        </is>
      </c>
      <c r="B24" s="5">
        <f>ROUND(0.0,2)</f>
        <v/>
      </c>
      <c r="C24" s="3">
        <f>ROUND(0.0,2)</f>
        <v/>
      </c>
      <c r="D24" s="3">
        <f>ROUND(0.0,2)</f>
        <v/>
      </c>
      <c r="E24" s="3">
        <f>ROUND(0.0,2)</f>
        <v/>
      </c>
      <c r="F24" s="3">
        <f>ROUND(0.0,2)</f>
        <v/>
      </c>
      <c r="G24" s="3">
        <f>ROUND(0.0,2)</f>
        <v/>
      </c>
      <c r="H24" s="3">
        <f>ROUND(0.0,2)</f>
        <v/>
      </c>
      <c r="I24" s="3">
        <f>ROUND(0.0,2)</f>
        <v/>
      </c>
      <c r="J24" s="4">
        <f>IFERROR((D24/C24),0)</f>
        <v/>
      </c>
      <c r="K24" s="4">
        <f>IFERROR(((0+B11+B12+B13+B14+B15+B16+B17+B19+B20+B21+B22+B23+B24)/T2),0)</f>
        <v/>
      </c>
      <c r="L24" s="5">
        <f>IFERROR(ROUND(B24/D24,2),0)</f>
        <v/>
      </c>
      <c r="M24" s="5">
        <f>IFERROR(ROUND(B24/E24,2),0)</f>
        <v/>
      </c>
      <c r="N24" s="2" t="inlineStr">
        <is>
          <t>2023-10-02</t>
        </is>
      </c>
      <c r="O24" s="5">
        <f>ROUND(0.0,2)</f>
        <v/>
      </c>
      <c r="P24" s="3">
        <f>ROUND(0.0,2)</f>
        <v/>
      </c>
      <c r="Q24" s="3">
        <f>ROUND(0.0,2)</f>
        <v/>
      </c>
      <c r="R24" s="3">
        <f>ROUND(0.0,2)</f>
        <v/>
      </c>
      <c r="S24" s="3">
        <f>ROUND(0.0,2)</f>
        <v/>
      </c>
      <c r="T24" s="3">
        <f>ROUND(0.0,2)</f>
        <v/>
      </c>
      <c r="U24" s="3">
        <f>ROUND(0.0,2)</f>
        <v/>
      </c>
      <c r="V24" s="3">
        <f>ROUND(0.0,2)</f>
        <v/>
      </c>
      <c r="W24" s="4">
        <f>IFERROR((Q24/P24),0)</f>
        <v/>
      </c>
      <c r="X24" s="4">
        <f>IFERROR(((0+O11+O12+O13+O14+O15+O16+O17+O19+O20+O21+O22+O23+O24)/T2),0)</f>
        <v/>
      </c>
      <c r="Y24" s="5">
        <f>IFERROR(ROUND(O24/Q24,2),0)</f>
        <v/>
      </c>
      <c r="Z24" s="5">
        <f>IFERROR(ROUND(O24/R24,2),0)</f>
        <v/>
      </c>
      <c r="AA24" s="2" t="inlineStr">
        <is>
          <t>2023-10-02</t>
        </is>
      </c>
      <c r="AB24" s="5">
        <f>ROUND(0.0,2)</f>
        <v/>
      </c>
      <c r="AC24" s="3">
        <f>ROUND(0.0,2)</f>
        <v/>
      </c>
      <c r="AD24" s="3">
        <f>ROUND(0.0,2)</f>
        <v/>
      </c>
      <c r="AE24" s="3">
        <f>ROUND(0.0,2)</f>
        <v/>
      </c>
      <c r="AF24" s="3">
        <f>ROUND(0.0,2)</f>
        <v/>
      </c>
      <c r="AG24" s="3">
        <f>ROUND(0.0,2)</f>
        <v/>
      </c>
      <c r="AH24" s="3">
        <f>ROUND(0.0,2)</f>
        <v/>
      </c>
      <c r="AI24" s="3">
        <f>ROUND(0.0,2)</f>
        <v/>
      </c>
      <c r="AJ24" s="4">
        <f>IFERROR((AD24/AC24),0)</f>
        <v/>
      </c>
      <c r="AK24" s="4">
        <f>IFERROR(((0+AB11+AB12+AB13+AB14+AB15+AB16+AB17+AB19+AB20+AB21+AB22+AB23+AB24)/T2),0)</f>
        <v/>
      </c>
      <c r="AL24" s="5">
        <f>IFERROR(ROUND(AB24/AD24,2),0)</f>
        <v/>
      </c>
      <c r="AM24" s="5">
        <f>IFERROR(ROUND(AB24/AE24,2),0)</f>
        <v/>
      </c>
      <c r="AN24" s="2" t="inlineStr">
        <is>
          <t>2023-10-02</t>
        </is>
      </c>
      <c r="AO24" s="5">
        <f>ROUND(0.0,2)</f>
        <v/>
      </c>
      <c r="AP24" s="3">
        <f>ROUND(0.0,2)</f>
        <v/>
      </c>
      <c r="AQ24" s="3">
        <f>ROUND(0.0,2)</f>
        <v/>
      </c>
      <c r="AR24" s="3">
        <f>ROUND(0.0,2)</f>
        <v/>
      </c>
      <c r="AS24" s="3">
        <f>ROUND(0.0,2)</f>
        <v/>
      </c>
      <c r="AT24" s="3">
        <f>ROUND(0.0,2)</f>
        <v/>
      </c>
      <c r="AU24" s="3">
        <f>ROUND(0.0,2)</f>
        <v/>
      </c>
      <c r="AV24" s="3">
        <f>ROUND(0.0,2)</f>
        <v/>
      </c>
      <c r="AW24" s="4">
        <f>IFERROR((AQ24/AP24),0)</f>
        <v/>
      </c>
      <c r="AX24" s="4">
        <f>IFERROR(((0+AO11+AO12+AO13+AO14+AO15+AO16+AO17+AO19+AO20+AO21+AO22+AO23+AO24)/T2),0)</f>
        <v/>
      </c>
      <c r="AY24" s="5">
        <f>IFERROR(ROUND(AO24/AQ24,2),0)</f>
        <v/>
      </c>
      <c r="AZ24" s="5">
        <f>IFERROR(ROUND(AO24/AR24,2),0)</f>
        <v/>
      </c>
      <c r="BA24" s="2" t="inlineStr">
        <is>
          <t>2023-10-02</t>
        </is>
      </c>
      <c r="BB24" s="5">
        <f>ROUND(0.0,2)</f>
        <v/>
      </c>
      <c r="BC24" s="3">
        <f>ROUND(0.0,2)</f>
        <v/>
      </c>
      <c r="BD24" s="3">
        <f>ROUND(0.0,2)</f>
        <v/>
      </c>
      <c r="BE24" s="3">
        <f>ROUND(0.0,2)</f>
        <v/>
      </c>
      <c r="BF24" s="3">
        <f>ROUND(0.0,2)</f>
        <v/>
      </c>
      <c r="BG24" s="3">
        <f>ROUND(0.0,2)</f>
        <v/>
      </c>
      <c r="BH24" s="3">
        <f>ROUND(0.0,2)</f>
        <v/>
      </c>
      <c r="BI24" s="3">
        <f>ROUND(0.0,2)</f>
        <v/>
      </c>
      <c r="BJ24" s="4">
        <f>IFERROR((BD24/BC24),0)</f>
        <v/>
      </c>
      <c r="BK24" s="4">
        <f>IFERROR(((0+BB11+BB12+BB13+BB14+BB15+BB16+BB17+BB19+BB20+BB21+BB22+BB23+BB24)/T2),0)</f>
        <v/>
      </c>
      <c r="BL24" s="5">
        <f>IFERROR(ROUND(BB24/BD24,2),0)</f>
        <v/>
      </c>
      <c r="BM24" s="5">
        <f>IFERROR(ROUND(BB24/BE24,2),0)</f>
        <v/>
      </c>
    </row>
    <row r="25">
      <c r="A25" s="2" t="inlineStr">
        <is>
          <t>2023-10-03</t>
        </is>
      </c>
      <c r="B25" s="5">
        <f>ROUND(0.0,2)</f>
        <v/>
      </c>
      <c r="C25" s="3">
        <f>ROUND(0.0,2)</f>
        <v/>
      </c>
      <c r="D25" s="3">
        <f>ROUND(0.0,2)</f>
        <v/>
      </c>
      <c r="E25" s="3">
        <f>ROUND(0.0,2)</f>
        <v/>
      </c>
      <c r="F25" s="3">
        <f>ROUND(0.0,2)</f>
        <v/>
      </c>
      <c r="G25" s="3">
        <f>ROUND(0.0,2)</f>
        <v/>
      </c>
      <c r="H25" s="3">
        <f>ROUND(0.0,2)</f>
        <v/>
      </c>
      <c r="I25" s="3">
        <f>ROUND(0.0,2)</f>
        <v/>
      </c>
      <c r="J25" s="4">
        <f>IFERROR((D25/C25),0)</f>
        <v/>
      </c>
      <c r="K25" s="4">
        <f>IFERROR(((0+B11+B12+B13+B14+B15+B16+B17+B19+B20+B21+B22+B23+B24+B25)/T2),0)</f>
        <v/>
      </c>
      <c r="L25" s="5">
        <f>IFERROR(ROUND(B25/D25,2),0)</f>
        <v/>
      </c>
      <c r="M25" s="5">
        <f>IFERROR(ROUND(B25/E25,2),0)</f>
        <v/>
      </c>
      <c r="N25" s="2" t="inlineStr">
        <is>
          <t>2023-10-03</t>
        </is>
      </c>
      <c r="O25" s="5">
        <f>ROUND(0.0,2)</f>
        <v/>
      </c>
      <c r="P25" s="3">
        <f>ROUND(0.0,2)</f>
        <v/>
      </c>
      <c r="Q25" s="3">
        <f>ROUND(0.0,2)</f>
        <v/>
      </c>
      <c r="R25" s="3">
        <f>ROUND(0.0,2)</f>
        <v/>
      </c>
      <c r="S25" s="3">
        <f>ROUND(0.0,2)</f>
        <v/>
      </c>
      <c r="T25" s="3">
        <f>ROUND(0.0,2)</f>
        <v/>
      </c>
      <c r="U25" s="3">
        <f>ROUND(0.0,2)</f>
        <v/>
      </c>
      <c r="V25" s="3">
        <f>ROUND(0.0,2)</f>
        <v/>
      </c>
      <c r="W25" s="4">
        <f>IFERROR((Q25/P25),0)</f>
        <v/>
      </c>
      <c r="X25" s="4">
        <f>IFERROR(((0+O11+O12+O13+O14+O15+O16+O17+O19+O20+O21+O22+O23+O24+O25)/T2),0)</f>
        <v/>
      </c>
      <c r="Y25" s="5">
        <f>IFERROR(ROUND(O25/Q25,2),0)</f>
        <v/>
      </c>
      <c r="Z25" s="5">
        <f>IFERROR(ROUND(O25/R25,2),0)</f>
        <v/>
      </c>
      <c r="AA25" s="2" t="inlineStr">
        <is>
          <t>2023-10-03</t>
        </is>
      </c>
      <c r="AB25" s="5">
        <f>ROUND(0.0,2)</f>
        <v/>
      </c>
      <c r="AC25" s="3">
        <f>ROUND(0.0,2)</f>
        <v/>
      </c>
      <c r="AD25" s="3">
        <f>ROUND(0.0,2)</f>
        <v/>
      </c>
      <c r="AE25" s="3">
        <f>ROUND(0.0,2)</f>
        <v/>
      </c>
      <c r="AF25" s="3">
        <f>ROUND(0.0,2)</f>
        <v/>
      </c>
      <c r="AG25" s="3">
        <f>ROUND(0.0,2)</f>
        <v/>
      </c>
      <c r="AH25" s="3">
        <f>ROUND(0.0,2)</f>
        <v/>
      </c>
      <c r="AI25" s="3">
        <f>ROUND(0.0,2)</f>
        <v/>
      </c>
      <c r="AJ25" s="4">
        <f>IFERROR((AD25/AC25),0)</f>
        <v/>
      </c>
      <c r="AK25" s="4">
        <f>IFERROR(((0+AB11+AB12+AB13+AB14+AB15+AB16+AB17+AB19+AB20+AB21+AB22+AB23+AB24+AB25)/T2),0)</f>
        <v/>
      </c>
      <c r="AL25" s="5">
        <f>IFERROR(ROUND(AB25/AD25,2),0)</f>
        <v/>
      </c>
      <c r="AM25" s="5">
        <f>IFERROR(ROUND(AB25/AE25,2),0)</f>
        <v/>
      </c>
      <c r="AN25" s="2" t="inlineStr">
        <is>
          <t>2023-10-03</t>
        </is>
      </c>
      <c r="AO25" s="5">
        <f>ROUND(0.0,2)</f>
        <v/>
      </c>
      <c r="AP25" s="3">
        <f>ROUND(0.0,2)</f>
        <v/>
      </c>
      <c r="AQ25" s="3">
        <f>ROUND(0.0,2)</f>
        <v/>
      </c>
      <c r="AR25" s="3">
        <f>ROUND(0.0,2)</f>
        <v/>
      </c>
      <c r="AS25" s="3">
        <f>ROUND(0.0,2)</f>
        <v/>
      </c>
      <c r="AT25" s="3">
        <f>ROUND(0.0,2)</f>
        <v/>
      </c>
      <c r="AU25" s="3">
        <f>ROUND(0.0,2)</f>
        <v/>
      </c>
      <c r="AV25" s="3">
        <f>ROUND(0.0,2)</f>
        <v/>
      </c>
      <c r="AW25" s="4">
        <f>IFERROR((AQ25/AP25),0)</f>
        <v/>
      </c>
      <c r="AX25" s="4">
        <f>IFERROR(((0+AO11+AO12+AO13+AO14+AO15+AO16+AO17+AO19+AO20+AO21+AO22+AO23+AO24+AO25)/T2),0)</f>
        <v/>
      </c>
      <c r="AY25" s="5">
        <f>IFERROR(ROUND(AO25/AQ25,2),0)</f>
        <v/>
      </c>
      <c r="AZ25" s="5">
        <f>IFERROR(ROUND(AO25/AR25,2),0)</f>
        <v/>
      </c>
      <c r="BA25" s="2" t="inlineStr">
        <is>
          <t>2023-10-03</t>
        </is>
      </c>
      <c r="BB25" s="5">
        <f>ROUND(0.0,2)</f>
        <v/>
      </c>
      <c r="BC25" s="3">
        <f>ROUND(0.0,2)</f>
        <v/>
      </c>
      <c r="BD25" s="3">
        <f>ROUND(0.0,2)</f>
        <v/>
      </c>
      <c r="BE25" s="3">
        <f>ROUND(0.0,2)</f>
        <v/>
      </c>
      <c r="BF25" s="3">
        <f>ROUND(0.0,2)</f>
        <v/>
      </c>
      <c r="BG25" s="3">
        <f>ROUND(0.0,2)</f>
        <v/>
      </c>
      <c r="BH25" s="3">
        <f>ROUND(0.0,2)</f>
        <v/>
      </c>
      <c r="BI25" s="3">
        <f>ROUND(0.0,2)</f>
        <v/>
      </c>
      <c r="BJ25" s="4">
        <f>IFERROR((BD25/BC25),0)</f>
        <v/>
      </c>
      <c r="BK25" s="4">
        <f>IFERROR(((0+BB11+BB12+BB13+BB14+BB15+BB16+BB17+BB19+BB20+BB21+BB22+BB23+BB24+BB25)/T2),0)</f>
        <v/>
      </c>
      <c r="BL25" s="5">
        <f>IFERROR(ROUND(BB25/BD25,2),0)</f>
        <v/>
      </c>
      <c r="BM25" s="5">
        <f>IFERROR(ROUND(BB25/BE25,2),0)</f>
        <v/>
      </c>
    </row>
    <row r="26">
      <c r="A26" s="2" t="inlineStr">
        <is>
          <t>2 Weekly Total</t>
        </is>
      </c>
      <c r="B26" s="5">
        <f>ROUND(0.0,2)</f>
        <v/>
      </c>
      <c r="C26" s="3">
        <f>ROUND(0.0,2)</f>
        <v/>
      </c>
      <c r="D26" s="3">
        <f>ROUND(0.0,2)</f>
        <v/>
      </c>
      <c r="E26" s="3">
        <f>ROUND(0.0,2)</f>
        <v/>
      </c>
      <c r="F26" s="3">
        <f>ROUND(0.0,2)</f>
        <v/>
      </c>
      <c r="G26" s="3">
        <f>ROUND(0.0,2)</f>
        <v/>
      </c>
      <c r="H26" s="3">
        <f>ROUND(0.0,2)</f>
        <v/>
      </c>
      <c r="I26" s="3">
        <f>ROUND(0.0,2)</f>
        <v/>
      </c>
      <c r="J26" s="4">
        <f>IFERROR((D26/C26),0)</f>
        <v/>
      </c>
      <c r="K26" s="4">
        <f>IFERROR(((0+B11+B12+B13+B14+B15+B16+B17+B19+B20+B21+B22+B23+B24+B25)/T2),0)</f>
        <v/>
      </c>
      <c r="L26" s="5">
        <f>IFERROR(ROUND(B26/D26,2),0)</f>
        <v/>
      </c>
      <c r="M26" s="5">
        <f>IFERROR(ROUND(B26/E26,2),0)</f>
        <v/>
      </c>
      <c r="N26" s="2" t="inlineStr">
        <is>
          <t>2 Weekly Total</t>
        </is>
      </c>
      <c r="O26" s="5">
        <f>ROUND(0.0,2)</f>
        <v/>
      </c>
      <c r="P26" s="3">
        <f>ROUND(0.0,2)</f>
        <v/>
      </c>
      <c r="Q26" s="3">
        <f>ROUND(0.0,2)</f>
        <v/>
      </c>
      <c r="R26" s="3">
        <f>ROUND(0.0,2)</f>
        <v/>
      </c>
      <c r="S26" s="3">
        <f>ROUND(0.0,2)</f>
        <v/>
      </c>
      <c r="T26" s="3">
        <f>ROUND(0.0,2)</f>
        <v/>
      </c>
      <c r="U26" s="3">
        <f>ROUND(0.0,2)</f>
        <v/>
      </c>
      <c r="V26" s="3">
        <f>ROUND(0.0,2)</f>
        <v/>
      </c>
      <c r="W26" s="4">
        <f>IFERROR((Q26/P26),0)</f>
        <v/>
      </c>
      <c r="X26" s="4">
        <f>IFERROR(((0+O11+O12+O13+O14+O15+O16+O17+O19+O20+O21+O22+O23+O24+O25)/T2),0)</f>
        <v/>
      </c>
      <c r="Y26" s="5">
        <f>IFERROR(ROUND(O26/Q26,2),0)</f>
        <v/>
      </c>
      <c r="Z26" s="5">
        <f>IFERROR(ROUND(O26/R26,2),0)</f>
        <v/>
      </c>
      <c r="AA26" s="2" t="inlineStr">
        <is>
          <t>2 Weekly Total</t>
        </is>
      </c>
      <c r="AB26" s="5">
        <f>ROUND(0.0,2)</f>
        <v/>
      </c>
      <c r="AC26" s="3">
        <f>ROUND(0.0,2)</f>
        <v/>
      </c>
      <c r="AD26" s="3">
        <f>ROUND(0.0,2)</f>
        <v/>
      </c>
      <c r="AE26" s="3">
        <f>ROUND(0.0,2)</f>
        <v/>
      </c>
      <c r="AF26" s="3">
        <f>ROUND(0.0,2)</f>
        <v/>
      </c>
      <c r="AG26" s="3">
        <f>ROUND(0.0,2)</f>
        <v/>
      </c>
      <c r="AH26" s="3">
        <f>ROUND(0.0,2)</f>
        <v/>
      </c>
      <c r="AI26" s="3">
        <f>ROUND(0.0,2)</f>
        <v/>
      </c>
      <c r="AJ26" s="4">
        <f>IFERROR((AD26/AC26),0)</f>
        <v/>
      </c>
      <c r="AK26" s="4">
        <f>IFERROR(((0+AB11+AB12+AB13+AB14+AB15+AB16+AB17+AB19+AB20+AB21+AB22+AB23+AB24+AB25)/T2),0)</f>
        <v/>
      </c>
      <c r="AL26" s="5">
        <f>IFERROR(ROUND(AB26/AD26,2),0)</f>
        <v/>
      </c>
      <c r="AM26" s="5">
        <f>IFERROR(ROUND(AB26/AE26,2),0)</f>
        <v/>
      </c>
      <c r="AN26" s="2" t="inlineStr">
        <is>
          <t>2 Weekly Total</t>
        </is>
      </c>
      <c r="AO26" s="5">
        <f>ROUND(0.0,2)</f>
        <v/>
      </c>
      <c r="AP26" s="3">
        <f>ROUND(0.0,2)</f>
        <v/>
      </c>
      <c r="AQ26" s="3">
        <f>ROUND(0.0,2)</f>
        <v/>
      </c>
      <c r="AR26" s="3">
        <f>ROUND(0.0,2)</f>
        <v/>
      </c>
      <c r="AS26" s="3">
        <f>ROUND(0.0,2)</f>
        <v/>
      </c>
      <c r="AT26" s="3">
        <f>ROUND(0.0,2)</f>
        <v/>
      </c>
      <c r="AU26" s="3">
        <f>ROUND(0.0,2)</f>
        <v/>
      </c>
      <c r="AV26" s="3">
        <f>ROUND(0.0,2)</f>
        <v/>
      </c>
      <c r="AW26" s="4">
        <f>IFERROR((AQ26/AP26),0)</f>
        <v/>
      </c>
      <c r="AX26" s="4">
        <f>IFERROR(((0+AO11+AO12+AO13+AO14+AO15+AO16+AO17+AO19+AO20+AO21+AO22+AO23+AO24+AO25)/T2),0)</f>
        <v/>
      </c>
      <c r="AY26" s="5">
        <f>IFERROR(ROUND(AO26/AQ26,2),0)</f>
        <v/>
      </c>
      <c r="AZ26" s="5">
        <f>IFERROR(ROUND(AO26/AR26,2),0)</f>
        <v/>
      </c>
      <c r="BA26" s="2" t="inlineStr">
        <is>
          <t>2 Weekly Total</t>
        </is>
      </c>
      <c r="BB26" s="5">
        <f>ROUND(0.0,2)</f>
        <v/>
      </c>
      <c r="BC26" s="3">
        <f>ROUND(0.0,2)</f>
        <v/>
      </c>
      <c r="BD26" s="3">
        <f>ROUND(0.0,2)</f>
        <v/>
      </c>
      <c r="BE26" s="3">
        <f>ROUND(0.0,2)</f>
        <v/>
      </c>
      <c r="BF26" s="3">
        <f>ROUND(0.0,2)</f>
        <v/>
      </c>
      <c r="BG26" s="3">
        <f>ROUND(0.0,2)</f>
        <v/>
      </c>
      <c r="BH26" s="3">
        <f>ROUND(0.0,2)</f>
        <v/>
      </c>
      <c r="BI26" s="3">
        <f>ROUND(0.0,2)</f>
        <v/>
      </c>
      <c r="BJ26" s="4">
        <f>IFERROR((BD26/BC26),0)</f>
        <v/>
      </c>
      <c r="BK26" s="4">
        <f>IFERROR(((0+BB11+BB12+BB13+BB14+BB15+BB16+BB17+BB19+BB20+BB21+BB22+BB23+BB24+BB25)/T2),0)</f>
        <v/>
      </c>
      <c r="BL26" s="5">
        <f>IFERROR(ROUND(BB26/BD26,2),0)</f>
        <v/>
      </c>
      <c r="BM26" s="5">
        <f>IFERROR(ROUND(BB26/BE26,2),0)</f>
        <v/>
      </c>
    </row>
    <row r="27">
      <c r="A27" s="2" t="inlineStr">
        <is>
          <t>2023-10-04</t>
        </is>
      </c>
      <c r="B27" s="5">
        <f>ROUND(0.0,2)</f>
        <v/>
      </c>
      <c r="C27" s="3">
        <f>ROUND(0.0,2)</f>
        <v/>
      </c>
      <c r="D27" s="3">
        <f>ROUND(0.0,2)</f>
        <v/>
      </c>
      <c r="E27" s="3">
        <f>ROUND(0.0,2)</f>
        <v/>
      </c>
      <c r="F27" s="3">
        <f>ROUND(0.0,2)</f>
        <v/>
      </c>
      <c r="G27" s="3">
        <f>ROUND(0.0,2)</f>
        <v/>
      </c>
      <c r="H27" s="3">
        <f>ROUND(0.0,2)</f>
        <v/>
      </c>
      <c r="I27" s="3">
        <f>ROUND(0.0,2)</f>
        <v/>
      </c>
      <c r="J27" s="4">
        <f>IFERROR((D27/C27),0)</f>
        <v/>
      </c>
      <c r="K27" s="4">
        <f>IFERROR(((0+B11+B12+B13+B14+B15+B16+B17+B19+B20+B21+B22+B23+B24+B25+B27)/T2),0)</f>
        <v/>
      </c>
      <c r="L27" s="5">
        <f>IFERROR(ROUND(B27/D27,2),0)</f>
        <v/>
      </c>
      <c r="M27" s="5">
        <f>IFERROR(ROUND(B27/E27,2),0)</f>
        <v/>
      </c>
      <c r="N27" s="2" t="inlineStr">
        <is>
          <t>2023-10-04</t>
        </is>
      </c>
      <c r="O27" s="5">
        <f>ROUND(0.0,2)</f>
        <v/>
      </c>
      <c r="P27" s="3">
        <f>ROUND(0.0,2)</f>
        <v/>
      </c>
      <c r="Q27" s="3">
        <f>ROUND(0.0,2)</f>
        <v/>
      </c>
      <c r="R27" s="3">
        <f>ROUND(0.0,2)</f>
        <v/>
      </c>
      <c r="S27" s="3">
        <f>ROUND(0.0,2)</f>
        <v/>
      </c>
      <c r="T27" s="3">
        <f>ROUND(0.0,2)</f>
        <v/>
      </c>
      <c r="U27" s="3">
        <f>ROUND(0.0,2)</f>
        <v/>
      </c>
      <c r="V27" s="3">
        <f>ROUND(0.0,2)</f>
        <v/>
      </c>
      <c r="W27" s="4">
        <f>IFERROR((Q27/P27),0)</f>
        <v/>
      </c>
      <c r="X27" s="4">
        <f>IFERROR(((0+O11+O12+O13+O14+O15+O16+O17+O19+O20+O21+O22+O23+O24+O25+O27)/T2),0)</f>
        <v/>
      </c>
      <c r="Y27" s="5">
        <f>IFERROR(ROUND(O27/Q27,2),0)</f>
        <v/>
      </c>
      <c r="Z27" s="5">
        <f>IFERROR(ROUND(O27/R27,2),0)</f>
        <v/>
      </c>
      <c r="AA27" s="2" t="inlineStr">
        <is>
          <t>2023-10-04</t>
        </is>
      </c>
      <c r="AB27" s="5">
        <f>ROUND(0.0,2)</f>
        <v/>
      </c>
      <c r="AC27" s="3">
        <f>ROUND(0.0,2)</f>
        <v/>
      </c>
      <c r="AD27" s="3">
        <f>ROUND(0.0,2)</f>
        <v/>
      </c>
      <c r="AE27" s="3">
        <f>ROUND(0.0,2)</f>
        <v/>
      </c>
      <c r="AF27" s="3">
        <f>ROUND(0.0,2)</f>
        <v/>
      </c>
      <c r="AG27" s="3">
        <f>ROUND(0.0,2)</f>
        <v/>
      </c>
      <c r="AH27" s="3">
        <f>ROUND(0.0,2)</f>
        <v/>
      </c>
      <c r="AI27" s="3">
        <f>ROUND(0.0,2)</f>
        <v/>
      </c>
      <c r="AJ27" s="4">
        <f>IFERROR((AD27/AC27),0)</f>
        <v/>
      </c>
      <c r="AK27" s="4">
        <f>IFERROR(((0+AB11+AB12+AB13+AB14+AB15+AB16+AB17+AB19+AB20+AB21+AB22+AB23+AB24+AB25+AB27)/T2),0)</f>
        <v/>
      </c>
      <c r="AL27" s="5">
        <f>IFERROR(ROUND(AB27/AD27,2),0)</f>
        <v/>
      </c>
      <c r="AM27" s="5">
        <f>IFERROR(ROUND(AB27/AE27,2),0)</f>
        <v/>
      </c>
      <c r="AN27" s="2" t="inlineStr">
        <is>
          <t>2023-10-04</t>
        </is>
      </c>
      <c r="AO27" s="5">
        <f>ROUND(0.0,2)</f>
        <v/>
      </c>
      <c r="AP27" s="3">
        <f>ROUND(0.0,2)</f>
        <v/>
      </c>
      <c r="AQ27" s="3">
        <f>ROUND(0.0,2)</f>
        <v/>
      </c>
      <c r="AR27" s="3">
        <f>ROUND(0.0,2)</f>
        <v/>
      </c>
      <c r="AS27" s="3">
        <f>ROUND(0.0,2)</f>
        <v/>
      </c>
      <c r="AT27" s="3">
        <f>ROUND(0.0,2)</f>
        <v/>
      </c>
      <c r="AU27" s="3">
        <f>ROUND(0.0,2)</f>
        <v/>
      </c>
      <c r="AV27" s="3">
        <f>ROUND(0.0,2)</f>
        <v/>
      </c>
      <c r="AW27" s="4">
        <f>IFERROR((AQ27/AP27),0)</f>
        <v/>
      </c>
      <c r="AX27" s="4">
        <f>IFERROR(((0+AO11+AO12+AO13+AO14+AO15+AO16+AO17+AO19+AO20+AO21+AO22+AO23+AO24+AO25+AO27)/T2),0)</f>
        <v/>
      </c>
      <c r="AY27" s="5">
        <f>IFERROR(ROUND(AO27/AQ27,2),0)</f>
        <v/>
      </c>
      <c r="AZ27" s="5">
        <f>IFERROR(ROUND(AO27/AR27,2),0)</f>
        <v/>
      </c>
      <c r="BA27" s="2" t="inlineStr">
        <is>
          <t>2023-10-04</t>
        </is>
      </c>
      <c r="BB27" s="5">
        <f>ROUND(0.0,2)</f>
        <v/>
      </c>
      <c r="BC27" s="3">
        <f>ROUND(0.0,2)</f>
        <v/>
      </c>
      <c r="BD27" s="3">
        <f>ROUND(0.0,2)</f>
        <v/>
      </c>
      <c r="BE27" s="3">
        <f>ROUND(0.0,2)</f>
        <v/>
      </c>
      <c r="BF27" s="3">
        <f>ROUND(0.0,2)</f>
        <v/>
      </c>
      <c r="BG27" s="3">
        <f>ROUND(0.0,2)</f>
        <v/>
      </c>
      <c r="BH27" s="3">
        <f>ROUND(0.0,2)</f>
        <v/>
      </c>
      <c r="BI27" s="3">
        <f>ROUND(0.0,2)</f>
        <v/>
      </c>
      <c r="BJ27" s="4">
        <f>IFERROR((BD27/BC27),0)</f>
        <v/>
      </c>
      <c r="BK27" s="4">
        <f>IFERROR(((0+BB11+BB12+BB13+BB14+BB15+BB16+BB17+BB19+BB20+BB21+BB22+BB23+BB24+BB25+BB27)/T2),0)</f>
        <v/>
      </c>
      <c r="BL27" s="5">
        <f>IFERROR(ROUND(BB27/BD27,2),0)</f>
        <v/>
      </c>
      <c r="BM27" s="5">
        <f>IFERROR(ROUND(BB27/BE27,2),0)</f>
        <v/>
      </c>
    </row>
    <row r="28">
      <c r="A28" s="2" t="inlineStr">
        <is>
          <t>2023-10-05</t>
        </is>
      </c>
      <c r="B28" s="5">
        <f>ROUND(0.0,2)</f>
        <v/>
      </c>
      <c r="C28" s="3">
        <f>ROUND(0.0,2)</f>
        <v/>
      </c>
      <c r="D28" s="3">
        <f>ROUND(0.0,2)</f>
        <v/>
      </c>
      <c r="E28" s="3">
        <f>ROUND(0.0,2)</f>
        <v/>
      </c>
      <c r="F28" s="3">
        <f>ROUND(0.0,2)</f>
        <v/>
      </c>
      <c r="G28" s="3">
        <f>ROUND(0.0,2)</f>
        <v/>
      </c>
      <c r="H28" s="3">
        <f>ROUND(0.0,2)</f>
        <v/>
      </c>
      <c r="I28" s="3">
        <f>ROUND(0.0,2)</f>
        <v/>
      </c>
      <c r="J28" s="4">
        <f>IFERROR((D28/C28),0)</f>
        <v/>
      </c>
      <c r="K28" s="4">
        <f>IFERROR(((0+B11+B12+B13+B14+B15+B16+B17+B19+B20+B21+B22+B23+B24+B25+B27+B28)/T2),0)</f>
        <v/>
      </c>
      <c r="L28" s="5">
        <f>IFERROR(ROUND(B28/D28,2),0)</f>
        <v/>
      </c>
      <c r="M28" s="5">
        <f>IFERROR(ROUND(B28/E28,2),0)</f>
        <v/>
      </c>
      <c r="N28" s="2" t="inlineStr">
        <is>
          <t>2023-10-05</t>
        </is>
      </c>
      <c r="O28" s="5">
        <f>ROUND(0.0,2)</f>
        <v/>
      </c>
      <c r="P28" s="3">
        <f>ROUND(0.0,2)</f>
        <v/>
      </c>
      <c r="Q28" s="3">
        <f>ROUND(0.0,2)</f>
        <v/>
      </c>
      <c r="R28" s="3">
        <f>ROUND(0.0,2)</f>
        <v/>
      </c>
      <c r="S28" s="3">
        <f>ROUND(0.0,2)</f>
        <v/>
      </c>
      <c r="T28" s="3">
        <f>ROUND(0.0,2)</f>
        <v/>
      </c>
      <c r="U28" s="3">
        <f>ROUND(0.0,2)</f>
        <v/>
      </c>
      <c r="V28" s="3">
        <f>ROUND(0.0,2)</f>
        <v/>
      </c>
      <c r="W28" s="4">
        <f>IFERROR((Q28/P28),0)</f>
        <v/>
      </c>
      <c r="X28" s="4">
        <f>IFERROR(((0+O11+O12+O13+O14+O15+O16+O17+O19+O20+O21+O22+O23+O24+O25+O27+O28)/T2),0)</f>
        <v/>
      </c>
      <c r="Y28" s="5">
        <f>IFERROR(ROUND(O28/Q28,2),0)</f>
        <v/>
      </c>
      <c r="Z28" s="5">
        <f>IFERROR(ROUND(O28/R28,2),0)</f>
        <v/>
      </c>
      <c r="AA28" s="2" t="inlineStr">
        <is>
          <t>2023-10-05</t>
        </is>
      </c>
      <c r="AB28" s="5">
        <f>ROUND(0.0,2)</f>
        <v/>
      </c>
      <c r="AC28" s="3">
        <f>ROUND(0.0,2)</f>
        <v/>
      </c>
      <c r="AD28" s="3">
        <f>ROUND(0.0,2)</f>
        <v/>
      </c>
      <c r="AE28" s="3">
        <f>ROUND(0.0,2)</f>
        <v/>
      </c>
      <c r="AF28" s="3">
        <f>ROUND(0.0,2)</f>
        <v/>
      </c>
      <c r="AG28" s="3">
        <f>ROUND(0.0,2)</f>
        <v/>
      </c>
      <c r="AH28" s="3">
        <f>ROUND(0.0,2)</f>
        <v/>
      </c>
      <c r="AI28" s="3">
        <f>ROUND(0.0,2)</f>
        <v/>
      </c>
      <c r="AJ28" s="4">
        <f>IFERROR((AD28/AC28),0)</f>
        <v/>
      </c>
      <c r="AK28" s="4">
        <f>IFERROR(((0+AB11+AB12+AB13+AB14+AB15+AB16+AB17+AB19+AB20+AB21+AB22+AB23+AB24+AB25+AB27+AB28)/T2),0)</f>
        <v/>
      </c>
      <c r="AL28" s="5">
        <f>IFERROR(ROUND(AB28/AD28,2),0)</f>
        <v/>
      </c>
      <c r="AM28" s="5">
        <f>IFERROR(ROUND(AB28/AE28,2),0)</f>
        <v/>
      </c>
      <c r="AN28" s="2" t="inlineStr">
        <is>
          <t>2023-10-05</t>
        </is>
      </c>
      <c r="AO28" s="5">
        <f>ROUND(0.0,2)</f>
        <v/>
      </c>
      <c r="AP28" s="3">
        <f>ROUND(0.0,2)</f>
        <v/>
      </c>
      <c r="AQ28" s="3">
        <f>ROUND(0.0,2)</f>
        <v/>
      </c>
      <c r="AR28" s="3">
        <f>ROUND(0.0,2)</f>
        <v/>
      </c>
      <c r="AS28" s="3">
        <f>ROUND(0.0,2)</f>
        <v/>
      </c>
      <c r="AT28" s="3">
        <f>ROUND(0.0,2)</f>
        <v/>
      </c>
      <c r="AU28" s="3">
        <f>ROUND(0.0,2)</f>
        <v/>
      </c>
      <c r="AV28" s="3">
        <f>ROUND(0.0,2)</f>
        <v/>
      </c>
      <c r="AW28" s="4">
        <f>IFERROR((AQ28/AP28),0)</f>
        <v/>
      </c>
      <c r="AX28" s="4">
        <f>IFERROR(((0+AO11+AO12+AO13+AO14+AO15+AO16+AO17+AO19+AO20+AO21+AO22+AO23+AO24+AO25+AO27+AO28)/T2),0)</f>
        <v/>
      </c>
      <c r="AY28" s="5">
        <f>IFERROR(ROUND(AO28/AQ28,2),0)</f>
        <v/>
      </c>
      <c r="AZ28" s="5">
        <f>IFERROR(ROUND(AO28/AR28,2),0)</f>
        <v/>
      </c>
      <c r="BA28" s="2" t="inlineStr">
        <is>
          <t>2023-10-05</t>
        </is>
      </c>
      <c r="BB28" s="5">
        <f>ROUND(0.0,2)</f>
        <v/>
      </c>
      <c r="BC28" s="3">
        <f>ROUND(0.0,2)</f>
        <v/>
      </c>
      <c r="BD28" s="3">
        <f>ROUND(0.0,2)</f>
        <v/>
      </c>
      <c r="BE28" s="3">
        <f>ROUND(0.0,2)</f>
        <v/>
      </c>
      <c r="BF28" s="3">
        <f>ROUND(0.0,2)</f>
        <v/>
      </c>
      <c r="BG28" s="3">
        <f>ROUND(0.0,2)</f>
        <v/>
      </c>
      <c r="BH28" s="3">
        <f>ROUND(0.0,2)</f>
        <v/>
      </c>
      <c r="BI28" s="3">
        <f>ROUND(0.0,2)</f>
        <v/>
      </c>
      <c r="BJ28" s="4">
        <f>IFERROR((BD28/BC28),0)</f>
        <v/>
      </c>
      <c r="BK28" s="4">
        <f>IFERROR(((0+BB11+BB12+BB13+BB14+BB15+BB16+BB17+BB19+BB20+BB21+BB22+BB23+BB24+BB25+BB27+BB28)/T2),0)</f>
        <v/>
      </c>
      <c r="BL28" s="5">
        <f>IFERROR(ROUND(BB28/BD28,2),0)</f>
        <v/>
      </c>
      <c r="BM28" s="5">
        <f>IFERROR(ROUND(BB28/BE28,2),0)</f>
        <v/>
      </c>
    </row>
    <row r="29">
      <c r="A29" s="2" t="inlineStr">
        <is>
          <t>2023-10-06</t>
        </is>
      </c>
      <c r="B29" s="5">
        <f>ROUND(0.0,2)</f>
        <v/>
      </c>
      <c r="C29" s="3">
        <f>ROUND(0.0,2)</f>
        <v/>
      </c>
      <c r="D29" s="3">
        <f>ROUND(0.0,2)</f>
        <v/>
      </c>
      <c r="E29" s="3">
        <f>ROUND(0.0,2)</f>
        <v/>
      </c>
      <c r="F29" s="3">
        <f>ROUND(0.0,2)</f>
        <v/>
      </c>
      <c r="G29" s="3">
        <f>ROUND(0.0,2)</f>
        <v/>
      </c>
      <c r="H29" s="3">
        <f>ROUND(0.0,2)</f>
        <v/>
      </c>
      <c r="I29" s="3">
        <f>ROUND(0.0,2)</f>
        <v/>
      </c>
      <c r="J29" s="4">
        <f>IFERROR((D29/C29),0)</f>
        <v/>
      </c>
      <c r="K29" s="4">
        <f>IFERROR(((0+B11+B12+B13+B14+B15+B16+B17+B19+B20+B21+B22+B23+B24+B25+B27+B28+B29)/T2),0)</f>
        <v/>
      </c>
      <c r="L29" s="5">
        <f>IFERROR(ROUND(B29/D29,2),0)</f>
        <v/>
      </c>
      <c r="M29" s="5">
        <f>IFERROR(ROUND(B29/E29,2),0)</f>
        <v/>
      </c>
      <c r="N29" s="2" t="inlineStr">
        <is>
          <t>2023-10-06</t>
        </is>
      </c>
      <c r="O29" s="5">
        <f>ROUND(0.0,2)</f>
        <v/>
      </c>
      <c r="P29" s="3">
        <f>ROUND(0.0,2)</f>
        <v/>
      </c>
      <c r="Q29" s="3">
        <f>ROUND(0.0,2)</f>
        <v/>
      </c>
      <c r="R29" s="3">
        <f>ROUND(0.0,2)</f>
        <v/>
      </c>
      <c r="S29" s="3">
        <f>ROUND(0.0,2)</f>
        <v/>
      </c>
      <c r="T29" s="3">
        <f>ROUND(0.0,2)</f>
        <v/>
      </c>
      <c r="U29" s="3">
        <f>ROUND(0.0,2)</f>
        <v/>
      </c>
      <c r="V29" s="3">
        <f>ROUND(0.0,2)</f>
        <v/>
      </c>
      <c r="W29" s="4">
        <f>IFERROR((Q29/P29),0)</f>
        <v/>
      </c>
      <c r="X29" s="4">
        <f>IFERROR(((0+O11+O12+O13+O14+O15+O16+O17+O19+O20+O21+O22+O23+O24+O25+O27+O28+O29)/T2),0)</f>
        <v/>
      </c>
      <c r="Y29" s="5">
        <f>IFERROR(ROUND(O29/Q29,2),0)</f>
        <v/>
      </c>
      <c r="Z29" s="5">
        <f>IFERROR(ROUND(O29/R29,2),0)</f>
        <v/>
      </c>
      <c r="AA29" s="2" t="inlineStr">
        <is>
          <t>2023-10-06</t>
        </is>
      </c>
      <c r="AB29" s="5">
        <f>ROUND(0.0,2)</f>
        <v/>
      </c>
      <c r="AC29" s="3">
        <f>ROUND(0.0,2)</f>
        <v/>
      </c>
      <c r="AD29" s="3">
        <f>ROUND(0.0,2)</f>
        <v/>
      </c>
      <c r="AE29" s="3">
        <f>ROUND(0.0,2)</f>
        <v/>
      </c>
      <c r="AF29" s="3">
        <f>ROUND(0.0,2)</f>
        <v/>
      </c>
      <c r="AG29" s="3">
        <f>ROUND(0.0,2)</f>
        <v/>
      </c>
      <c r="AH29" s="3">
        <f>ROUND(0.0,2)</f>
        <v/>
      </c>
      <c r="AI29" s="3">
        <f>ROUND(0.0,2)</f>
        <v/>
      </c>
      <c r="AJ29" s="4">
        <f>IFERROR((AD29/AC29),0)</f>
        <v/>
      </c>
      <c r="AK29" s="4">
        <f>IFERROR(((0+AB11+AB12+AB13+AB14+AB15+AB16+AB17+AB19+AB20+AB21+AB22+AB23+AB24+AB25+AB27+AB28+AB29)/T2),0)</f>
        <v/>
      </c>
      <c r="AL29" s="5">
        <f>IFERROR(ROUND(AB29/AD29,2),0)</f>
        <v/>
      </c>
      <c r="AM29" s="5">
        <f>IFERROR(ROUND(AB29/AE29,2),0)</f>
        <v/>
      </c>
      <c r="AN29" s="2" t="inlineStr">
        <is>
          <t>2023-10-06</t>
        </is>
      </c>
      <c r="AO29" s="5">
        <f>ROUND(0.0,2)</f>
        <v/>
      </c>
      <c r="AP29" s="3">
        <f>ROUND(0.0,2)</f>
        <v/>
      </c>
      <c r="AQ29" s="3">
        <f>ROUND(0.0,2)</f>
        <v/>
      </c>
      <c r="AR29" s="3">
        <f>ROUND(0.0,2)</f>
        <v/>
      </c>
      <c r="AS29" s="3">
        <f>ROUND(0.0,2)</f>
        <v/>
      </c>
      <c r="AT29" s="3">
        <f>ROUND(0.0,2)</f>
        <v/>
      </c>
      <c r="AU29" s="3">
        <f>ROUND(0.0,2)</f>
        <v/>
      </c>
      <c r="AV29" s="3">
        <f>ROUND(0.0,2)</f>
        <v/>
      </c>
      <c r="AW29" s="4">
        <f>IFERROR((AQ29/AP29),0)</f>
        <v/>
      </c>
      <c r="AX29" s="4">
        <f>IFERROR(((0+AO11+AO12+AO13+AO14+AO15+AO16+AO17+AO19+AO20+AO21+AO22+AO23+AO24+AO25+AO27+AO28+AO29)/T2),0)</f>
        <v/>
      </c>
      <c r="AY29" s="5">
        <f>IFERROR(ROUND(AO29/AQ29,2),0)</f>
        <v/>
      </c>
      <c r="AZ29" s="5">
        <f>IFERROR(ROUND(AO29/AR29,2),0)</f>
        <v/>
      </c>
      <c r="BA29" s="2" t="inlineStr">
        <is>
          <t>2023-10-06</t>
        </is>
      </c>
      <c r="BB29" s="5">
        <f>ROUND(0.0,2)</f>
        <v/>
      </c>
      <c r="BC29" s="3">
        <f>ROUND(0.0,2)</f>
        <v/>
      </c>
      <c r="BD29" s="3">
        <f>ROUND(0.0,2)</f>
        <v/>
      </c>
      <c r="BE29" s="3">
        <f>ROUND(0.0,2)</f>
        <v/>
      </c>
      <c r="BF29" s="3">
        <f>ROUND(0.0,2)</f>
        <v/>
      </c>
      <c r="BG29" s="3">
        <f>ROUND(0.0,2)</f>
        <v/>
      </c>
      <c r="BH29" s="3">
        <f>ROUND(0.0,2)</f>
        <v/>
      </c>
      <c r="BI29" s="3">
        <f>ROUND(0.0,2)</f>
        <v/>
      </c>
      <c r="BJ29" s="4">
        <f>IFERROR((BD29/BC29),0)</f>
        <v/>
      </c>
      <c r="BK29" s="4">
        <f>IFERROR(((0+BB11+BB12+BB13+BB14+BB15+BB16+BB17+BB19+BB20+BB21+BB22+BB23+BB24+BB25+BB27+BB28+BB29)/T2),0)</f>
        <v/>
      </c>
      <c r="BL29" s="5">
        <f>IFERROR(ROUND(BB29/BD29,2),0)</f>
        <v/>
      </c>
      <c r="BM29" s="5">
        <f>IFERROR(ROUND(BB29/BE29,2),0)</f>
        <v/>
      </c>
    </row>
    <row r="30">
      <c r="A30" s="2" t="inlineStr">
        <is>
          <t>2023-10-07</t>
        </is>
      </c>
      <c r="B30" s="5">
        <f>ROUND(0.0,2)</f>
        <v/>
      </c>
      <c r="C30" s="3">
        <f>ROUND(0.0,2)</f>
        <v/>
      </c>
      <c r="D30" s="3">
        <f>ROUND(0.0,2)</f>
        <v/>
      </c>
      <c r="E30" s="3">
        <f>ROUND(0.0,2)</f>
        <v/>
      </c>
      <c r="F30" s="3">
        <f>ROUND(0.0,2)</f>
        <v/>
      </c>
      <c r="G30" s="3">
        <f>ROUND(0.0,2)</f>
        <v/>
      </c>
      <c r="H30" s="3">
        <f>ROUND(0.0,2)</f>
        <v/>
      </c>
      <c r="I30" s="3">
        <f>ROUND(0.0,2)</f>
        <v/>
      </c>
      <c r="J30" s="4">
        <f>IFERROR((D30/C30),0)</f>
        <v/>
      </c>
      <c r="K30" s="4">
        <f>IFERROR(((0+B11+B12+B13+B14+B15+B16+B17+B19+B20+B21+B22+B23+B24+B25+B27+B28+B29+B30)/T2),0)</f>
        <v/>
      </c>
      <c r="L30" s="5">
        <f>IFERROR(ROUND(B30/D30,2),0)</f>
        <v/>
      </c>
      <c r="M30" s="5">
        <f>IFERROR(ROUND(B30/E30,2),0)</f>
        <v/>
      </c>
      <c r="N30" s="2" t="inlineStr">
        <is>
          <t>2023-10-07</t>
        </is>
      </c>
      <c r="O30" s="5">
        <f>ROUND(0.0,2)</f>
        <v/>
      </c>
      <c r="P30" s="3">
        <f>ROUND(0.0,2)</f>
        <v/>
      </c>
      <c r="Q30" s="3">
        <f>ROUND(0.0,2)</f>
        <v/>
      </c>
      <c r="R30" s="3">
        <f>ROUND(0.0,2)</f>
        <v/>
      </c>
      <c r="S30" s="3">
        <f>ROUND(0.0,2)</f>
        <v/>
      </c>
      <c r="T30" s="3">
        <f>ROUND(0.0,2)</f>
        <v/>
      </c>
      <c r="U30" s="3">
        <f>ROUND(0.0,2)</f>
        <v/>
      </c>
      <c r="V30" s="3">
        <f>ROUND(0.0,2)</f>
        <v/>
      </c>
      <c r="W30" s="4">
        <f>IFERROR((Q30/P30),0)</f>
        <v/>
      </c>
      <c r="X30" s="4">
        <f>IFERROR(((0+O11+O12+O13+O14+O15+O16+O17+O19+O20+O21+O22+O23+O24+O25+O27+O28+O29+O30)/T2),0)</f>
        <v/>
      </c>
      <c r="Y30" s="5">
        <f>IFERROR(ROUND(O30/Q30,2),0)</f>
        <v/>
      </c>
      <c r="Z30" s="5">
        <f>IFERROR(ROUND(O30/R30,2),0)</f>
        <v/>
      </c>
      <c r="AA30" s="2" t="inlineStr">
        <is>
          <t>2023-10-07</t>
        </is>
      </c>
      <c r="AB30" s="5">
        <f>ROUND(0.0,2)</f>
        <v/>
      </c>
      <c r="AC30" s="3">
        <f>ROUND(0.0,2)</f>
        <v/>
      </c>
      <c r="AD30" s="3">
        <f>ROUND(0.0,2)</f>
        <v/>
      </c>
      <c r="AE30" s="3">
        <f>ROUND(0.0,2)</f>
        <v/>
      </c>
      <c r="AF30" s="3">
        <f>ROUND(0.0,2)</f>
        <v/>
      </c>
      <c r="AG30" s="3">
        <f>ROUND(0.0,2)</f>
        <v/>
      </c>
      <c r="AH30" s="3">
        <f>ROUND(0.0,2)</f>
        <v/>
      </c>
      <c r="AI30" s="3">
        <f>ROUND(0.0,2)</f>
        <v/>
      </c>
      <c r="AJ30" s="4">
        <f>IFERROR((AD30/AC30),0)</f>
        <v/>
      </c>
      <c r="AK30" s="4">
        <f>IFERROR(((0+AB11+AB12+AB13+AB14+AB15+AB16+AB17+AB19+AB20+AB21+AB22+AB23+AB24+AB25+AB27+AB28+AB29+AB30)/T2),0)</f>
        <v/>
      </c>
      <c r="AL30" s="5">
        <f>IFERROR(ROUND(AB30/AD30,2),0)</f>
        <v/>
      </c>
      <c r="AM30" s="5">
        <f>IFERROR(ROUND(AB30/AE30,2),0)</f>
        <v/>
      </c>
      <c r="AN30" s="2" t="inlineStr">
        <is>
          <t>2023-10-07</t>
        </is>
      </c>
      <c r="AO30" s="5">
        <f>ROUND(0.0,2)</f>
        <v/>
      </c>
      <c r="AP30" s="3">
        <f>ROUND(0.0,2)</f>
        <v/>
      </c>
      <c r="AQ30" s="3">
        <f>ROUND(0.0,2)</f>
        <v/>
      </c>
      <c r="AR30" s="3">
        <f>ROUND(0.0,2)</f>
        <v/>
      </c>
      <c r="AS30" s="3">
        <f>ROUND(0.0,2)</f>
        <v/>
      </c>
      <c r="AT30" s="3">
        <f>ROUND(0.0,2)</f>
        <v/>
      </c>
      <c r="AU30" s="3">
        <f>ROUND(0.0,2)</f>
        <v/>
      </c>
      <c r="AV30" s="3">
        <f>ROUND(0.0,2)</f>
        <v/>
      </c>
      <c r="AW30" s="4">
        <f>IFERROR((AQ30/AP30),0)</f>
        <v/>
      </c>
      <c r="AX30" s="4">
        <f>IFERROR(((0+AO11+AO12+AO13+AO14+AO15+AO16+AO17+AO19+AO20+AO21+AO22+AO23+AO24+AO25+AO27+AO28+AO29+AO30)/T2),0)</f>
        <v/>
      </c>
      <c r="AY30" s="5">
        <f>IFERROR(ROUND(AO30/AQ30,2),0)</f>
        <v/>
      </c>
      <c r="AZ30" s="5">
        <f>IFERROR(ROUND(AO30/AR30,2),0)</f>
        <v/>
      </c>
      <c r="BA30" s="2" t="inlineStr">
        <is>
          <t>2023-10-07</t>
        </is>
      </c>
      <c r="BB30" s="5">
        <f>ROUND(0.0,2)</f>
        <v/>
      </c>
      <c r="BC30" s="3">
        <f>ROUND(0.0,2)</f>
        <v/>
      </c>
      <c r="BD30" s="3">
        <f>ROUND(0.0,2)</f>
        <v/>
      </c>
      <c r="BE30" s="3">
        <f>ROUND(0.0,2)</f>
        <v/>
      </c>
      <c r="BF30" s="3">
        <f>ROUND(0.0,2)</f>
        <v/>
      </c>
      <c r="BG30" s="3">
        <f>ROUND(0.0,2)</f>
        <v/>
      </c>
      <c r="BH30" s="3">
        <f>ROUND(0.0,2)</f>
        <v/>
      </c>
      <c r="BI30" s="3">
        <f>ROUND(0.0,2)</f>
        <v/>
      </c>
      <c r="BJ30" s="4">
        <f>IFERROR((BD30/BC30),0)</f>
        <v/>
      </c>
      <c r="BK30" s="4">
        <f>IFERROR(((0+BB11+BB12+BB13+BB14+BB15+BB16+BB17+BB19+BB20+BB21+BB22+BB23+BB24+BB25+BB27+BB28+BB29+BB30)/T2),0)</f>
        <v/>
      </c>
      <c r="BL30" s="5">
        <f>IFERROR(ROUND(BB30/BD30,2),0)</f>
        <v/>
      </c>
      <c r="BM30" s="5">
        <f>IFERROR(ROUND(BB30/BE30,2),0)</f>
        <v/>
      </c>
    </row>
    <row r="31">
      <c r="A31" s="2" t="inlineStr">
        <is>
          <t>2023-10-08</t>
        </is>
      </c>
      <c r="B31" s="5">
        <f>ROUND(0.0,2)</f>
        <v/>
      </c>
      <c r="C31" s="3">
        <f>ROUND(0.0,2)</f>
        <v/>
      </c>
      <c r="D31" s="3">
        <f>ROUND(0.0,2)</f>
        <v/>
      </c>
      <c r="E31" s="3">
        <f>ROUND(0.0,2)</f>
        <v/>
      </c>
      <c r="F31" s="3">
        <f>ROUND(0.0,2)</f>
        <v/>
      </c>
      <c r="G31" s="3">
        <f>ROUND(0.0,2)</f>
        <v/>
      </c>
      <c r="H31" s="3">
        <f>ROUND(0.0,2)</f>
        <v/>
      </c>
      <c r="I31" s="3">
        <f>ROUND(0.0,2)</f>
        <v/>
      </c>
      <c r="J31" s="4">
        <f>IFERROR((D31/C31),0)</f>
        <v/>
      </c>
      <c r="K31" s="4">
        <f>IFERROR(((0+B11+B12+B13+B14+B15+B16+B17+B19+B20+B21+B22+B23+B24+B25+B27+B28+B29+B30+B31)/T2),0)</f>
        <v/>
      </c>
      <c r="L31" s="5">
        <f>IFERROR(ROUND(B31/D31,2),0)</f>
        <v/>
      </c>
      <c r="M31" s="5">
        <f>IFERROR(ROUND(B31/E31,2),0)</f>
        <v/>
      </c>
      <c r="N31" s="2" t="inlineStr">
        <is>
          <t>2023-10-08</t>
        </is>
      </c>
      <c r="O31" s="5">
        <f>ROUND(0.0,2)</f>
        <v/>
      </c>
      <c r="P31" s="3">
        <f>ROUND(0.0,2)</f>
        <v/>
      </c>
      <c r="Q31" s="3">
        <f>ROUND(0.0,2)</f>
        <v/>
      </c>
      <c r="R31" s="3">
        <f>ROUND(0.0,2)</f>
        <v/>
      </c>
      <c r="S31" s="3">
        <f>ROUND(0.0,2)</f>
        <v/>
      </c>
      <c r="T31" s="3">
        <f>ROUND(0.0,2)</f>
        <v/>
      </c>
      <c r="U31" s="3">
        <f>ROUND(0.0,2)</f>
        <v/>
      </c>
      <c r="V31" s="3">
        <f>ROUND(0.0,2)</f>
        <v/>
      </c>
      <c r="W31" s="4">
        <f>IFERROR((Q31/P31),0)</f>
        <v/>
      </c>
      <c r="X31" s="4">
        <f>IFERROR(((0+O11+O12+O13+O14+O15+O16+O17+O19+O20+O21+O22+O23+O24+O25+O27+O28+O29+O30+O31)/T2),0)</f>
        <v/>
      </c>
      <c r="Y31" s="5">
        <f>IFERROR(ROUND(O31/Q31,2),0)</f>
        <v/>
      </c>
      <c r="Z31" s="5">
        <f>IFERROR(ROUND(O31/R31,2),0)</f>
        <v/>
      </c>
      <c r="AA31" s="2" t="inlineStr">
        <is>
          <t>2023-10-08</t>
        </is>
      </c>
      <c r="AB31" s="5">
        <f>ROUND(0.0,2)</f>
        <v/>
      </c>
      <c r="AC31" s="3">
        <f>ROUND(0.0,2)</f>
        <v/>
      </c>
      <c r="AD31" s="3">
        <f>ROUND(0.0,2)</f>
        <v/>
      </c>
      <c r="AE31" s="3">
        <f>ROUND(0.0,2)</f>
        <v/>
      </c>
      <c r="AF31" s="3">
        <f>ROUND(0.0,2)</f>
        <v/>
      </c>
      <c r="AG31" s="3">
        <f>ROUND(0.0,2)</f>
        <v/>
      </c>
      <c r="AH31" s="3">
        <f>ROUND(0.0,2)</f>
        <v/>
      </c>
      <c r="AI31" s="3">
        <f>ROUND(0.0,2)</f>
        <v/>
      </c>
      <c r="AJ31" s="4">
        <f>IFERROR((AD31/AC31),0)</f>
        <v/>
      </c>
      <c r="AK31" s="4">
        <f>IFERROR(((0+AB11+AB12+AB13+AB14+AB15+AB16+AB17+AB19+AB20+AB21+AB22+AB23+AB24+AB25+AB27+AB28+AB29+AB30+AB31)/T2),0)</f>
        <v/>
      </c>
      <c r="AL31" s="5">
        <f>IFERROR(ROUND(AB31/AD31,2),0)</f>
        <v/>
      </c>
      <c r="AM31" s="5">
        <f>IFERROR(ROUND(AB31/AE31,2),0)</f>
        <v/>
      </c>
      <c r="AN31" s="2" t="inlineStr">
        <is>
          <t>2023-10-08</t>
        </is>
      </c>
      <c r="AO31" s="5">
        <f>ROUND(0.0,2)</f>
        <v/>
      </c>
      <c r="AP31" s="3">
        <f>ROUND(0.0,2)</f>
        <v/>
      </c>
      <c r="AQ31" s="3">
        <f>ROUND(0.0,2)</f>
        <v/>
      </c>
      <c r="AR31" s="3">
        <f>ROUND(0.0,2)</f>
        <v/>
      </c>
      <c r="AS31" s="3">
        <f>ROUND(0.0,2)</f>
        <v/>
      </c>
      <c r="AT31" s="3">
        <f>ROUND(0.0,2)</f>
        <v/>
      </c>
      <c r="AU31" s="3">
        <f>ROUND(0.0,2)</f>
        <v/>
      </c>
      <c r="AV31" s="3">
        <f>ROUND(0.0,2)</f>
        <v/>
      </c>
      <c r="AW31" s="4">
        <f>IFERROR((AQ31/AP31),0)</f>
        <v/>
      </c>
      <c r="AX31" s="4">
        <f>IFERROR(((0+AO11+AO12+AO13+AO14+AO15+AO16+AO17+AO19+AO20+AO21+AO22+AO23+AO24+AO25+AO27+AO28+AO29+AO30+AO31)/T2),0)</f>
        <v/>
      </c>
      <c r="AY31" s="5">
        <f>IFERROR(ROUND(AO31/AQ31,2),0)</f>
        <v/>
      </c>
      <c r="AZ31" s="5">
        <f>IFERROR(ROUND(AO31/AR31,2),0)</f>
        <v/>
      </c>
      <c r="BA31" s="2" t="inlineStr">
        <is>
          <t>2023-10-08</t>
        </is>
      </c>
      <c r="BB31" s="5">
        <f>ROUND(0.0,2)</f>
        <v/>
      </c>
      <c r="BC31" s="3">
        <f>ROUND(0.0,2)</f>
        <v/>
      </c>
      <c r="BD31" s="3">
        <f>ROUND(0.0,2)</f>
        <v/>
      </c>
      <c r="BE31" s="3">
        <f>ROUND(0.0,2)</f>
        <v/>
      </c>
      <c r="BF31" s="3">
        <f>ROUND(0.0,2)</f>
        <v/>
      </c>
      <c r="BG31" s="3">
        <f>ROUND(0.0,2)</f>
        <v/>
      </c>
      <c r="BH31" s="3">
        <f>ROUND(0.0,2)</f>
        <v/>
      </c>
      <c r="BI31" s="3">
        <f>ROUND(0.0,2)</f>
        <v/>
      </c>
      <c r="BJ31" s="4">
        <f>IFERROR((BD31/BC31),0)</f>
        <v/>
      </c>
      <c r="BK31" s="4">
        <f>IFERROR(((0+BB11+BB12+BB13+BB14+BB15+BB16+BB17+BB19+BB20+BB21+BB22+BB23+BB24+BB25+BB27+BB28+BB29+BB30+BB31)/T2),0)</f>
        <v/>
      </c>
      <c r="BL31" s="5">
        <f>IFERROR(ROUND(BB31/BD31,2),0)</f>
        <v/>
      </c>
      <c r="BM31" s="5">
        <f>IFERROR(ROUND(BB31/BE31,2),0)</f>
        <v/>
      </c>
    </row>
    <row r="32">
      <c r="A32" s="2" t="inlineStr">
        <is>
          <t>2023-10-09</t>
        </is>
      </c>
      <c r="B32" s="5">
        <f>ROUND(0.0,2)</f>
        <v/>
      </c>
      <c r="C32" s="3">
        <f>ROUND(0.0,2)</f>
        <v/>
      </c>
      <c r="D32" s="3">
        <f>ROUND(0.0,2)</f>
        <v/>
      </c>
      <c r="E32" s="3">
        <f>ROUND(0.0,2)</f>
        <v/>
      </c>
      <c r="F32" s="3">
        <f>ROUND(0.0,2)</f>
        <v/>
      </c>
      <c r="G32" s="3">
        <f>ROUND(0.0,2)</f>
        <v/>
      </c>
      <c r="H32" s="3">
        <f>ROUND(0.0,2)</f>
        <v/>
      </c>
      <c r="I32" s="3">
        <f>ROUND(0.0,2)</f>
        <v/>
      </c>
      <c r="J32" s="4">
        <f>IFERROR((D32/C32),0)</f>
        <v/>
      </c>
      <c r="K32" s="4">
        <f>IFERROR(((0+B11+B12+B13+B14+B15+B16+B17+B19+B20+B21+B22+B23+B24+B25+B27+B28+B29+B30+B31+B32)/T2),0)</f>
        <v/>
      </c>
      <c r="L32" s="5">
        <f>IFERROR(ROUND(B32/D32,2),0)</f>
        <v/>
      </c>
      <c r="M32" s="5">
        <f>IFERROR(ROUND(B32/E32,2),0)</f>
        <v/>
      </c>
      <c r="N32" s="2" t="inlineStr">
        <is>
          <t>2023-10-09</t>
        </is>
      </c>
      <c r="O32" s="5">
        <f>ROUND(0.0,2)</f>
        <v/>
      </c>
      <c r="P32" s="3">
        <f>ROUND(0.0,2)</f>
        <v/>
      </c>
      <c r="Q32" s="3">
        <f>ROUND(0.0,2)</f>
        <v/>
      </c>
      <c r="R32" s="3">
        <f>ROUND(0.0,2)</f>
        <v/>
      </c>
      <c r="S32" s="3">
        <f>ROUND(0.0,2)</f>
        <v/>
      </c>
      <c r="T32" s="3">
        <f>ROUND(0.0,2)</f>
        <v/>
      </c>
      <c r="U32" s="3">
        <f>ROUND(0.0,2)</f>
        <v/>
      </c>
      <c r="V32" s="3">
        <f>ROUND(0.0,2)</f>
        <v/>
      </c>
      <c r="W32" s="4">
        <f>IFERROR((Q32/P32),0)</f>
        <v/>
      </c>
      <c r="X32" s="4">
        <f>IFERROR(((0+O11+O12+O13+O14+O15+O16+O17+O19+O20+O21+O22+O23+O24+O25+O27+O28+O29+O30+O31+O32)/T2),0)</f>
        <v/>
      </c>
      <c r="Y32" s="5">
        <f>IFERROR(ROUND(O32/Q32,2),0)</f>
        <v/>
      </c>
      <c r="Z32" s="5">
        <f>IFERROR(ROUND(O32/R32,2),0)</f>
        <v/>
      </c>
      <c r="AA32" s="2" t="inlineStr">
        <is>
          <t>2023-10-09</t>
        </is>
      </c>
      <c r="AB32" s="5">
        <f>ROUND(0.0,2)</f>
        <v/>
      </c>
      <c r="AC32" s="3">
        <f>ROUND(0.0,2)</f>
        <v/>
      </c>
      <c r="AD32" s="3">
        <f>ROUND(0.0,2)</f>
        <v/>
      </c>
      <c r="AE32" s="3">
        <f>ROUND(0.0,2)</f>
        <v/>
      </c>
      <c r="AF32" s="3">
        <f>ROUND(0.0,2)</f>
        <v/>
      </c>
      <c r="AG32" s="3">
        <f>ROUND(0.0,2)</f>
        <v/>
      </c>
      <c r="AH32" s="3">
        <f>ROUND(0.0,2)</f>
        <v/>
      </c>
      <c r="AI32" s="3">
        <f>ROUND(0.0,2)</f>
        <v/>
      </c>
      <c r="AJ32" s="4">
        <f>IFERROR((AD32/AC32),0)</f>
        <v/>
      </c>
      <c r="AK32" s="4">
        <f>IFERROR(((0+AB11+AB12+AB13+AB14+AB15+AB16+AB17+AB19+AB20+AB21+AB22+AB23+AB24+AB25+AB27+AB28+AB29+AB30+AB31+AB32)/T2),0)</f>
        <v/>
      </c>
      <c r="AL32" s="5">
        <f>IFERROR(ROUND(AB32/AD32,2),0)</f>
        <v/>
      </c>
      <c r="AM32" s="5">
        <f>IFERROR(ROUND(AB32/AE32,2),0)</f>
        <v/>
      </c>
      <c r="AN32" s="2" t="inlineStr">
        <is>
          <t>2023-10-09</t>
        </is>
      </c>
      <c r="AO32" s="5">
        <f>ROUND(0.0,2)</f>
        <v/>
      </c>
      <c r="AP32" s="3">
        <f>ROUND(0.0,2)</f>
        <v/>
      </c>
      <c r="AQ32" s="3">
        <f>ROUND(0.0,2)</f>
        <v/>
      </c>
      <c r="AR32" s="3">
        <f>ROUND(0.0,2)</f>
        <v/>
      </c>
      <c r="AS32" s="3">
        <f>ROUND(0.0,2)</f>
        <v/>
      </c>
      <c r="AT32" s="3">
        <f>ROUND(0.0,2)</f>
        <v/>
      </c>
      <c r="AU32" s="3">
        <f>ROUND(0.0,2)</f>
        <v/>
      </c>
      <c r="AV32" s="3">
        <f>ROUND(0.0,2)</f>
        <v/>
      </c>
      <c r="AW32" s="4">
        <f>IFERROR((AQ32/AP32),0)</f>
        <v/>
      </c>
      <c r="AX32" s="4">
        <f>IFERROR(((0+AO11+AO12+AO13+AO14+AO15+AO16+AO17+AO19+AO20+AO21+AO22+AO23+AO24+AO25+AO27+AO28+AO29+AO30+AO31+AO32)/T2),0)</f>
        <v/>
      </c>
      <c r="AY32" s="5">
        <f>IFERROR(ROUND(AO32/AQ32,2),0)</f>
        <v/>
      </c>
      <c r="AZ32" s="5">
        <f>IFERROR(ROUND(AO32/AR32,2),0)</f>
        <v/>
      </c>
      <c r="BA32" s="2" t="inlineStr">
        <is>
          <t>2023-10-09</t>
        </is>
      </c>
      <c r="BB32" s="5">
        <f>ROUND(0.0,2)</f>
        <v/>
      </c>
      <c r="BC32" s="3">
        <f>ROUND(0.0,2)</f>
        <v/>
      </c>
      <c r="BD32" s="3">
        <f>ROUND(0.0,2)</f>
        <v/>
      </c>
      <c r="BE32" s="3">
        <f>ROUND(0.0,2)</f>
        <v/>
      </c>
      <c r="BF32" s="3">
        <f>ROUND(0.0,2)</f>
        <v/>
      </c>
      <c r="BG32" s="3">
        <f>ROUND(0.0,2)</f>
        <v/>
      </c>
      <c r="BH32" s="3">
        <f>ROUND(0.0,2)</f>
        <v/>
      </c>
      <c r="BI32" s="3">
        <f>ROUND(0.0,2)</f>
        <v/>
      </c>
      <c r="BJ32" s="4">
        <f>IFERROR((BD32/BC32),0)</f>
        <v/>
      </c>
      <c r="BK32" s="4">
        <f>IFERROR(((0+BB11+BB12+BB13+BB14+BB15+BB16+BB17+BB19+BB20+BB21+BB22+BB23+BB24+BB25+BB27+BB28+BB29+BB30+BB31+BB32)/T2),0)</f>
        <v/>
      </c>
      <c r="BL32" s="5">
        <f>IFERROR(ROUND(BB32/BD32,2),0)</f>
        <v/>
      </c>
      <c r="BM32" s="5">
        <f>IFERROR(ROUND(BB32/BE32,2),0)</f>
        <v/>
      </c>
    </row>
    <row r="33">
      <c r="A33" s="2" t="inlineStr">
        <is>
          <t>2023-10-10</t>
        </is>
      </c>
      <c r="B33" s="5">
        <f>ROUND(0.0,2)</f>
        <v/>
      </c>
      <c r="C33" s="3">
        <f>ROUND(0.0,2)</f>
        <v/>
      </c>
      <c r="D33" s="3">
        <f>ROUND(0.0,2)</f>
        <v/>
      </c>
      <c r="E33" s="3">
        <f>ROUND(0.0,2)</f>
        <v/>
      </c>
      <c r="F33" s="3">
        <f>ROUND(0.0,2)</f>
        <v/>
      </c>
      <c r="G33" s="3">
        <f>ROUND(0.0,2)</f>
        <v/>
      </c>
      <c r="H33" s="3">
        <f>ROUND(0.0,2)</f>
        <v/>
      </c>
      <c r="I33" s="3">
        <f>ROUND(0.0,2)</f>
        <v/>
      </c>
      <c r="J33" s="4">
        <f>IFERROR((D33/C33),0)</f>
        <v/>
      </c>
      <c r="K33" s="4">
        <f>IFERROR(((0+B11+B12+B13+B14+B15+B16+B17+B19+B20+B21+B22+B23+B24+B25+B27+B28+B29+B30+B31+B32+B33)/T2),0)</f>
        <v/>
      </c>
      <c r="L33" s="5">
        <f>IFERROR(ROUND(B33/D33,2),0)</f>
        <v/>
      </c>
      <c r="M33" s="5">
        <f>IFERROR(ROUND(B33/E33,2),0)</f>
        <v/>
      </c>
      <c r="N33" s="2" t="inlineStr">
        <is>
          <t>2023-10-10</t>
        </is>
      </c>
      <c r="O33" s="5">
        <f>ROUND(0.0,2)</f>
        <v/>
      </c>
      <c r="P33" s="3">
        <f>ROUND(0.0,2)</f>
        <v/>
      </c>
      <c r="Q33" s="3">
        <f>ROUND(0.0,2)</f>
        <v/>
      </c>
      <c r="R33" s="3">
        <f>ROUND(0.0,2)</f>
        <v/>
      </c>
      <c r="S33" s="3">
        <f>ROUND(0.0,2)</f>
        <v/>
      </c>
      <c r="T33" s="3">
        <f>ROUND(0.0,2)</f>
        <v/>
      </c>
      <c r="U33" s="3">
        <f>ROUND(0.0,2)</f>
        <v/>
      </c>
      <c r="V33" s="3">
        <f>ROUND(0.0,2)</f>
        <v/>
      </c>
      <c r="W33" s="4">
        <f>IFERROR((Q33/P33),0)</f>
        <v/>
      </c>
      <c r="X33" s="4">
        <f>IFERROR(((0+O11+O12+O13+O14+O15+O16+O17+O19+O20+O21+O22+O23+O24+O25+O27+O28+O29+O30+O31+O32+O33)/T2),0)</f>
        <v/>
      </c>
      <c r="Y33" s="5">
        <f>IFERROR(ROUND(O33/Q33,2),0)</f>
        <v/>
      </c>
      <c r="Z33" s="5">
        <f>IFERROR(ROUND(O33/R33,2),0)</f>
        <v/>
      </c>
      <c r="AA33" s="2" t="inlineStr">
        <is>
          <t>2023-10-10</t>
        </is>
      </c>
      <c r="AB33" s="5">
        <f>ROUND(0.0,2)</f>
        <v/>
      </c>
      <c r="AC33" s="3">
        <f>ROUND(0.0,2)</f>
        <v/>
      </c>
      <c r="AD33" s="3">
        <f>ROUND(0.0,2)</f>
        <v/>
      </c>
      <c r="AE33" s="3">
        <f>ROUND(0.0,2)</f>
        <v/>
      </c>
      <c r="AF33" s="3">
        <f>ROUND(0.0,2)</f>
        <v/>
      </c>
      <c r="AG33" s="3">
        <f>ROUND(0.0,2)</f>
        <v/>
      </c>
      <c r="AH33" s="3">
        <f>ROUND(0.0,2)</f>
        <v/>
      </c>
      <c r="AI33" s="3">
        <f>ROUND(0.0,2)</f>
        <v/>
      </c>
      <c r="AJ33" s="4">
        <f>IFERROR((AD33/AC33),0)</f>
        <v/>
      </c>
      <c r="AK33" s="4">
        <f>IFERROR(((0+AB11+AB12+AB13+AB14+AB15+AB16+AB17+AB19+AB20+AB21+AB22+AB23+AB24+AB25+AB27+AB28+AB29+AB30+AB31+AB32+AB33)/T2),0)</f>
        <v/>
      </c>
      <c r="AL33" s="5">
        <f>IFERROR(ROUND(AB33/AD33,2),0)</f>
        <v/>
      </c>
      <c r="AM33" s="5">
        <f>IFERROR(ROUND(AB33/AE33,2),0)</f>
        <v/>
      </c>
      <c r="AN33" s="2" t="inlineStr">
        <is>
          <t>2023-10-10</t>
        </is>
      </c>
      <c r="AO33" s="5">
        <f>ROUND(0.0,2)</f>
        <v/>
      </c>
      <c r="AP33" s="3">
        <f>ROUND(0.0,2)</f>
        <v/>
      </c>
      <c r="AQ33" s="3">
        <f>ROUND(0.0,2)</f>
        <v/>
      </c>
      <c r="AR33" s="3">
        <f>ROUND(0.0,2)</f>
        <v/>
      </c>
      <c r="AS33" s="3">
        <f>ROUND(0.0,2)</f>
        <v/>
      </c>
      <c r="AT33" s="3">
        <f>ROUND(0.0,2)</f>
        <v/>
      </c>
      <c r="AU33" s="3">
        <f>ROUND(0.0,2)</f>
        <v/>
      </c>
      <c r="AV33" s="3">
        <f>ROUND(0.0,2)</f>
        <v/>
      </c>
      <c r="AW33" s="4">
        <f>IFERROR((AQ33/AP33),0)</f>
        <v/>
      </c>
      <c r="AX33" s="4">
        <f>IFERROR(((0+AO11+AO12+AO13+AO14+AO15+AO16+AO17+AO19+AO20+AO21+AO22+AO23+AO24+AO25+AO27+AO28+AO29+AO30+AO31+AO32+AO33)/T2),0)</f>
        <v/>
      </c>
      <c r="AY33" s="5">
        <f>IFERROR(ROUND(AO33/AQ33,2),0)</f>
        <v/>
      </c>
      <c r="AZ33" s="5">
        <f>IFERROR(ROUND(AO33/AR33,2),0)</f>
        <v/>
      </c>
      <c r="BA33" s="2" t="inlineStr">
        <is>
          <t>2023-10-10</t>
        </is>
      </c>
      <c r="BB33" s="5">
        <f>ROUND(0.0,2)</f>
        <v/>
      </c>
      <c r="BC33" s="3">
        <f>ROUND(0.0,2)</f>
        <v/>
      </c>
      <c r="BD33" s="3">
        <f>ROUND(0.0,2)</f>
        <v/>
      </c>
      <c r="BE33" s="3">
        <f>ROUND(0.0,2)</f>
        <v/>
      </c>
      <c r="BF33" s="3">
        <f>ROUND(0.0,2)</f>
        <v/>
      </c>
      <c r="BG33" s="3">
        <f>ROUND(0.0,2)</f>
        <v/>
      </c>
      <c r="BH33" s="3">
        <f>ROUND(0.0,2)</f>
        <v/>
      </c>
      <c r="BI33" s="3">
        <f>ROUND(0.0,2)</f>
        <v/>
      </c>
      <c r="BJ33" s="4">
        <f>IFERROR((BD33/BC33),0)</f>
        <v/>
      </c>
      <c r="BK33" s="4">
        <f>IFERROR(((0+BB11+BB12+BB13+BB14+BB15+BB16+BB17+BB19+BB20+BB21+BB22+BB23+BB24+BB25+BB27+BB28+BB29+BB30+BB31+BB32+BB33)/T2),0)</f>
        <v/>
      </c>
      <c r="BL33" s="5">
        <f>IFERROR(ROUND(BB33/BD33,2),0)</f>
        <v/>
      </c>
      <c r="BM33" s="5">
        <f>IFERROR(ROUND(BB33/BE33,2),0)</f>
        <v/>
      </c>
    </row>
    <row r="34">
      <c r="A34" s="2" t="inlineStr">
        <is>
          <t>3 Weekly Total</t>
        </is>
      </c>
      <c r="B34" s="5">
        <f>ROUND(0.0,2)</f>
        <v/>
      </c>
      <c r="C34" s="3">
        <f>ROUND(0.0,2)</f>
        <v/>
      </c>
      <c r="D34" s="3">
        <f>ROUND(0.0,2)</f>
        <v/>
      </c>
      <c r="E34" s="3">
        <f>ROUND(0.0,2)</f>
        <v/>
      </c>
      <c r="F34" s="3">
        <f>ROUND(0.0,2)</f>
        <v/>
      </c>
      <c r="G34" s="3">
        <f>ROUND(0.0,2)</f>
        <v/>
      </c>
      <c r="H34" s="3">
        <f>ROUND(0.0,2)</f>
        <v/>
      </c>
      <c r="I34" s="3">
        <f>ROUND(0.0,2)</f>
        <v/>
      </c>
      <c r="J34" s="4">
        <f>IFERROR((D34/C34),0)</f>
        <v/>
      </c>
      <c r="K34" s="4">
        <f>IFERROR(((0+B11+B12+B13+B14+B15+B16+B17+B19+B20+B21+B22+B23+B24+B25+B27+B28+B29+B30+B31+B32+B33)/T2),0)</f>
        <v/>
      </c>
      <c r="L34" s="5">
        <f>IFERROR(ROUND(B34/D34,2),0)</f>
        <v/>
      </c>
      <c r="M34" s="5">
        <f>IFERROR(ROUND(B34/E34,2),0)</f>
        <v/>
      </c>
      <c r="N34" s="2" t="inlineStr">
        <is>
          <t>3 Weekly Total</t>
        </is>
      </c>
      <c r="O34" s="5">
        <f>ROUND(0.0,2)</f>
        <v/>
      </c>
      <c r="P34" s="3">
        <f>ROUND(0.0,2)</f>
        <v/>
      </c>
      <c r="Q34" s="3">
        <f>ROUND(0.0,2)</f>
        <v/>
      </c>
      <c r="R34" s="3">
        <f>ROUND(0.0,2)</f>
        <v/>
      </c>
      <c r="S34" s="3">
        <f>ROUND(0.0,2)</f>
        <v/>
      </c>
      <c r="T34" s="3">
        <f>ROUND(0.0,2)</f>
        <v/>
      </c>
      <c r="U34" s="3">
        <f>ROUND(0.0,2)</f>
        <v/>
      </c>
      <c r="V34" s="3">
        <f>ROUND(0.0,2)</f>
        <v/>
      </c>
      <c r="W34" s="4">
        <f>IFERROR((Q34/P34),0)</f>
        <v/>
      </c>
      <c r="X34" s="4">
        <f>IFERROR(((0+O11+O12+O13+O14+O15+O16+O17+O19+O20+O21+O22+O23+O24+O25+O27+O28+O29+O30+O31+O32+O33)/T2),0)</f>
        <v/>
      </c>
      <c r="Y34" s="5">
        <f>IFERROR(ROUND(O34/Q34,2),0)</f>
        <v/>
      </c>
      <c r="Z34" s="5">
        <f>IFERROR(ROUND(O34/R34,2),0)</f>
        <v/>
      </c>
      <c r="AA34" s="2" t="inlineStr">
        <is>
          <t>3 Weekly Total</t>
        </is>
      </c>
      <c r="AB34" s="5">
        <f>ROUND(0.0,2)</f>
        <v/>
      </c>
      <c r="AC34" s="3">
        <f>ROUND(0.0,2)</f>
        <v/>
      </c>
      <c r="AD34" s="3">
        <f>ROUND(0.0,2)</f>
        <v/>
      </c>
      <c r="AE34" s="3">
        <f>ROUND(0.0,2)</f>
        <v/>
      </c>
      <c r="AF34" s="3">
        <f>ROUND(0.0,2)</f>
        <v/>
      </c>
      <c r="AG34" s="3">
        <f>ROUND(0.0,2)</f>
        <v/>
      </c>
      <c r="AH34" s="3">
        <f>ROUND(0.0,2)</f>
        <v/>
      </c>
      <c r="AI34" s="3">
        <f>ROUND(0.0,2)</f>
        <v/>
      </c>
      <c r="AJ34" s="4">
        <f>IFERROR((AD34/AC34),0)</f>
        <v/>
      </c>
      <c r="AK34" s="4">
        <f>IFERROR(((0+AB11+AB12+AB13+AB14+AB15+AB16+AB17+AB19+AB20+AB21+AB22+AB23+AB24+AB25+AB27+AB28+AB29+AB30+AB31+AB32+AB33)/T2),0)</f>
        <v/>
      </c>
      <c r="AL34" s="5">
        <f>IFERROR(ROUND(AB34/AD34,2),0)</f>
        <v/>
      </c>
      <c r="AM34" s="5">
        <f>IFERROR(ROUND(AB34/AE34,2),0)</f>
        <v/>
      </c>
      <c r="AN34" s="2" t="inlineStr">
        <is>
          <t>3 Weekly Total</t>
        </is>
      </c>
      <c r="AO34" s="5">
        <f>ROUND(0.0,2)</f>
        <v/>
      </c>
      <c r="AP34" s="3">
        <f>ROUND(0.0,2)</f>
        <v/>
      </c>
      <c r="AQ34" s="3">
        <f>ROUND(0.0,2)</f>
        <v/>
      </c>
      <c r="AR34" s="3">
        <f>ROUND(0.0,2)</f>
        <v/>
      </c>
      <c r="AS34" s="3">
        <f>ROUND(0.0,2)</f>
        <v/>
      </c>
      <c r="AT34" s="3">
        <f>ROUND(0.0,2)</f>
        <v/>
      </c>
      <c r="AU34" s="3">
        <f>ROUND(0.0,2)</f>
        <v/>
      </c>
      <c r="AV34" s="3">
        <f>ROUND(0.0,2)</f>
        <v/>
      </c>
      <c r="AW34" s="4">
        <f>IFERROR((AQ34/AP34),0)</f>
        <v/>
      </c>
      <c r="AX34" s="4">
        <f>IFERROR(((0+AO11+AO12+AO13+AO14+AO15+AO16+AO17+AO19+AO20+AO21+AO22+AO23+AO24+AO25+AO27+AO28+AO29+AO30+AO31+AO32+AO33)/T2),0)</f>
        <v/>
      </c>
      <c r="AY34" s="5">
        <f>IFERROR(ROUND(AO34/AQ34,2),0)</f>
        <v/>
      </c>
      <c r="AZ34" s="5">
        <f>IFERROR(ROUND(AO34/AR34,2),0)</f>
        <v/>
      </c>
      <c r="BA34" s="2" t="inlineStr">
        <is>
          <t>3 Weekly Total</t>
        </is>
      </c>
      <c r="BB34" s="5">
        <f>ROUND(0.0,2)</f>
        <v/>
      </c>
      <c r="BC34" s="3">
        <f>ROUND(0.0,2)</f>
        <v/>
      </c>
      <c r="BD34" s="3">
        <f>ROUND(0.0,2)</f>
        <v/>
      </c>
      <c r="BE34" s="3">
        <f>ROUND(0.0,2)</f>
        <v/>
      </c>
      <c r="BF34" s="3">
        <f>ROUND(0.0,2)</f>
        <v/>
      </c>
      <c r="BG34" s="3">
        <f>ROUND(0.0,2)</f>
        <v/>
      </c>
      <c r="BH34" s="3">
        <f>ROUND(0.0,2)</f>
        <v/>
      </c>
      <c r="BI34" s="3">
        <f>ROUND(0.0,2)</f>
        <v/>
      </c>
      <c r="BJ34" s="4">
        <f>IFERROR((BD34/BC34),0)</f>
        <v/>
      </c>
      <c r="BK34" s="4">
        <f>IFERROR(((0+BB11+BB12+BB13+BB14+BB15+BB16+BB17+BB19+BB20+BB21+BB22+BB23+BB24+BB25+BB27+BB28+BB29+BB30+BB31+BB32+BB33)/T2),0)</f>
        <v/>
      </c>
      <c r="BL34" s="5">
        <f>IFERROR(ROUND(BB34/BD34,2),0)</f>
        <v/>
      </c>
      <c r="BM34" s="5">
        <f>IFERROR(ROUND(BB34/BE34,2),0)</f>
        <v/>
      </c>
    </row>
    <row r="35">
      <c r="A35" s="2" t="inlineStr">
        <is>
          <t>2023-10-11</t>
        </is>
      </c>
      <c r="B35" s="5">
        <f>ROUND(0.0,2)</f>
        <v/>
      </c>
      <c r="C35" s="3">
        <f>ROUND(0.0,2)</f>
        <v/>
      </c>
      <c r="D35" s="3">
        <f>ROUND(0.0,2)</f>
        <v/>
      </c>
      <c r="E35" s="3">
        <f>ROUND(0.0,2)</f>
        <v/>
      </c>
      <c r="F35" s="3">
        <f>ROUND(0.0,2)</f>
        <v/>
      </c>
      <c r="G35" s="3">
        <f>ROUND(0.0,2)</f>
        <v/>
      </c>
      <c r="H35" s="3">
        <f>ROUND(0.0,2)</f>
        <v/>
      </c>
      <c r="I35" s="3">
        <f>ROUND(0.0,2)</f>
        <v/>
      </c>
      <c r="J35" s="4">
        <f>IFERROR((D35/C35),0)</f>
        <v/>
      </c>
      <c r="K35" s="4">
        <f>IFERROR(((0+B11+B12+B13+B14+B15+B16+B17+B19+B20+B21+B22+B23+B24+B25+B27+B28+B29+B30+B31+B32+B33+B35)/T2),0)</f>
        <v/>
      </c>
      <c r="L35" s="5">
        <f>IFERROR(ROUND(B35/D35,2),0)</f>
        <v/>
      </c>
      <c r="M35" s="5">
        <f>IFERROR(ROUND(B35/E35,2),0)</f>
        <v/>
      </c>
      <c r="N35" s="2" t="inlineStr">
        <is>
          <t>2023-10-11</t>
        </is>
      </c>
      <c r="O35" s="5">
        <f>ROUND(0.0,2)</f>
        <v/>
      </c>
      <c r="P35" s="3">
        <f>ROUND(0.0,2)</f>
        <v/>
      </c>
      <c r="Q35" s="3">
        <f>ROUND(0.0,2)</f>
        <v/>
      </c>
      <c r="R35" s="3">
        <f>ROUND(0.0,2)</f>
        <v/>
      </c>
      <c r="S35" s="3">
        <f>ROUND(0.0,2)</f>
        <v/>
      </c>
      <c r="T35" s="3">
        <f>ROUND(0.0,2)</f>
        <v/>
      </c>
      <c r="U35" s="3">
        <f>ROUND(0.0,2)</f>
        <v/>
      </c>
      <c r="V35" s="3">
        <f>ROUND(0.0,2)</f>
        <v/>
      </c>
      <c r="W35" s="4">
        <f>IFERROR((Q35/P35),0)</f>
        <v/>
      </c>
      <c r="X35" s="4">
        <f>IFERROR(((0+O11+O12+O13+O14+O15+O16+O17+O19+O20+O21+O22+O23+O24+O25+O27+O28+O29+O30+O31+O32+O33+O35)/T2),0)</f>
        <v/>
      </c>
      <c r="Y35" s="5">
        <f>IFERROR(ROUND(O35/Q35,2),0)</f>
        <v/>
      </c>
      <c r="Z35" s="5">
        <f>IFERROR(ROUND(O35/R35,2),0)</f>
        <v/>
      </c>
      <c r="AA35" s="2" t="inlineStr">
        <is>
          <t>2023-10-11</t>
        </is>
      </c>
      <c r="AB35" s="5">
        <f>ROUND(0.0,2)</f>
        <v/>
      </c>
      <c r="AC35" s="3">
        <f>ROUND(0.0,2)</f>
        <v/>
      </c>
      <c r="AD35" s="3">
        <f>ROUND(0.0,2)</f>
        <v/>
      </c>
      <c r="AE35" s="3">
        <f>ROUND(0.0,2)</f>
        <v/>
      </c>
      <c r="AF35" s="3">
        <f>ROUND(0.0,2)</f>
        <v/>
      </c>
      <c r="AG35" s="3">
        <f>ROUND(0.0,2)</f>
        <v/>
      </c>
      <c r="AH35" s="3">
        <f>ROUND(0.0,2)</f>
        <v/>
      </c>
      <c r="AI35" s="3">
        <f>ROUND(0.0,2)</f>
        <v/>
      </c>
      <c r="AJ35" s="4">
        <f>IFERROR((AD35/AC35),0)</f>
        <v/>
      </c>
      <c r="AK35" s="4">
        <f>IFERROR(((0+AB11+AB12+AB13+AB14+AB15+AB16+AB17+AB19+AB20+AB21+AB22+AB23+AB24+AB25+AB27+AB28+AB29+AB30+AB31+AB32+AB33+AB35)/T2),0)</f>
        <v/>
      </c>
      <c r="AL35" s="5">
        <f>IFERROR(ROUND(AB35/AD35,2),0)</f>
        <v/>
      </c>
      <c r="AM35" s="5">
        <f>IFERROR(ROUND(AB35/AE35,2),0)</f>
        <v/>
      </c>
      <c r="AN35" s="2" t="inlineStr">
        <is>
          <t>2023-10-11</t>
        </is>
      </c>
      <c r="AO35" s="5">
        <f>ROUND(0.0,2)</f>
        <v/>
      </c>
      <c r="AP35" s="3">
        <f>ROUND(0.0,2)</f>
        <v/>
      </c>
      <c r="AQ35" s="3">
        <f>ROUND(0.0,2)</f>
        <v/>
      </c>
      <c r="AR35" s="3">
        <f>ROUND(0.0,2)</f>
        <v/>
      </c>
      <c r="AS35" s="3">
        <f>ROUND(0.0,2)</f>
        <v/>
      </c>
      <c r="AT35" s="3">
        <f>ROUND(0.0,2)</f>
        <v/>
      </c>
      <c r="AU35" s="3">
        <f>ROUND(0.0,2)</f>
        <v/>
      </c>
      <c r="AV35" s="3">
        <f>ROUND(0.0,2)</f>
        <v/>
      </c>
      <c r="AW35" s="4">
        <f>IFERROR((AQ35/AP35),0)</f>
        <v/>
      </c>
      <c r="AX35" s="4">
        <f>IFERROR(((0+AO11+AO12+AO13+AO14+AO15+AO16+AO17+AO19+AO20+AO21+AO22+AO23+AO24+AO25+AO27+AO28+AO29+AO30+AO31+AO32+AO33+AO35)/T2),0)</f>
        <v/>
      </c>
      <c r="AY35" s="5">
        <f>IFERROR(ROUND(AO35/AQ35,2),0)</f>
        <v/>
      </c>
      <c r="AZ35" s="5">
        <f>IFERROR(ROUND(AO35/AR35,2),0)</f>
        <v/>
      </c>
      <c r="BA35" s="2" t="inlineStr">
        <is>
          <t>2023-10-11</t>
        </is>
      </c>
      <c r="BB35" s="5">
        <f>ROUND(0.0,2)</f>
        <v/>
      </c>
      <c r="BC35" s="3">
        <f>ROUND(0.0,2)</f>
        <v/>
      </c>
      <c r="BD35" s="3">
        <f>ROUND(0.0,2)</f>
        <v/>
      </c>
      <c r="BE35" s="3">
        <f>ROUND(0.0,2)</f>
        <v/>
      </c>
      <c r="BF35" s="3">
        <f>ROUND(0.0,2)</f>
        <v/>
      </c>
      <c r="BG35" s="3">
        <f>ROUND(0.0,2)</f>
        <v/>
      </c>
      <c r="BH35" s="3">
        <f>ROUND(0.0,2)</f>
        <v/>
      </c>
      <c r="BI35" s="3">
        <f>ROUND(0.0,2)</f>
        <v/>
      </c>
      <c r="BJ35" s="4">
        <f>IFERROR((BD35/BC35),0)</f>
        <v/>
      </c>
      <c r="BK35" s="4">
        <f>IFERROR(((0+BB11+BB12+BB13+BB14+BB15+BB16+BB17+BB19+BB20+BB21+BB22+BB23+BB24+BB25+BB27+BB28+BB29+BB30+BB31+BB32+BB33+BB35)/T2),0)</f>
        <v/>
      </c>
      <c r="BL35" s="5">
        <f>IFERROR(ROUND(BB35/BD35,2),0)</f>
        <v/>
      </c>
      <c r="BM35" s="5">
        <f>IFERROR(ROUND(BB35/BE35,2),0)</f>
        <v/>
      </c>
    </row>
    <row r="36">
      <c r="A36" s="2" t="inlineStr">
        <is>
          <t>2023-10-12</t>
        </is>
      </c>
      <c r="B36" s="5">
        <f>ROUND(0.0,2)</f>
        <v/>
      </c>
      <c r="C36" s="3">
        <f>ROUND(0.0,2)</f>
        <v/>
      </c>
      <c r="D36" s="3">
        <f>ROUND(0.0,2)</f>
        <v/>
      </c>
      <c r="E36" s="3">
        <f>ROUND(0.0,2)</f>
        <v/>
      </c>
      <c r="F36" s="3">
        <f>ROUND(0.0,2)</f>
        <v/>
      </c>
      <c r="G36" s="3">
        <f>ROUND(0.0,2)</f>
        <v/>
      </c>
      <c r="H36" s="3">
        <f>ROUND(0.0,2)</f>
        <v/>
      </c>
      <c r="I36" s="3">
        <f>ROUND(0.0,2)</f>
        <v/>
      </c>
      <c r="J36" s="4">
        <f>IFERROR((D36/C36),0)</f>
        <v/>
      </c>
      <c r="K36" s="4">
        <f>IFERROR(((0+B11+B12+B13+B14+B15+B16+B17+B19+B20+B21+B22+B23+B24+B25+B27+B28+B29+B30+B31+B32+B33+B35+B36)/T2),0)</f>
        <v/>
      </c>
      <c r="L36" s="5">
        <f>IFERROR(ROUND(B36/D36,2),0)</f>
        <v/>
      </c>
      <c r="M36" s="5">
        <f>IFERROR(ROUND(B36/E36,2),0)</f>
        <v/>
      </c>
      <c r="N36" s="2" t="inlineStr">
        <is>
          <t>2023-10-12</t>
        </is>
      </c>
      <c r="O36" s="5">
        <f>ROUND(0.0,2)</f>
        <v/>
      </c>
      <c r="P36" s="3">
        <f>ROUND(0.0,2)</f>
        <v/>
      </c>
      <c r="Q36" s="3">
        <f>ROUND(0.0,2)</f>
        <v/>
      </c>
      <c r="R36" s="3">
        <f>ROUND(0.0,2)</f>
        <v/>
      </c>
      <c r="S36" s="3">
        <f>ROUND(0.0,2)</f>
        <v/>
      </c>
      <c r="T36" s="3">
        <f>ROUND(0.0,2)</f>
        <v/>
      </c>
      <c r="U36" s="3">
        <f>ROUND(0.0,2)</f>
        <v/>
      </c>
      <c r="V36" s="3">
        <f>ROUND(0.0,2)</f>
        <v/>
      </c>
      <c r="W36" s="4">
        <f>IFERROR((Q36/P36),0)</f>
        <v/>
      </c>
      <c r="X36" s="4">
        <f>IFERROR(((0+O11+O12+O13+O14+O15+O16+O17+O19+O20+O21+O22+O23+O24+O25+O27+O28+O29+O30+O31+O32+O33+O35+O36)/T2),0)</f>
        <v/>
      </c>
      <c r="Y36" s="5">
        <f>IFERROR(ROUND(O36/Q36,2),0)</f>
        <v/>
      </c>
      <c r="Z36" s="5">
        <f>IFERROR(ROUND(O36/R36,2),0)</f>
        <v/>
      </c>
      <c r="AA36" s="2" t="inlineStr">
        <is>
          <t>2023-10-12</t>
        </is>
      </c>
      <c r="AB36" s="5">
        <f>ROUND(0.0,2)</f>
        <v/>
      </c>
      <c r="AC36" s="3">
        <f>ROUND(0.0,2)</f>
        <v/>
      </c>
      <c r="AD36" s="3">
        <f>ROUND(0.0,2)</f>
        <v/>
      </c>
      <c r="AE36" s="3">
        <f>ROUND(0.0,2)</f>
        <v/>
      </c>
      <c r="AF36" s="3">
        <f>ROUND(0.0,2)</f>
        <v/>
      </c>
      <c r="AG36" s="3">
        <f>ROUND(0.0,2)</f>
        <v/>
      </c>
      <c r="AH36" s="3">
        <f>ROUND(0.0,2)</f>
        <v/>
      </c>
      <c r="AI36" s="3">
        <f>ROUND(0.0,2)</f>
        <v/>
      </c>
      <c r="AJ36" s="4">
        <f>IFERROR((AD36/AC36),0)</f>
        <v/>
      </c>
      <c r="AK36" s="4">
        <f>IFERROR(((0+AB11+AB12+AB13+AB14+AB15+AB16+AB17+AB19+AB20+AB21+AB22+AB23+AB24+AB25+AB27+AB28+AB29+AB30+AB31+AB32+AB33+AB35+AB36)/T2),0)</f>
        <v/>
      </c>
      <c r="AL36" s="5">
        <f>IFERROR(ROUND(AB36/AD36,2),0)</f>
        <v/>
      </c>
      <c r="AM36" s="5">
        <f>IFERROR(ROUND(AB36/AE36,2),0)</f>
        <v/>
      </c>
      <c r="AN36" s="2" t="inlineStr">
        <is>
          <t>2023-10-12</t>
        </is>
      </c>
      <c r="AO36" s="5">
        <f>ROUND(0.0,2)</f>
        <v/>
      </c>
      <c r="AP36" s="3">
        <f>ROUND(0.0,2)</f>
        <v/>
      </c>
      <c r="AQ36" s="3">
        <f>ROUND(0.0,2)</f>
        <v/>
      </c>
      <c r="AR36" s="3">
        <f>ROUND(0.0,2)</f>
        <v/>
      </c>
      <c r="AS36" s="3">
        <f>ROUND(0.0,2)</f>
        <v/>
      </c>
      <c r="AT36" s="3">
        <f>ROUND(0.0,2)</f>
        <v/>
      </c>
      <c r="AU36" s="3">
        <f>ROUND(0.0,2)</f>
        <v/>
      </c>
      <c r="AV36" s="3">
        <f>ROUND(0.0,2)</f>
        <v/>
      </c>
      <c r="AW36" s="4">
        <f>IFERROR((AQ36/AP36),0)</f>
        <v/>
      </c>
      <c r="AX36" s="4">
        <f>IFERROR(((0+AO11+AO12+AO13+AO14+AO15+AO16+AO17+AO19+AO20+AO21+AO22+AO23+AO24+AO25+AO27+AO28+AO29+AO30+AO31+AO32+AO33+AO35+AO36)/T2),0)</f>
        <v/>
      </c>
      <c r="AY36" s="5">
        <f>IFERROR(ROUND(AO36/AQ36,2),0)</f>
        <v/>
      </c>
      <c r="AZ36" s="5">
        <f>IFERROR(ROUND(AO36/AR36,2),0)</f>
        <v/>
      </c>
      <c r="BA36" s="2" t="inlineStr">
        <is>
          <t>2023-10-12</t>
        </is>
      </c>
      <c r="BB36" s="5">
        <f>ROUND(0.0,2)</f>
        <v/>
      </c>
      <c r="BC36" s="3">
        <f>ROUND(0.0,2)</f>
        <v/>
      </c>
      <c r="BD36" s="3">
        <f>ROUND(0.0,2)</f>
        <v/>
      </c>
      <c r="BE36" s="3">
        <f>ROUND(0.0,2)</f>
        <v/>
      </c>
      <c r="BF36" s="3">
        <f>ROUND(0.0,2)</f>
        <v/>
      </c>
      <c r="BG36" s="3">
        <f>ROUND(0.0,2)</f>
        <v/>
      </c>
      <c r="BH36" s="3">
        <f>ROUND(0.0,2)</f>
        <v/>
      </c>
      <c r="BI36" s="3">
        <f>ROUND(0.0,2)</f>
        <v/>
      </c>
      <c r="BJ36" s="4">
        <f>IFERROR((BD36/BC36),0)</f>
        <v/>
      </c>
      <c r="BK36" s="4">
        <f>IFERROR(((0+BB11+BB12+BB13+BB14+BB15+BB16+BB17+BB19+BB20+BB21+BB22+BB23+BB24+BB25+BB27+BB28+BB29+BB30+BB31+BB32+BB33+BB35+BB36)/T2),0)</f>
        <v/>
      </c>
      <c r="BL36" s="5">
        <f>IFERROR(ROUND(BB36/BD36,2),0)</f>
        <v/>
      </c>
      <c r="BM36" s="5">
        <f>IFERROR(ROUND(BB36/BE36,2),0)</f>
        <v/>
      </c>
    </row>
    <row r="37">
      <c r="A37" s="2" t="inlineStr">
        <is>
          <t>2023-10-13</t>
        </is>
      </c>
      <c r="B37" s="5">
        <f>ROUND(0.0,2)</f>
        <v/>
      </c>
      <c r="C37" s="3">
        <f>ROUND(0.0,2)</f>
        <v/>
      </c>
      <c r="D37" s="3">
        <f>ROUND(0.0,2)</f>
        <v/>
      </c>
      <c r="E37" s="3">
        <f>ROUND(0.0,2)</f>
        <v/>
      </c>
      <c r="F37" s="3">
        <f>ROUND(0.0,2)</f>
        <v/>
      </c>
      <c r="G37" s="3">
        <f>ROUND(0.0,2)</f>
        <v/>
      </c>
      <c r="H37" s="3">
        <f>ROUND(0.0,2)</f>
        <v/>
      </c>
      <c r="I37" s="3">
        <f>ROUND(0.0,2)</f>
        <v/>
      </c>
      <c r="J37" s="4">
        <f>IFERROR((D37/C37),0)</f>
        <v/>
      </c>
      <c r="K37" s="4">
        <f>IFERROR(((0+B11+B12+B13+B14+B15+B16+B17+B19+B20+B21+B22+B23+B24+B25+B27+B28+B29+B30+B31+B32+B33+B35+B36+B37)/T2),0)</f>
        <v/>
      </c>
      <c r="L37" s="5">
        <f>IFERROR(ROUND(B37/D37,2),0)</f>
        <v/>
      </c>
      <c r="M37" s="5">
        <f>IFERROR(ROUND(B37/E37,2),0)</f>
        <v/>
      </c>
      <c r="N37" s="2" t="inlineStr">
        <is>
          <t>2023-10-13</t>
        </is>
      </c>
      <c r="O37" s="5">
        <f>ROUND(0.0,2)</f>
        <v/>
      </c>
      <c r="P37" s="3">
        <f>ROUND(0.0,2)</f>
        <v/>
      </c>
      <c r="Q37" s="3">
        <f>ROUND(0.0,2)</f>
        <v/>
      </c>
      <c r="R37" s="3">
        <f>ROUND(0.0,2)</f>
        <v/>
      </c>
      <c r="S37" s="3">
        <f>ROUND(0.0,2)</f>
        <v/>
      </c>
      <c r="T37" s="3">
        <f>ROUND(0.0,2)</f>
        <v/>
      </c>
      <c r="U37" s="3">
        <f>ROUND(0.0,2)</f>
        <v/>
      </c>
      <c r="V37" s="3">
        <f>ROUND(0.0,2)</f>
        <v/>
      </c>
      <c r="W37" s="4">
        <f>IFERROR((Q37/P37),0)</f>
        <v/>
      </c>
      <c r="X37" s="4">
        <f>IFERROR(((0+O11+O12+O13+O14+O15+O16+O17+O19+O20+O21+O22+O23+O24+O25+O27+O28+O29+O30+O31+O32+O33+O35+O36+O37)/T2),0)</f>
        <v/>
      </c>
      <c r="Y37" s="5">
        <f>IFERROR(ROUND(O37/Q37,2),0)</f>
        <v/>
      </c>
      <c r="Z37" s="5">
        <f>IFERROR(ROUND(O37/R37,2),0)</f>
        <v/>
      </c>
      <c r="AA37" s="2" t="inlineStr">
        <is>
          <t>2023-10-13</t>
        </is>
      </c>
      <c r="AB37" s="5">
        <f>ROUND(0.0,2)</f>
        <v/>
      </c>
      <c r="AC37" s="3">
        <f>ROUND(0.0,2)</f>
        <v/>
      </c>
      <c r="AD37" s="3">
        <f>ROUND(0.0,2)</f>
        <v/>
      </c>
      <c r="AE37" s="3">
        <f>ROUND(0.0,2)</f>
        <v/>
      </c>
      <c r="AF37" s="3">
        <f>ROUND(0.0,2)</f>
        <v/>
      </c>
      <c r="AG37" s="3">
        <f>ROUND(0.0,2)</f>
        <v/>
      </c>
      <c r="AH37" s="3">
        <f>ROUND(0.0,2)</f>
        <v/>
      </c>
      <c r="AI37" s="3">
        <f>ROUND(0.0,2)</f>
        <v/>
      </c>
      <c r="AJ37" s="4">
        <f>IFERROR((AD37/AC37),0)</f>
        <v/>
      </c>
      <c r="AK37" s="4">
        <f>IFERROR(((0+AB11+AB12+AB13+AB14+AB15+AB16+AB17+AB19+AB20+AB21+AB22+AB23+AB24+AB25+AB27+AB28+AB29+AB30+AB31+AB32+AB33+AB35+AB36+AB37)/T2),0)</f>
        <v/>
      </c>
      <c r="AL37" s="5">
        <f>IFERROR(ROUND(AB37/AD37,2),0)</f>
        <v/>
      </c>
      <c r="AM37" s="5">
        <f>IFERROR(ROUND(AB37/AE37,2),0)</f>
        <v/>
      </c>
      <c r="AN37" s="2" t="inlineStr">
        <is>
          <t>2023-10-13</t>
        </is>
      </c>
      <c r="AO37" s="5">
        <f>ROUND(0.0,2)</f>
        <v/>
      </c>
      <c r="AP37" s="3">
        <f>ROUND(0.0,2)</f>
        <v/>
      </c>
      <c r="AQ37" s="3">
        <f>ROUND(0.0,2)</f>
        <v/>
      </c>
      <c r="AR37" s="3">
        <f>ROUND(0.0,2)</f>
        <v/>
      </c>
      <c r="AS37" s="3">
        <f>ROUND(0.0,2)</f>
        <v/>
      </c>
      <c r="AT37" s="3">
        <f>ROUND(0.0,2)</f>
        <v/>
      </c>
      <c r="AU37" s="3">
        <f>ROUND(0.0,2)</f>
        <v/>
      </c>
      <c r="AV37" s="3">
        <f>ROUND(0.0,2)</f>
        <v/>
      </c>
      <c r="AW37" s="4">
        <f>IFERROR((AQ37/AP37),0)</f>
        <v/>
      </c>
      <c r="AX37" s="4">
        <f>IFERROR(((0+AO11+AO12+AO13+AO14+AO15+AO16+AO17+AO19+AO20+AO21+AO22+AO23+AO24+AO25+AO27+AO28+AO29+AO30+AO31+AO32+AO33+AO35+AO36+AO37)/T2),0)</f>
        <v/>
      </c>
      <c r="AY37" s="5">
        <f>IFERROR(ROUND(AO37/AQ37,2),0)</f>
        <v/>
      </c>
      <c r="AZ37" s="5">
        <f>IFERROR(ROUND(AO37/AR37,2),0)</f>
        <v/>
      </c>
      <c r="BA37" s="2" t="inlineStr">
        <is>
          <t>2023-10-13</t>
        </is>
      </c>
      <c r="BB37" s="5">
        <f>ROUND(0.0,2)</f>
        <v/>
      </c>
      <c r="BC37" s="3">
        <f>ROUND(0.0,2)</f>
        <v/>
      </c>
      <c r="BD37" s="3">
        <f>ROUND(0.0,2)</f>
        <v/>
      </c>
      <c r="BE37" s="3">
        <f>ROUND(0.0,2)</f>
        <v/>
      </c>
      <c r="BF37" s="3">
        <f>ROUND(0.0,2)</f>
        <v/>
      </c>
      <c r="BG37" s="3">
        <f>ROUND(0.0,2)</f>
        <v/>
      </c>
      <c r="BH37" s="3">
        <f>ROUND(0.0,2)</f>
        <v/>
      </c>
      <c r="BI37" s="3">
        <f>ROUND(0.0,2)</f>
        <v/>
      </c>
      <c r="BJ37" s="4">
        <f>IFERROR((BD37/BC37),0)</f>
        <v/>
      </c>
      <c r="BK37" s="4">
        <f>IFERROR(((0+BB11+BB12+BB13+BB14+BB15+BB16+BB17+BB19+BB20+BB21+BB22+BB23+BB24+BB25+BB27+BB28+BB29+BB30+BB31+BB32+BB33+BB35+BB36+BB37)/T2),0)</f>
        <v/>
      </c>
      <c r="BL37" s="5">
        <f>IFERROR(ROUND(BB37/BD37,2),0)</f>
        <v/>
      </c>
      <c r="BM37" s="5">
        <f>IFERROR(ROUND(BB37/BE37,2),0)</f>
        <v/>
      </c>
    </row>
    <row r="38">
      <c r="A38" s="2" t="inlineStr">
        <is>
          <t>2023-10-14</t>
        </is>
      </c>
      <c r="B38" s="5">
        <f>ROUND(0.0,2)</f>
        <v/>
      </c>
      <c r="C38" s="3">
        <f>ROUND(0.0,2)</f>
        <v/>
      </c>
      <c r="D38" s="3">
        <f>ROUND(0.0,2)</f>
        <v/>
      </c>
      <c r="E38" s="3">
        <f>ROUND(0.0,2)</f>
        <v/>
      </c>
      <c r="F38" s="3">
        <f>ROUND(0.0,2)</f>
        <v/>
      </c>
      <c r="G38" s="3">
        <f>ROUND(0.0,2)</f>
        <v/>
      </c>
      <c r="H38" s="3">
        <f>ROUND(0.0,2)</f>
        <v/>
      </c>
      <c r="I38" s="3">
        <f>ROUND(0.0,2)</f>
        <v/>
      </c>
      <c r="J38" s="4">
        <f>IFERROR((D38/C38),0)</f>
        <v/>
      </c>
      <c r="K38" s="4">
        <f>IFERROR(((0+B11+B12+B13+B14+B15+B16+B17+B19+B20+B21+B22+B23+B24+B25+B27+B28+B29+B30+B31+B32+B33+B35+B36+B37+B38)/T2),0)</f>
        <v/>
      </c>
      <c r="L38" s="5">
        <f>IFERROR(ROUND(B38/D38,2),0)</f>
        <v/>
      </c>
      <c r="M38" s="5">
        <f>IFERROR(ROUND(B38/E38,2),0)</f>
        <v/>
      </c>
      <c r="N38" s="2" t="inlineStr">
        <is>
          <t>2023-10-14</t>
        </is>
      </c>
      <c r="O38" s="5">
        <f>ROUND(0.0,2)</f>
        <v/>
      </c>
      <c r="P38" s="3">
        <f>ROUND(0.0,2)</f>
        <v/>
      </c>
      <c r="Q38" s="3">
        <f>ROUND(0.0,2)</f>
        <v/>
      </c>
      <c r="R38" s="3">
        <f>ROUND(0.0,2)</f>
        <v/>
      </c>
      <c r="S38" s="3">
        <f>ROUND(0.0,2)</f>
        <v/>
      </c>
      <c r="T38" s="3">
        <f>ROUND(0.0,2)</f>
        <v/>
      </c>
      <c r="U38" s="3">
        <f>ROUND(0.0,2)</f>
        <v/>
      </c>
      <c r="V38" s="3">
        <f>ROUND(0.0,2)</f>
        <v/>
      </c>
      <c r="W38" s="4">
        <f>IFERROR((Q38/P38),0)</f>
        <v/>
      </c>
      <c r="X38" s="4">
        <f>IFERROR(((0+O11+O12+O13+O14+O15+O16+O17+O19+O20+O21+O22+O23+O24+O25+O27+O28+O29+O30+O31+O32+O33+O35+O36+O37+O38)/T2),0)</f>
        <v/>
      </c>
      <c r="Y38" s="5">
        <f>IFERROR(ROUND(O38/Q38,2),0)</f>
        <v/>
      </c>
      <c r="Z38" s="5">
        <f>IFERROR(ROUND(O38/R38,2),0)</f>
        <v/>
      </c>
      <c r="AA38" s="2" t="inlineStr">
        <is>
          <t>2023-10-14</t>
        </is>
      </c>
      <c r="AB38" s="5">
        <f>ROUND(0.0,2)</f>
        <v/>
      </c>
      <c r="AC38" s="3">
        <f>ROUND(0.0,2)</f>
        <v/>
      </c>
      <c r="AD38" s="3">
        <f>ROUND(0.0,2)</f>
        <v/>
      </c>
      <c r="AE38" s="3">
        <f>ROUND(0.0,2)</f>
        <v/>
      </c>
      <c r="AF38" s="3">
        <f>ROUND(0.0,2)</f>
        <v/>
      </c>
      <c r="AG38" s="3">
        <f>ROUND(0.0,2)</f>
        <v/>
      </c>
      <c r="AH38" s="3">
        <f>ROUND(0.0,2)</f>
        <v/>
      </c>
      <c r="AI38" s="3">
        <f>ROUND(0.0,2)</f>
        <v/>
      </c>
      <c r="AJ38" s="4">
        <f>IFERROR((AD38/AC38),0)</f>
        <v/>
      </c>
      <c r="AK38" s="4">
        <f>IFERROR(((0+AB11+AB12+AB13+AB14+AB15+AB16+AB17+AB19+AB20+AB21+AB22+AB23+AB24+AB25+AB27+AB28+AB29+AB30+AB31+AB32+AB33+AB35+AB36+AB37+AB38)/T2),0)</f>
        <v/>
      </c>
      <c r="AL38" s="5">
        <f>IFERROR(ROUND(AB38/AD38,2),0)</f>
        <v/>
      </c>
      <c r="AM38" s="5">
        <f>IFERROR(ROUND(AB38/AE38,2),0)</f>
        <v/>
      </c>
      <c r="AN38" s="2" t="inlineStr">
        <is>
          <t>2023-10-14</t>
        </is>
      </c>
      <c r="AO38" s="5">
        <f>ROUND(0.0,2)</f>
        <v/>
      </c>
      <c r="AP38" s="3">
        <f>ROUND(0.0,2)</f>
        <v/>
      </c>
      <c r="AQ38" s="3">
        <f>ROUND(0.0,2)</f>
        <v/>
      </c>
      <c r="AR38" s="3">
        <f>ROUND(0.0,2)</f>
        <v/>
      </c>
      <c r="AS38" s="3">
        <f>ROUND(0.0,2)</f>
        <v/>
      </c>
      <c r="AT38" s="3">
        <f>ROUND(0.0,2)</f>
        <v/>
      </c>
      <c r="AU38" s="3">
        <f>ROUND(0.0,2)</f>
        <v/>
      </c>
      <c r="AV38" s="3">
        <f>ROUND(0.0,2)</f>
        <v/>
      </c>
      <c r="AW38" s="4">
        <f>IFERROR((AQ38/AP38),0)</f>
        <v/>
      </c>
      <c r="AX38" s="4">
        <f>IFERROR(((0+AO11+AO12+AO13+AO14+AO15+AO16+AO17+AO19+AO20+AO21+AO22+AO23+AO24+AO25+AO27+AO28+AO29+AO30+AO31+AO32+AO33+AO35+AO36+AO37+AO38)/T2),0)</f>
        <v/>
      </c>
      <c r="AY38" s="5">
        <f>IFERROR(ROUND(AO38/AQ38,2),0)</f>
        <v/>
      </c>
      <c r="AZ38" s="5">
        <f>IFERROR(ROUND(AO38/AR38,2),0)</f>
        <v/>
      </c>
      <c r="BA38" s="2" t="inlineStr">
        <is>
          <t>2023-10-14</t>
        </is>
      </c>
      <c r="BB38" s="5">
        <f>ROUND(0.0,2)</f>
        <v/>
      </c>
      <c r="BC38" s="3">
        <f>ROUND(0.0,2)</f>
        <v/>
      </c>
      <c r="BD38" s="3">
        <f>ROUND(0.0,2)</f>
        <v/>
      </c>
      <c r="BE38" s="3">
        <f>ROUND(0.0,2)</f>
        <v/>
      </c>
      <c r="BF38" s="3">
        <f>ROUND(0.0,2)</f>
        <v/>
      </c>
      <c r="BG38" s="3">
        <f>ROUND(0.0,2)</f>
        <v/>
      </c>
      <c r="BH38" s="3">
        <f>ROUND(0.0,2)</f>
        <v/>
      </c>
      <c r="BI38" s="3">
        <f>ROUND(0.0,2)</f>
        <v/>
      </c>
      <c r="BJ38" s="4">
        <f>IFERROR((BD38/BC38),0)</f>
        <v/>
      </c>
      <c r="BK38" s="4">
        <f>IFERROR(((0+BB11+BB12+BB13+BB14+BB15+BB16+BB17+BB19+BB20+BB21+BB22+BB23+BB24+BB25+BB27+BB28+BB29+BB30+BB31+BB32+BB33+BB35+BB36+BB37+BB38)/T2),0)</f>
        <v/>
      </c>
      <c r="BL38" s="5">
        <f>IFERROR(ROUND(BB38/BD38,2),0)</f>
        <v/>
      </c>
      <c r="BM38" s="5">
        <f>IFERROR(ROUND(BB38/BE38,2),0)</f>
        <v/>
      </c>
    </row>
    <row r="39">
      <c r="A39" s="2" t="inlineStr">
        <is>
          <t>2023-10-15</t>
        </is>
      </c>
      <c r="B39" s="5">
        <f>ROUND(0.0,2)</f>
        <v/>
      </c>
      <c r="C39" s="3">
        <f>ROUND(0.0,2)</f>
        <v/>
      </c>
      <c r="D39" s="3">
        <f>ROUND(0.0,2)</f>
        <v/>
      </c>
      <c r="E39" s="3">
        <f>ROUND(0.0,2)</f>
        <v/>
      </c>
      <c r="F39" s="3">
        <f>ROUND(0.0,2)</f>
        <v/>
      </c>
      <c r="G39" s="3">
        <f>ROUND(0.0,2)</f>
        <v/>
      </c>
      <c r="H39" s="3">
        <f>ROUND(0.0,2)</f>
        <v/>
      </c>
      <c r="I39" s="3">
        <f>ROUND(0.0,2)</f>
        <v/>
      </c>
      <c r="J39" s="4">
        <f>IFERROR((D39/C39),0)</f>
        <v/>
      </c>
      <c r="K39" s="4">
        <f>IFERROR(((0+B11+B12+B13+B14+B15+B16+B17+B19+B20+B21+B22+B23+B24+B25+B27+B28+B29+B30+B31+B32+B33+B35+B36+B37+B38+B39)/T2),0)</f>
        <v/>
      </c>
      <c r="L39" s="5">
        <f>IFERROR(ROUND(B39/D39,2),0)</f>
        <v/>
      </c>
      <c r="M39" s="5">
        <f>IFERROR(ROUND(B39/E39,2),0)</f>
        <v/>
      </c>
      <c r="N39" s="2" t="inlineStr">
        <is>
          <t>2023-10-15</t>
        </is>
      </c>
      <c r="O39" s="5">
        <f>ROUND(0.0,2)</f>
        <v/>
      </c>
      <c r="P39" s="3">
        <f>ROUND(0.0,2)</f>
        <v/>
      </c>
      <c r="Q39" s="3">
        <f>ROUND(0.0,2)</f>
        <v/>
      </c>
      <c r="R39" s="3">
        <f>ROUND(0.0,2)</f>
        <v/>
      </c>
      <c r="S39" s="3">
        <f>ROUND(0.0,2)</f>
        <v/>
      </c>
      <c r="T39" s="3">
        <f>ROUND(0.0,2)</f>
        <v/>
      </c>
      <c r="U39" s="3">
        <f>ROUND(0.0,2)</f>
        <v/>
      </c>
      <c r="V39" s="3">
        <f>ROUND(0.0,2)</f>
        <v/>
      </c>
      <c r="W39" s="4">
        <f>IFERROR((Q39/P39),0)</f>
        <v/>
      </c>
      <c r="X39" s="4">
        <f>IFERROR(((0+O11+O12+O13+O14+O15+O16+O17+O19+O20+O21+O22+O23+O24+O25+O27+O28+O29+O30+O31+O32+O33+O35+O36+O37+O38+O39)/T2),0)</f>
        <v/>
      </c>
      <c r="Y39" s="5">
        <f>IFERROR(ROUND(O39/Q39,2),0)</f>
        <v/>
      </c>
      <c r="Z39" s="5">
        <f>IFERROR(ROUND(O39/R39,2),0)</f>
        <v/>
      </c>
      <c r="AA39" s="2" t="inlineStr">
        <is>
          <t>2023-10-15</t>
        </is>
      </c>
      <c r="AB39" s="5">
        <f>ROUND(0.0,2)</f>
        <v/>
      </c>
      <c r="AC39" s="3">
        <f>ROUND(0.0,2)</f>
        <v/>
      </c>
      <c r="AD39" s="3">
        <f>ROUND(0.0,2)</f>
        <v/>
      </c>
      <c r="AE39" s="3">
        <f>ROUND(0.0,2)</f>
        <v/>
      </c>
      <c r="AF39" s="3">
        <f>ROUND(0.0,2)</f>
        <v/>
      </c>
      <c r="AG39" s="3">
        <f>ROUND(0.0,2)</f>
        <v/>
      </c>
      <c r="AH39" s="3">
        <f>ROUND(0.0,2)</f>
        <v/>
      </c>
      <c r="AI39" s="3">
        <f>ROUND(0.0,2)</f>
        <v/>
      </c>
      <c r="AJ39" s="4">
        <f>IFERROR((AD39/AC39),0)</f>
        <v/>
      </c>
      <c r="AK39" s="4">
        <f>IFERROR(((0+AB11+AB12+AB13+AB14+AB15+AB16+AB17+AB19+AB20+AB21+AB22+AB23+AB24+AB25+AB27+AB28+AB29+AB30+AB31+AB32+AB33+AB35+AB36+AB37+AB38+AB39)/T2),0)</f>
        <v/>
      </c>
      <c r="AL39" s="5">
        <f>IFERROR(ROUND(AB39/AD39,2),0)</f>
        <v/>
      </c>
      <c r="AM39" s="5">
        <f>IFERROR(ROUND(AB39/AE39,2),0)</f>
        <v/>
      </c>
      <c r="AN39" s="2" t="inlineStr">
        <is>
          <t>2023-10-15</t>
        </is>
      </c>
      <c r="AO39" s="5">
        <f>ROUND(0.0,2)</f>
        <v/>
      </c>
      <c r="AP39" s="3">
        <f>ROUND(0.0,2)</f>
        <v/>
      </c>
      <c r="AQ39" s="3">
        <f>ROUND(0.0,2)</f>
        <v/>
      </c>
      <c r="AR39" s="3">
        <f>ROUND(0.0,2)</f>
        <v/>
      </c>
      <c r="AS39" s="3">
        <f>ROUND(0.0,2)</f>
        <v/>
      </c>
      <c r="AT39" s="3">
        <f>ROUND(0.0,2)</f>
        <v/>
      </c>
      <c r="AU39" s="3">
        <f>ROUND(0.0,2)</f>
        <v/>
      </c>
      <c r="AV39" s="3">
        <f>ROUND(0.0,2)</f>
        <v/>
      </c>
      <c r="AW39" s="4">
        <f>IFERROR((AQ39/AP39),0)</f>
        <v/>
      </c>
      <c r="AX39" s="4">
        <f>IFERROR(((0+AO11+AO12+AO13+AO14+AO15+AO16+AO17+AO19+AO20+AO21+AO22+AO23+AO24+AO25+AO27+AO28+AO29+AO30+AO31+AO32+AO33+AO35+AO36+AO37+AO38+AO39)/T2),0)</f>
        <v/>
      </c>
      <c r="AY39" s="5">
        <f>IFERROR(ROUND(AO39/AQ39,2),0)</f>
        <v/>
      </c>
      <c r="AZ39" s="5">
        <f>IFERROR(ROUND(AO39/AR39,2),0)</f>
        <v/>
      </c>
      <c r="BA39" s="2" t="inlineStr">
        <is>
          <t>2023-10-15</t>
        </is>
      </c>
      <c r="BB39" s="5">
        <f>ROUND(0.0,2)</f>
        <v/>
      </c>
      <c r="BC39" s="3">
        <f>ROUND(0.0,2)</f>
        <v/>
      </c>
      <c r="BD39" s="3">
        <f>ROUND(0.0,2)</f>
        <v/>
      </c>
      <c r="BE39" s="3">
        <f>ROUND(0.0,2)</f>
        <v/>
      </c>
      <c r="BF39" s="3">
        <f>ROUND(0.0,2)</f>
        <v/>
      </c>
      <c r="BG39" s="3">
        <f>ROUND(0.0,2)</f>
        <v/>
      </c>
      <c r="BH39" s="3">
        <f>ROUND(0.0,2)</f>
        <v/>
      </c>
      <c r="BI39" s="3">
        <f>ROUND(0.0,2)</f>
        <v/>
      </c>
      <c r="BJ39" s="4">
        <f>IFERROR((BD39/BC39),0)</f>
        <v/>
      </c>
      <c r="BK39" s="4">
        <f>IFERROR(((0+BB11+BB12+BB13+BB14+BB15+BB16+BB17+BB19+BB20+BB21+BB22+BB23+BB24+BB25+BB27+BB28+BB29+BB30+BB31+BB32+BB33+BB35+BB36+BB37+BB38+BB39)/T2),0)</f>
        <v/>
      </c>
      <c r="BL39" s="5">
        <f>IFERROR(ROUND(BB39/BD39,2),0)</f>
        <v/>
      </c>
      <c r="BM39" s="5">
        <f>IFERROR(ROUND(BB39/BE39,2),0)</f>
        <v/>
      </c>
    </row>
    <row r="40">
      <c r="A40" s="2" t="inlineStr">
        <is>
          <t>2023-10-16</t>
        </is>
      </c>
      <c r="B40" s="5">
        <f>ROUND(0.0,2)</f>
        <v/>
      </c>
      <c r="C40" s="3">
        <f>ROUND(0.0,2)</f>
        <v/>
      </c>
      <c r="D40" s="3">
        <f>ROUND(0.0,2)</f>
        <v/>
      </c>
      <c r="E40" s="3">
        <f>ROUND(0.0,2)</f>
        <v/>
      </c>
      <c r="F40" s="3">
        <f>ROUND(0.0,2)</f>
        <v/>
      </c>
      <c r="G40" s="3">
        <f>ROUND(0.0,2)</f>
        <v/>
      </c>
      <c r="H40" s="3">
        <f>ROUND(0.0,2)</f>
        <v/>
      </c>
      <c r="I40" s="3">
        <f>ROUND(0.0,2)</f>
        <v/>
      </c>
      <c r="J40" s="4">
        <f>IFERROR((D40/C40),0)</f>
        <v/>
      </c>
      <c r="K40" s="4">
        <f>IFERROR(((0+B11+B12+B13+B14+B15+B16+B17+B19+B20+B21+B22+B23+B24+B25+B27+B28+B29+B30+B31+B32+B33+B35+B36+B37+B38+B39+B40)/T2),0)</f>
        <v/>
      </c>
      <c r="L40" s="5">
        <f>IFERROR(ROUND(B40/D40,2),0)</f>
        <v/>
      </c>
      <c r="M40" s="5">
        <f>IFERROR(ROUND(B40/E40,2),0)</f>
        <v/>
      </c>
      <c r="N40" s="2" t="inlineStr">
        <is>
          <t>2023-10-16</t>
        </is>
      </c>
      <c r="O40" s="5">
        <f>ROUND(0.0,2)</f>
        <v/>
      </c>
      <c r="P40" s="3">
        <f>ROUND(0.0,2)</f>
        <v/>
      </c>
      <c r="Q40" s="3">
        <f>ROUND(0.0,2)</f>
        <v/>
      </c>
      <c r="R40" s="3">
        <f>ROUND(0.0,2)</f>
        <v/>
      </c>
      <c r="S40" s="3">
        <f>ROUND(0.0,2)</f>
        <v/>
      </c>
      <c r="T40" s="3">
        <f>ROUND(0.0,2)</f>
        <v/>
      </c>
      <c r="U40" s="3">
        <f>ROUND(0.0,2)</f>
        <v/>
      </c>
      <c r="V40" s="3">
        <f>ROUND(0.0,2)</f>
        <v/>
      </c>
      <c r="W40" s="4">
        <f>IFERROR((Q40/P40),0)</f>
        <v/>
      </c>
      <c r="X40" s="4">
        <f>IFERROR(((0+O11+O12+O13+O14+O15+O16+O17+O19+O20+O21+O22+O23+O24+O25+O27+O28+O29+O30+O31+O32+O33+O35+O36+O37+O38+O39+O40)/T2),0)</f>
        <v/>
      </c>
      <c r="Y40" s="5">
        <f>IFERROR(ROUND(O40/Q40,2),0)</f>
        <v/>
      </c>
      <c r="Z40" s="5">
        <f>IFERROR(ROUND(O40/R40,2),0)</f>
        <v/>
      </c>
      <c r="AA40" s="2" t="inlineStr">
        <is>
          <t>2023-10-16</t>
        </is>
      </c>
      <c r="AB40" s="5">
        <f>ROUND(0.0,2)</f>
        <v/>
      </c>
      <c r="AC40" s="3">
        <f>ROUND(0.0,2)</f>
        <v/>
      </c>
      <c r="AD40" s="3">
        <f>ROUND(0.0,2)</f>
        <v/>
      </c>
      <c r="AE40" s="3">
        <f>ROUND(0.0,2)</f>
        <v/>
      </c>
      <c r="AF40" s="3">
        <f>ROUND(0.0,2)</f>
        <v/>
      </c>
      <c r="AG40" s="3">
        <f>ROUND(0.0,2)</f>
        <v/>
      </c>
      <c r="AH40" s="3">
        <f>ROUND(0.0,2)</f>
        <v/>
      </c>
      <c r="AI40" s="3">
        <f>ROUND(0.0,2)</f>
        <v/>
      </c>
      <c r="AJ40" s="4">
        <f>IFERROR((AD40/AC40),0)</f>
        <v/>
      </c>
      <c r="AK40" s="4">
        <f>IFERROR(((0+AB11+AB12+AB13+AB14+AB15+AB16+AB17+AB19+AB20+AB21+AB22+AB23+AB24+AB25+AB27+AB28+AB29+AB30+AB31+AB32+AB33+AB35+AB36+AB37+AB38+AB39+AB40)/T2),0)</f>
        <v/>
      </c>
      <c r="AL40" s="5">
        <f>IFERROR(ROUND(AB40/AD40,2),0)</f>
        <v/>
      </c>
      <c r="AM40" s="5">
        <f>IFERROR(ROUND(AB40/AE40,2),0)</f>
        <v/>
      </c>
      <c r="AN40" s="2" t="inlineStr">
        <is>
          <t>2023-10-16</t>
        </is>
      </c>
      <c r="AO40" s="5">
        <f>ROUND(0.0,2)</f>
        <v/>
      </c>
      <c r="AP40" s="3">
        <f>ROUND(0.0,2)</f>
        <v/>
      </c>
      <c r="AQ40" s="3">
        <f>ROUND(0.0,2)</f>
        <v/>
      </c>
      <c r="AR40" s="3">
        <f>ROUND(0.0,2)</f>
        <v/>
      </c>
      <c r="AS40" s="3">
        <f>ROUND(0.0,2)</f>
        <v/>
      </c>
      <c r="AT40" s="3">
        <f>ROUND(0.0,2)</f>
        <v/>
      </c>
      <c r="AU40" s="3">
        <f>ROUND(0.0,2)</f>
        <v/>
      </c>
      <c r="AV40" s="3">
        <f>ROUND(0.0,2)</f>
        <v/>
      </c>
      <c r="AW40" s="4">
        <f>IFERROR((AQ40/AP40),0)</f>
        <v/>
      </c>
      <c r="AX40" s="4">
        <f>IFERROR(((0+AO11+AO12+AO13+AO14+AO15+AO16+AO17+AO19+AO20+AO21+AO22+AO23+AO24+AO25+AO27+AO28+AO29+AO30+AO31+AO32+AO33+AO35+AO36+AO37+AO38+AO39+AO40)/T2),0)</f>
        <v/>
      </c>
      <c r="AY40" s="5">
        <f>IFERROR(ROUND(AO40/AQ40,2),0)</f>
        <v/>
      </c>
      <c r="AZ40" s="5">
        <f>IFERROR(ROUND(AO40/AR40,2),0)</f>
        <v/>
      </c>
      <c r="BA40" s="2" t="inlineStr">
        <is>
          <t>2023-10-16</t>
        </is>
      </c>
      <c r="BB40" s="5">
        <f>ROUND(0.0,2)</f>
        <v/>
      </c>
      <c r="BC40" s="3">
        <f>ROUND(0.0,2)</f>
        <v/>
      </c>
      <c r="BD40" s="3">
        <f>ROUND(0.0,2)</f>
        <v/>
      </c>
      <c r="BE40" s="3">
        <f>ROUND(0.0,2)</f>
        <v/>
      </c>
      <c r="BF40" s="3">
        <f>ROUND(0.0,2)</f>
        <v/>
      </c>
      <c r="BG40" s="3">
        <f>ROUND(0.0,2)</f>
        <v/>
      </c>
      <c r="BH40" s="3">
        <f>ROUND(0.0,2)</f>
        <v/>
      </c>
      <c r="BI40" s="3">
        <f>ROUND(0.0,2)</f>
        <v/>
      </c>
      <c r="BJ40" s="4">
        <f>IFERROR((BD40/BC40),0)</f>
        <v/>
      </c>
      <c r="BK40" s="4">
        <f>IFERROR(((0+BB11+BB12+BB13+BB14+BB15+BB16+BB17+BB19+BB20+BB21+BB22+BB23+BB24+BB25+BB27+BB28+BB29+BB30+BB31+BB32+BB33+BB35+BB36+BB37+BB38+BB39+BB40)/T2),0)</f>
        <v/>
      </c>
      <c r="BL40" s="5">
        <f>IFERROR(ROUND(BB40/BD40,2),0)</f>
        <v/>
      </c>
      <c r="BM40" s="5">
        <f>IFERROR(ROUND(BB40/BE40,2),0)</f>
        <v/>
      </c>
    </row>
    <row r="41">
      <c r="A41" s="2" t="inlineStr">
        <is>
          <t>2023-10-17</t>
        </is>
      </c>
      <c r="B41" s="5">
        <f>ROUND(0.0,2)</f>
        <v/>
      </c>
      <c r="C41" s="3">
        <f>ROUND(0.0,2)</f>
        <v/>
      </c>
      <c r="D41" s="3">
        <f>ROUND(0.0,2)</f>
        <v/>
      </c>
      <c r="E41" s="3">
        <f>ROUND(0.0,2)</f>
        <v/>
      </c>
      <c r="F41" s="3">
        <f>ROUND(0.0,2)</f>
        <v/>
      </c>
      <c r="G41" s="3">
        <f>ROUND(0.0,2)</f>
        <v/>
      </c>
      <c r="H41" s="3">
        <f>ROUND(0.0,2)</f>
        <v/>
      </c>
      <c r="I41" s="3">
        <f>ROUND(0.0,2)</f>
        <v/>
      </c>
      <c r="J41" s="4">
        <f>IFERROR((D41/C41),0)</f>
        <v/>
      </c>
      <c r="K41" s="4">
        <f>IFERROR(((0+B11+B12+B13+B14+B15+B16+B17+B19+B20+B21+B22+B23+B24+B25+B27+B28+B29+B30+B31+B32+B33+B35+B36+B37+B38+B39+B40+B41)/T2),0)</f>
        <v/>
      </c>
      <c r="L41" s="5">
        <f>IFERROR(ROUND(B41/D41,2),0)</f>
        <v/>
      </c>
      <c r="M41" s="5">
        <f>IFERROR(ROUND(B41/E41,2),0)</f>
        <v/>
      </c>
      <c r="N41" s="2" t="inlineStr">
        <is>
          <t>2023-10-17</t>
        </is>
      </c>
      <c r="O41" s="5">
        <f>ROUND(0.0,2)</f>
        <v/>
      </c>
      <c r="P41" s="3">
        <f>ROUND(0.0,2)</f>
        <v/>
      </c>
      <c r="Q41" s="3">
        <f>ROUND(0.0,2)</f>
        <v/>
      </c>
      <c r="R41" s="3">
        <f>ROUND(0.0,2)</f>
        <v/>
      </c>
      <c r="S41" s="3">
        <f>ROUND(0.0,2)</f>
        <v/>
      </c>
      <c r="T41" s="3">
        <f>ROUND(0.0,2)</f>
        <v/>
      </c>
      <c r="U41" s="3">
        <f>ROUND(0.0,2)</f>
        <v/>
      </c>
      <c r="V41" s="3">
        <f>ROUND(0.0,2)</f>
        <v/>
      </c>
      <c r="W41" s="4">
        <f>IFERROR((Q41/P41),0)</f>
        <v/>
      </c>
      <c r="X41" s="4">
        <f>IFERROR(((0+O11+O12+O13+O14+O15+O16+O17+O19+O20+O21+O22+O23+O24+O25+O27+O28+O29+O30+O31+O32+O33+O35+O36+O37+O38+O39+O40+O41)/T2),0)</f>
        <v/>
      </c>
      <c r="Y41" s="5">
        <f>IFERROR(ROUND(O41/Q41,2),0)</f>
        <v/>
      </c>
      <c r="Z41" s="5">
        <f>IFERROR(ROUND(O41/R41,2),0)</f>
        <v/>
      </c>
      <c r="AA41" s="2" t="inlineStr">
        <is>
          <t>2023-10-17</t>
        </is>
      </c>
      <c r="AB41" s="5">
        <f>ROUND(0.0,2)</f>
        <v/>
      </c>
      <c r="AC41" s="3">
        <f>ROUND(0.0,2)</f>
        <v/>
      </c>
      <c r="AD41" s="3">
        <f>ROUND(0.0,2)</f>
        <v/>
      </c>
      <c r="AE41" s="3">
        <f>ROUND(0.0,2)</f>
        <v/>
      </c>
      <c r="AF41" s="3">
        <f>ROUND(0.0,2)</f>
        <v/>
      </c>
      <c r="AG41" s="3">
        <f>ROUND(0.0,2)</f>
        <v/>
      </c>
      <c r="AH41" s="3">
        <f>ROUND(0.0,2)</f>
        <v/>
      </c>
      <c r="AI41" s="3">
        <f>ROUND(0.0,2)</f>
        <v/>
      </c>
      <c r="AJ41" s="4">
        <f>IFERROR((AD41/AC41),0)</f>
        <v/>
      </c>
      <c r="AK41" s="4">
        <f>IFERROR(((0+AB11+AB12+AB13+AB14+AB15+AB16+AB17+AB19+AB20+AB21+AB22+AB23+AB24+AB25+AB27+AB28+AB29+AB30+AB31+AB32+AB33+AB35+AB36+AB37+AB38+AB39+AB40+AB41)/T2),0)</f>
        <v/>
      </c>
      <c r="AL41" s="5">
        <f>IFERROR(ROUND(AB41/AD41,2),0)</f>
        <v/>
      </c>
      <c r="AM41" s="5">
        <f>IFERROR(ROUND(AB41/AE41,2),0)</f>
        <v/>
      </c>
      <c r="AN41" s="2" t="inlineStr">
        <is>
          <t>2023-10-17</t>
        </is>
      </c>
      <c r="AO41" s="5">
        <f>ROUND(0.0,2)</f>
        <v/>
      </c>
      <c r="AP41" s="3">
        <f>ROUND(0.0,2)</f>
        <v/>
      </c>
      <c r="AQ41" s="3">
        <f>ROUND(0.0,2)</f>
        <v/>
      </c>
      <c r="AR41" s="3">
        <f>ROUND(0.0,2)</f>
        <v/>
      </c>
      <c r="AS41" s="3">
        <f>ROUND(0.0,2)</f>
        <v/>
      </c>
      <c r="AT41" s="3">
        <f>ROUND(0.0,2)</f>
        <v/>
      </c>
      <c r="AU41" s="3">
        <f>ROUND(0.0,2)</f>
        <v/>
      </c>
      <c r="AV41" s="3">
        <f>ROUND(0.0,2)</f>
        <v/>
      </c>
      <c r="AW41" s="4">
        <f>IFERROR((AQ41/AP41),0)</f>
        <v/>
      </c>
      <c r="AX41" s="4">
        <f>IFERROR(((0+AO11+AO12+AO13+AO14+AO15+AO16+AO17+AO19+AO20+AO21+AO22+AO23+AO24+AO25+AO27+AO28+AO29+AO30+AO31+AO32+AO33+AO35+AO36+AO37+AO38+AO39+AO40+AO41)/T2),0)</f>
        <v/>
      </c>
      <c r="AY41" s="5">
        <f>IFERROR(ROUND(AO41/AQ41,2),0)</f>
        <v/>
      </c>
      <c r="AZ41" s="5">
        <f>IFERROR(ROUND(AO41/AR41,2),0)</f>
        <v/>
      </c>
      <c r="BA41" s="2" t="inlineStr">
        <is>
          <t>2023-10-17</t>
        </is>
      </c>
      <c r="BB41" s="5">
        <f>ROUND(0.0,2)</f>
        <v/>
      </c>
      <c r="BC41" s="3">
        <f>ROUND(0.0,2)</f>
        <v/>
      </c>
      <c r="BD41" s="3">
        <f>ROUND(0.0,2)</f>
        <v/>
      </c>
      <c r="BE41" s="3">
        <f>ROUND(0.0,2)</f>
        <v/>
      </c>
      <c r="BF41" s="3">
        <f>ROUND(0.0,2)</f>
        <v/>
      </c>
      <c r="BG41" s="3">
        <f>ROUND(0.0,2)</f>
        <v/>
      </c>
      <c r="BH41" s="3">
        <f>ROUND(0.0,2)</f>
        <v/>
      </c>
      <c r="BI41" s="3">
        <f>ROUND(0.0,2)</f>
        <v/>
      </c>
      <c r="BJ41" s="4">
        <f>IFERROR((BD41/BC41),0)</f>
        <v/>
      </c>
      <c r="BK41" s="4">
        <f>IFERROR(((0+BB11+BB12+BB13+BB14+BB15+BB16+BB17+BB19+BB20+BB21+BB22+BB23+BB24+BB25+BB27+BB28+BB29+BB30+BB31+BB32+BB33+BB35+BB36+BB37+BB38+BB39+BB40+BB41)/T2),0)</f>
        <v/>
      </c>
      <c r="BL41" s="5">
        <f>IFERROR(ROUND(BB41/BD41,2),0)</f>
        <v/>
      </c>
      <c r="BM41" s="5">
        <f>IFERROR(ROUND(BB41/BE41,2),0)</f>
        <v/>
      </c>
    </row>
    <row r="42">
      <c r="A42" s="2" t="inlineStr">
        <is>
          <t>4 Weekly Total</t>
        </is>
      </c>
      <c r="B42" s="5">
        <f>ROUND(0.0,2)</f>
        <v/>
      </c>
      <c r="C42" s="3">
        <f>ROUND(0.0,2)</f>
        <v/>
      </c>
      <c r="D42" s="3">
        <f>ROUND(0.0,2)</f>
        <v/>
      </c>
      <c r="E42" s="3">
        <f>ROUND(0.0,2)</f>
        <v/>
      </c>
      <c r="F42" s="3">
        <f>ROUND(0.0,2)</f>
        <v/>
      </c>
      <c r="G42" s="3">
        <f>ROUND(0.0,2)</f>
        <v/>
      </c>
      <c r="H42" s="3">
        <f>ROUND(0.0,2)</f>
        <v/>
      </c>
      <c r="I42" s="3">
        <f>ROUND(0.0,2)</f>
        <v/>
      </c>
      <c r="J42" s="4">
        <f>IFERROR((D42/C42),0)</f>
        <v/>
      </c>
      <c r="K42" s="4">
        <f>IFERROR(((0+B11+B12+B13+B14+B15+B16+B17+B19+B20+B21+B22+B23+B24+B25+B27+B28+B29+B30+B31+B32+B33+B35+B36+B37+B38+B39+B40+B41)/T2),0)</f>
        <v/>
      </c>
      <c r="L42" s="5">
        <f>IFERROR(ROUND(B42/D42,2),0)</f>
        <v/>
      </c>
      <c r="M42" s="5">
        <f>IFERROR(ROUND(B42/E42,2),0)</f>
        <v/>
      </c>
      <c r="N42" s="2" t="inlineStr">
        <is>
          <t>4 Weekly Total</t>
        </is>
      </c>
      <c r="O42" s="5">
        <f>ROUND(0.0,2)</f>
        <v/>
      </c>
      <c r="P42" s="3">
        <f>ROUND(0.0,2)</f>
        <v/>
      </c>
      <c r="Q42" s="3">
        <f>ROUND(0.0,2)</f>
        <v/>
      </c>
      <c r="R42" s="3">
        <f>ROUND(0.0,2)</f>
        <v/>
      </c>
      <c r="S42" s="3">
        <f>ROUND(0.0,2)</f>
        <v/>
      </c>
      <c r="T42" s="3">
        <f>ROUND(0.0,2)</f>
        <v/>
      </c>
      <c r="U42" s="3">
        <f>ROUND(0.0,2)</f>
        <v/>
      </c>
      <c r="V42" s="3">
        <f>ROUND(0.0,2)</f>
        <v/>
      </c>
      <c r="W42" s="4">
        <f>IFERROR((Q42/P42),0)</f>
        <v/>
      </c>
      <c r="X42" s="4">
        <f>IFERROR(((0+O11+O12+O13+O14+O15+O16+O17+O19+O20+O21+O22+O23+O24+O25+O27+O28+O29+O30+O31+O32+O33+O35+O36+O37+O38+O39+O40+O41)/T2),0)</f>
        <v/>
      </c>
      <c r="Y42" s="5">
        <f>IFERROR(ROUND(O42/Q42,2),0)</f>
        <v/>
      </c>
      <c r="Z42" s="5">
        <f>IFERROR(ROUND(O42/R42,2),0)</f>
        <v/>
      </c>
      <c r="AA42" s="2" t="inlineStr">
        <is>
          <t>4 Weekly Total</t>
        </is>
      </c>
      <c r="AB42" s="5">
        <f>ROUND(0.0,2)</f>
        <v/>
      </c>
      <c r="AC42" s="3">
        <f>ROUND(0.0,2)</f>
        <v/>
      </c>
      <c r="AD42" s="3">
        <f>ROUND(0.0,2)</f>
        <v/>
      </c>
      <c r="AE42" s="3">
        <f>ROUND(0.0,2)</f>
        <v/>
      </c>
      <c r="AF42" s="3">
        <f>ROUND(0.0,2)</f>
        <v/>
      </c>
      <c r="AG42" s="3">
        <f>ROUND(0.0,2)</f>
        <v/>
      </c>
      <c r="AH42" s="3">
        <f>ROUND(0.0,2)</f>
        <v/>
      </c>
      <c r="AI42" s="3">
        <f>ROUND(0.0,2)</f>
        <v/>
      </c>
      <c r="AJ42" s="4">
        <f>IFERROR((AD42/AC42),0)</f>
        <v/>
      </c>
      <c r="AK42" s="4">
        <f>IFERROR(((0+AB11+AB12+AB13+AB14+AB15+AB16+AB17+AB19+AB20+AB21+AB22+AB23+AB24+AB25+AB27+AB28+AB29+AB30+AB31+AB32+AB33+AB35+AB36+AB37+AB38+AB39+AB40+AB41)/T2),0)</f>
        <v/>
      </c>
      <c r="AL42" s="5">
        <f>IFERROR(ROUND(AB42/AD42,2),0)</f>
        <v/>
      </c>
      <c r="AM42" s="5">
        <f>IFERROR(ROUND(AB42/AE42,2),0)</f>
        <v/>
      </c>
      <c r="AN42" s="2" t="inlineStr">
        <is>
          <t>4 Weekly Total</t>
        </is>
      </c>
      <c r="AO42" s="5">
        <f>ROUND(0.0,2)</f>
        <v/>
      </c>
      <c r="AP42" s="3">
        <f>ROUND(0.0,2)</f>
        <v/>
      </c>
      <c r="AQ42" s="3">
        <f>ROUND(0.0,2)</f>
        <v/>
      </c>
      <c r="AR42" s="3">
        <f>ROUND(0.0,2)</f>
        <v/>
      </c>
      <c r="AS42" s="3">
        <f>ROUND(0.0,2)</f>
        <v/>
      </c>
      <c r="AT42" s="3">
        <f>ROUND(0.0,2)</f>
        <v/>
      </c>
      <c r="AU42" s="3">
        <f>ROUND(0.0,2)</f>
        <v/>
      </c>
      <c r="AV42" s="3">
        <f>ROUND(0.0,2)</f>
        <v/>
      </c>
      <c r="AW42" s="4">
        <f>IFERROR((AQ42/AP42),0)</f>
        <v/>
      </c>
      <c r="AX42" s="4">
        <f>IFERROR(((0+AO11+AO12+AO13+AO14+AO15+AO16+AO17+AO19+AO20+AO21+AO22+AO23+AO24+AO25+AO27+AO28+AO29+AO30+AO31+AO32+AO33+AO35+AO36+AO37+AO38+AO39+AO40+AO41)/T2),0)</f>
        <v/>
      </c>
      <c r="AY42" s="5">
        <f>IFERROR(ROUND(AO42/AQ42,2),0)</f>
        <v/>
      </c>
      <c r="AZ42" s="5">
        <f>IFERROR(ROUND(AO42/AR42,2),0)</f>
        <v/>
      </c>
      <c r="BA42" s="2" t="inlineStr">
        <is>
          <t>4 Weekly Total</t>
        </is>
      </c>
      <c r="BB42" s="5">
        <f>ROUND(0.0,2)</f>
        <v/>
      </c>
      <c r="BC42" s="3">
        <f>ROUND(0.0,2)</f>
        <v/>
      </c>
      <c r="BD42" s="3">
        <f>ROUND(0.0,2)</f>
        <v/>
      </c>
      <c r="BE42" s="3">
        <f>ROUND(0.0,2)</f>
        <v/>
      </c>
      <c r="BF42" s="3">
        <f>ROUND(0.0,2)</f>
        <v/>
      </c>
      <c r="BG42" s="3">
        <f>ROUND(0.0,2)</f>
        <v/>
      </c>
      <c r="BH42" s="3">
        <f>ROUND(0.0,2)</f>
        <v/>
      </c>
      <c r="BI42" s="3">
        <f>ROUND(0.0,2)</f>
        <v/>
      </c>
      <c r="BJ42" s="4">
        <f>IFERROR((BD42/BC42),0)</f>
        <v/>
      </c>
      <c r="BK42" s="4">
        <f>IFERROR(((0+BB11+BB12+BB13+BB14+BB15+BB16+BB17+BB19+BB20+BB21+BB22+BB23+BB24+BB25+BB27+BB28+BB29+BB30+BB31+BB32+BB33+BB35+BB36+BB37+BB38+BB39+BB40+BB41)/T2),0)</f>
        <v/>
      </c>
      <c r="BL42" s="5">
        <f>IFERROR(ROUND(BB42/BD42,2),0)</f>
        <v/>
      </c>
      <c r="BM42" s="5">
        <f>IFERROR(ROUND(BB42/BE42,2),0)</f>
        <v/>
      </c>
    </row>
    <row r="43">
      <c r="A43" s="2" t="inlineStr">
        <is>
          <t>2023-10-18</t>
        </is>
      </c>
      <c r="B43" s="5">
        <f>ROUND(0.0,2)</f>
        <v/>
      </c>
      <c r="C43" s="3">
        <f>ROUND(0.0,2)</f>
        <v/>
      </c>
      <c r="D43" s="3">
        <f>ROUND(0.0,2)</f>
        <v/>
      </c>
      <c r="E43" s="3">
        <f>ROUND(0.0,2)</f>
        <v/>
      </c>
      <c r="F43" s="3">
        <f>ROUND(0.0,2)</f>
        <v/>
      </c>
      <c r="G43" s="3">
        <f>ROUND(0.0,2)</f>
        <v/>
      </c>
      <c r="H43" s="3">
        <f>ROUND(0.0,2)</f>
        <v/>
      </c>
      <c r="I43" s="3">
        <f>ROUND(0.0,2)</f>
        <v/>
      </c>
      <c r="J43" s="4">
        <f>IFERROR((D43/C43),0)</f>
        <v/>
      </c>
      <c r="K43" s="4">
        <f>IFERROR(((0+B11+B12+B13+B14+B15+B16+B17+B19+B20+B21+B22+B23+B24+B25+B27+B28+B29+B30+B31+B32+B33+B35+B36+B37+B38+B39+B40+B41+B43)/T2),0)</f>
        <v/>
      </c>
      <c r="L43" s="5">
        <f>IFERROR(ROUND(B43/D43,2),0)</f>
        <v/>
      </c>
      <c r="M43" s="5">
        <f>IFERROR(ROUND(B43/E43,2),0)</f>
        <v/>
      </c>
      <c r="N43" s="2" t="inlineStr">
        <is>
          <t>2023-10-18</t>
        </is>
      </c>
      <c r="O43" s="5">
        <f>ROUND(0.0,2)</f>
        <v/>
      </c>
      <c r="P43" s="3">
        <f>ROUND(0.0,2)</f>
        <v/>
      </c>
      <c r="Q43" s="3">
        <f>ROUND(0.0,2)</f>
        <v/>
      </c>
      <c r="R43" s="3">
        <f>ROUND(0.0,2)</f>
        <v/>
      </c>
      <c r="S43" s="3">
        <f>ROUND(0.0,2)</f>
        <v/>
      </c>
      <c r="T43" s="3">
        <f>ROUND(0.0,2)</f>
        <v/>
      </c>
      <c r="U43" s="3">
        <f>ROUND(0.0,2)</f>
        <v/>
      </c>
      <c r="V43" s="3">
        <f>ROUND(0.0,2)</f>
        <v/>
      </c>
      <c r="W43" s="4">
        <f>IFERROR((Q43/P43),0)</f>
        <v/>
      </c>
      <c r="X43" s="4">
        <f>IFERROR(((0+O11+O12+O13+O14+O15+O16+O17+O19+O20+O21+O22+O23+O24+O25+O27+O28+O29+O30+O31+O32+O33+O35+O36+O37+O38+O39+O40+O41+O43)/T2),0)</f>
        <v/>
      </c>
      <c r="Y43" s="5">
        <f>IFERROR(ROUND(O43/Q43,2),0)</f>
        <v/>
      </c>
      <c r="Z43" s="5">
        <f>IFERROR(ROUND(O43/R43,2),0)</f>
        <v/>
      </c>
      <c r="AA43" s="2" t="inlineStr">
        <is>
          <t>2023-10-18</t>
        </is>
      </c>
      <c r="AB43" s="5">
        <f>ROUND(0.0,2)</f>
        <v/>
      </c>
      <c r="AC43" s="3">
        <f>ROUND(0.0,2)</f>
        <v/>
      </c>
      <c r="AD43" s="3">
        <f>ROUND(0.0,2)</f>
        <v/>
      </c>
      <c r="AE43" s="3">
        <f>ROUND(0.0,2)</f>
        <v/>
      </c>
      <c r="AF43" s="3">
        <f>ROUND(0.0,2)</f>
        <v/>
      </c>
      <c r="AG43" s="3">
        <f>ROUND(0.0,2)</f>
        <v/>
      </c>
      <c r="AH43" s="3">
        <f>ROUND(0.0,2)</f>
        <v/>
      </c>
      <c r="AI43" s="3">
        <f>ROUND(0.0,2)</f>
        <v/>
      </c>
      <c r="AJ43" s="4">
        <f>IFERROR((AD43/AC43),0)</f>
        <v/>
      </c>
      <c r="AK43" s="4">
        <f>IFERROR(((0+AB11+AB12+AB13+AB14+AB15+AB16+AB17+AB19+AB20+AB21+AB22+AB23+AB24+AB25+AB27+AB28+AB29+AB30+AB31+AB32+AB33+AB35+AB36+AB37+AB38+AB39+AB40+AB41+AB43)/T2),0)</f>
        <v/>
      </c>
      <c r="AL43" s="5">
        <f>IFERROR(ROUND(AB43/AD43,2),0)</f>
        <v/>
      </c>
      <c r="AM43" s="5">
        <f>IFERROR(ROUND(AB43/AE43,2),0)</f>
        <v/>
      </c>
      <c r="AN43" s="2" t="inlineStr">
        <is>
          <t>2023-10-18</t>
        </is>
      </c>
      <c r="AO43" s="5">
        <f>ROUND(0.0,2)</f>
        <v/>
      </c>
      <c r="AP43" s="3">
        <f>ROUND(0.0,2)</f>
        <v/>
      </c>
      <c r="AQ43" s="3">
        <f>ROUND(0.0,2)</f>
        <v/>
      </c>
      <c r="AR43" s="3">
        <f>ROUND(0.0,2)</f>
        <v/>
      </c>
      <c r="AS43" s="3">
        <f>ROUND(0.0,2)</f>
        <v/>
      </c>
      <c r="AT43" s="3">
        <f>ROUND(0.0,2)</f>
        <v/>
      </c>
      <c r="AU43" s="3">
        <f>ROUND(0.0,2)</f>
        <v/>
      </c>
      <c r="AV43" s="3">
        <f>ROUND(0.0,2)</f>
        <v/>
      </c>
      <c r="AW43" s="4">
        <f>IFERROR((AQ43/AP43),0)</f>
        <v/>
      </c>
      <c r="AX43" s="4">
        <f>IFERROR(((0+AO11+AO12+AO13+AO14+AO15+AO16+AO17+AO19+AO20+AO21+AO22+AO23+AO24+AO25+AO27+AO28+AO29+AO30+AO31+AO32+AO33+AO35+AO36+AO37+AO38+AO39+AO40+AO41+AO43)/T2),0)</f>
        <v/>
      </c>
      <c r="AY43" s="5">
        <f>IFERROR(ROUND(AO43/AQ43,2),0)</f>
        <v/>
      </c>
      <c r="AZ43" s="5">
        <f>IFERROR(ROUND(AO43/AR43,2),0)</f>
        <v/>
      </c>
      <c r="BA43" s="2" t="inlineStr">
        <is>
          <t>2023-10-18</t>
        </is>
      </c>
      <c r="BB43" s="5">
        <f>ROUND(0.0,2)</f>
        <v/>
      </c>
      <c r="BC43" s="3">
        <f>ROUND(0.0,2)</f>
        <v/>
      </c>
      <c r="BD43" s="3">
        <f>ROUND(0.0,2)</f>
        <v/>
      </c>
      <c r="BE43" s="3">
        <f>ROUND(0.0,2)</f>
        <v/>
      </c>
      <c r="BF43" s="3">
        <f>ROUND(0.0,2)</f>
        <v/>
      </c>
      <c r="BG43" s="3">
        <f>ROUND(0.0,2)</f>
        <v/>
      </c>
      <c r="BH43" s="3">
        <f>ROUND(0.0,2)</f>
        <v/>
      </c>
      <c r="BI43" s="3">
        <f>ROUND(0.0,2)</f>
        <v/>
      </c>
      <c r="BJ43" s="4">
        <f>IFERROR((BD43/BC43),0)</f>
        <v/>
      </c>
      <c r="BK43" s="4">
        <f>IFERROR(((0+BB11+BB12+BB13+BB14+BB15+BB16+BB17+BB19+BB20+BB21+BB22+BB23+BB24+BB25+BB27+BB28+BB29+BB30+BB31+BB32+BB33+BB35+BB36+BB37+BB38+BB39+BB40+BB41+BB43)/T2),0)</f>
        <v/>
      </c>
      <c r="BL43" s="5">
        <f>IFERROR(ROUND(BB43/BD43,2),0)</f>
        <v/>
      </c>
      <c r="BM43" s="5">
        <f>IFERROR(ROUND(BB43/BE43,2),0)</f>
        <v/>
      </c>
    </row>
    <row r="44">
      <c r="A44" s="2" t="inlineStr">
        <is>
          <t>2023-10-19</t>
        </is>
      </c>
      <c r="B44" s="5">
        <f>ROUND(0.0,2)</f>
        <v/>
      </c>
      <c r="C44" s="3">
        <f>ROUND(0.0,2)</f>
        <v/>
      </c>
      <c r="D44" s="3">
        <f>ROUND(0.0,2)</f>
        <v/>
      </c>
      <c r="E44" s="3">
        <f>ROUND(0.0,2)</f>
        <v/>
      </c>
      <c r="F44" s="3">
        <f>ROUND(0.0,2)</f>
        <v/>
      </c>
      <c r="G44" s="3">
        <f>ROUND(0.0,2)</f>
        <v/>
      </c>
      <c r="H44" s="3">
        <f>ROUND(0.0,2)</f>
        <v/>
      </c>
      <c r="I44" s="3">
        <f>ROUND(0.0,2)</f>
        <v/>
      </c>
      <c r="J44" s="4">
        <f>IFERROR((D44/C44),0)</f>
        <v/>
      </c>
      <c r="K44" s="4">
        <f>IFERROR(((0+B11+B12+B13+B14+B15+B16+B17+B19+B20+B21+B22+B23+B24+B25+B27+B28+B29+B30+B31+B32+B33+B35+B36+B37+B38+B39+B40+B41+B43+B44)/T2),0)</f>
        <v/>
      </c>
      <c r="L44" s="5">
        <f>IFERROR(ROUND(B44/D44,2),0)</f>
        <v/>
      </c>
      <c r="M44" s="5">
        <f>IFERROR(ROUND(B44/E44,2),0)</f>
        <v/>
      </c>
      <c r="N44" s="2" t="inlineStr">
        <is>
          <t>2023-10-19</t>
        </is>
      </c>
      <c r="O44" s="5">
        <f>ROUND(0.0,2)</f>
        <v/>
      </c>
      <c r="P44" s="3">
        <f>ROUND(0.0,2)</f>
        <v/>
      </c>
      <c r="Q44" s="3">
        <f>ROUND(0.0,2)</f>
        <v/>
      </c>
      <c r="R44" s="3">
        <f>ROUND(0.0,2)</f>
        <v/>
      </c>
      <c r="S44" s="3">
        <f>ROUND(0.0,2)</f>
        <v/>
      </c>
      <c r="T44" s="3">
        <f>ROUND(0.0,2)</f>
        <v/>
      </c>
      <c r="U44" s="3">
        <f>ROUND(0.0,2)</f>
        <v/>
      </c>
      <c r="V44" s="3">
        <f>ROUND(0.0,2)</f>
        <v/>
      </c>
      <c r="W44" s="4">
        <f>IFERROR((Q44/P44),0)</f>
        <v/>
      </c>
      <c r="X44" s="4">
        <f>IFERROR(((0+O11+O12+O13+O14+O15+O16+O17+O19+O20+O21+O22+O23+O24+O25+O27+O28+O29+O30+O31+O32+O33+O35+O36+O37+O38+O39+O40+O41+O43+O44)/T2),0)</f>
        <v/>
      </c>
      <c r="Y44" s="5">
        <f>IFERROR(ROUND(O44/Q44,2),0)</f>
        <v/>
      </c>
      <c r="Z44" s="5">
        <f>IFERROR(ROUND(O44/R44,2),0)</f>
        <v/>
      </c>
      <c r="AA44" s="2" t="inlineStr">
        <is>
          <t>2023-10-19</t>
        </is>
      </c>
      <c r="AB44" s="5">
        <f>ROUND(0.0,2)</f>
        <v/>
      </c>
      <c r="AC44" s="3">
        <f>ROUND(0.0,2)</f>
        <v/>
      </c>
      <c r="AD44" s="3">
        <f>ROUND(0.0,2)</f>
        <v/>
      </c>
      <c r="AE44" s="3">
        <f>ROUND(0.0,2)</f>
        <v/>
      </c>
      <c r="AF44" s="3">
        <f>ROUND(0.0,2)</f>
        <v/>
      </c>
      <c r="AG44" s="3">
        <f>ROUND(0.0,2)</f>
        <v/>
      </c>
      <c r="AH44" s="3">
        <f>ROUND(0.0,2)</f>
        <v/>
      </c>
      <c r="AI44" s="3">
        <f>ROUND(0.0,2)</f>
        <v/>
      </c>
      <c r="AJ44" s="4">
        <f>IFERROR((AD44/AC44),0)</f>
        <v/>
      </c>
      <c r="AK44" s="4">
        <f>IFERROR(((0+AB11+AB12+AB13+AB14+AB15+AB16+AB17+AB19+AB20+AB21+AB22+AB23+AB24+AB25+AB27+AB28+AB29+AB30+AB31+AB32+AB33+AB35+AB36+AB37+AB38+AB39+AB40+AB41+AB43+AB44)/T2),0)</f>
        <v/>
      </c>
      <c r="AL44" s="5">
        <f>IFERROR(ROUND(AB44/AD44,2),0)</f>
        <v/>
      </c>
      <c r="AM44" s="5">
        <f>IFERROR(ROUND(AB44/AE44,2),0)</f>
        <v/>
      </c>
      <c r="AN44" s="2" t="inlineStr">
        <is>
          <t>2023-10-19</t>
        </is>
      </c>
      <c r="AO44" s="5">
        <f>ROUND(0.0,2)</f>
        <v/>
      </c>
      <c r="AP44" s="3">
        <f>ROUND(0.0,2)</f>
        <v/>
      </c>
      <c r="AQ44" s="3">
        <f>ROUND(0.0,2)</f>
        <v/>
      </c>
      <c r="AR44" s="3">
        <f>ROUND(0.0,2)</f>
        <v/>
      </c>
      <c r="AS44" s="3">
        <f>ROUND(0.0,2)</f>
        <v/>
      </c>
      <c r="AT44" s="3">
        <f>ROUND(0.0,2)</f>
        <v/>
      </c>
      <c r="AU44" s="3">
        <f>ROUND(0.0,2)</f>
        <v/>
      </c>
      <c r="AV44" s="3">
        <f>ROUND(0.0,2)</f>
        <v/>
      </c>
      <c r="AW44" s="4">
        <f>IFERROR((AQ44/AP44),0)</f>
        <v/>
      </c>
      <c r="AX44" s="4">
        <f>IFERROR(((0+AO11+AO12+AO13+AO14+AO15+AO16+AO17+AO19+AO20+AO21+AO22+AO23+AO24+AO25+AO27+AO28+AO29+AO30+AO31+AO32+AO33+AO35+AO36+AO37+AO38+AO39+AO40+AO41+AO43+AO44)/T2),0)</f>
        <v/>
      </c>
      <c r="AY44" s="5">
        <f>IFERROR(ROUND(AO44/AQ44,2),0)</f>
        <v/>
      </c>
      <c r="AZ44" s="5">
        <f>IFERROR(ROUND(AO44/AR44,2),0)</f>
        <v/>
      </c>
      <c r="BA44" s="2" t="inlineStr">
        <is>
          <t>2023-10-19</t>
        </is>
      </c>
      <c r="BB44" s="5">
        <f>ROUND(0.0,2)</f>
        <v/>
      </c>
      <c r="BC44" s="3">
        <f>ROUND(0.0,2)</f>
        <v/>
      </c>
      <c r="BD44" s="3">
        <f>ROUND(0.0,2)</f>
        <v/>
      </c>
      <c r="BE44" s="3">
        <f>ROUND(0.0,2)</f>
        <v/>
      </c>
      <c r="BF44" s="3">
        <f>ROUND(0.0,2)</f>
        <v/>
      </c>
      <c r="BG44" s="3">
        <f>ROUND(0.0,2)</f>
        <v/>
      </c>
      <c r="BH44" s="3">
        <f>ROUND(0.0,2)</f>
        <v/>
      </c>
      <c r="BI44" s="3">
        <f>ROUND(0.0,2)</f>
        <v/>
      </c>
      <c r="BJ44" s="4">
        <f>IFERROR((BD44/BC44),0)</f>
        <v/>
      </c>
      <c r="BK44" s="4">
        <f>IFERROR(((0+BB11+BB12+BB13+BB14+BB15+BB16+BB17+BB19+BB20+BB21+BB22+BB23+BB24+BB25+BB27+BB28+BB29+BB30+BB31+BB32+BB33+BB35+BB36+BB37+BB38+BB39+BB40+BB41+BB43+BB44)/T2),0)</f>
        <v/>
      </c>
      <c r="BL44" s="5">
        <f>IFERROR(ROUND(BB44/BD44,2),0)</f>
        <v/>
      </c>
      <c r="BM44" s="5">
        <f>IFERROR(ROUND(BB44/BE44,2),0)</f>
        <v/>
      </c>
    </row>
    <row r="45">
      <c r="A45" s="2" t="inlineStr">
        <is>
          <t>2023-10-20</t>
        </is>
      </c>
      <c r="B45" s="5">
        <f>ROUND(0.0,2)</f>
        <v/>
      </c>
      <c r="C45" s="3">
        <f>ROUND(0.0,2)</f>
        <v/>
      </c>
      <c r="D45" s="3">
        <f>ROUND(0.0,2)</f>
        <v/>
      </c>
      <c r="E45" s="3">
        <f>ROUND(0.0,2)</f>
        <v/>
      </c>
      <c r="F45" s="3">
        <f>ROUND(0.0,2)</f>
        <v/>
      </c>
      <c r="G45" s="3">
        <f>ROUND(0.0,2)</f>
        <v/>
      </c>
      <c r="H45" s="3">
        <f>ROUND(0.0,2)</f>
        <v/>
      </c>
      <c r="I45" s="3">
        <f>ROUND(0.0,2)</f>
        <v/>
      </c>
      <c r="J45" s="4">
        <f>IFERROR((D45/C45),0)</f>
        <v/>
      </c>
      <c r="K45" s="4">
        <f>IFERROR(((0+B11+B12+B13+B14+B15+B16+B17+B19+B20+B21+B22+B23+B24+B25+B27+B28+B29+B30+B31+B32+B33+B35+B36+B37+B38+B39+B40+B41+B43+B44+B45)/T2),0)</f>
        <v/>
      </c>
      <c r="L45" s="5">
        <f>IFERROR(ROUND(B45/D45,2),0)</f>
        <v/>
      </c>
      <c r="M45" s="5">
        <f>IFERROR(ROUND(B45/E45,2),0)</f>
        <v/>
      </c>
      <c r="N45" s="2" t="inlineStr">
        <is>
          <t>2023-10-20</t>
        </is>
      </c>
      <c r="O45" s="5">
        <f>ROUND(0.0,2)</f>
        <v/>
      </c>
      <c r="P45" s="3">
        <f>ROUND(0.0,2)</f>
        <v/>
      </c>
      <c r="Q45" s="3">
        <f>ROUND(0.0,2)</f>
        <v/>
      </c>
      <c r="R45" s="3">
        <f>ROUND(0.0,2)</f>
        <v/>
      </c>
      <c r="S45" s="3">
        <f>ROUND(0.0,2)</f>
        <v/>
      </c>
      <c r="T45" s="3">
        <f>ROUND(0.0,2)</f>
        <v/>
      </c>
      <c r="U45" s="3">
        <f>ROUND(0.0,2)</f>
        <v/>
      </c>
      <c r="V45" s="3">
        <f>ROUND(0.0,2)</f>
        <v/>
      </c>
      <c r="W45" s="4">
        <f>IFERROR((Q45/P45),0)</f>
        <v/>
      </c>
      <c r="X45" s="4">
        <f>IFERROR(((0+O11+O12+O13+O14+O15+O16+O17+O19+O20+O21+O22+O23+O24+O25+O27+O28+O29+O30+O31+O32+O33+O35+O36+O37+O38+O39+O40+O41+O43+O44+O45)/T2),0)</f>
        <v/>
      </c>
      <c r="Y45" s="5">
        <f>IFERROR(ROUND(O45/Q45,2),0)</f>
        <v/>
      </c>
      <c r="Z45" s="5">
        <f>IFERROR(ROUND(O45/R45,2),0)</f>
        <v/>
      </c>
      <c r="AA45" s="2" t="inlineStr">
        <is>
          <t>2023-10-20</t>
        </is>
      </c>
      <c r="AB45" s="5">
        <f>ROUND(0.0,2)</f>
        <v/>
      </c>
      <c r="AC45" s="3">
        <f>ROUND(0.0,2)</f>
        <v/>
      </c>
      <c r="AD45" s="3">
        <f>ROUND(0.0,2)</f>
        <v/>
      </c>
      <c r="AE45" s="3">
        <f>ROUND(0.0,2)</f>
        <v/>
      </c>
      <c r="AF45" s="3">
        <f>ROUND(0.0,2)</f>
        <v/>
      </c>
      <c r="AG45" s="3">
        <f>ROUND(0.0,2)</f>
        <v/>
      </c>
      <c r="AH45" s="3">
        <f>ROUND(0.0,2)</f>
        <v/>
      </c>
      <c r="AI45" s="3">
        <f>ROUND(0.0,2)</f>
        <v/>
      </c>
      <c r="AJ45" s="4">
        <f>IFERROR((AD45/AC45),0)</f>
        <v/>
      </c>
      <c r="AK45" s="4">
        <f>IFERROR(((0+AB11+AB12+AB13+AB14+AB15+AB16+AB17+AB19+AB20+AB21+AB22+AB23+AB24+AB25+AB27+AB28+AB29+AB30+AB31+AB32+AB33+AB35+AB36+AB37+AB38+AB39+AB40+AB41+AB43+AB44+AB45)/T2),0)</f>
        <v/>
      </c>
      <c r="AL45" s="5">
        <f>IFERROR(ROUND(AB45/AD45,2),0)</f>
        <v/>
      </c>
      <c r="AM45" s="5">
        <f>IFERROR(ROUND(AB45/AE45,2),0)</f>
        <v/>
      </c>
      <c r="AN45" s="2" t="inlineStr">
        <is>
          <t>2023-10-20</t>
        </is>
      </c>
      <c r="AO45" s="5">
        <f>ROUND(0.0,2)</f>
        <v/>
      </c>
      <c r="AP45" s="3">
        <f>ROUND(0.0,2)</f>
        <v/>
      </c>
      <c r="AQ45" s="3">
        <f>ROUND(0.0,2)</f>
        <v/>
      </c>
      <c r="AR45" s="3">
        <f>ROUND(0.0,2)</f>
        <v/>
      </c>
      <c r="AS45" s="3">
        <f>ROUND(0.0,2)</f>
        <v/>
      </c>
      <c r="AT45" s="3">
        <f>ROUND(0.0,2)</f>
        <v/>
      </c>
      <c r="AU45" s="3">
        <f>ROUND(0.0,2)</f>
        <v/>
      </c>
      <c r="AV45" s="3">
        <f>ROUND(0.0,2)</f>
        <v/>
      </c>
      <c r="AW45" s="4">
        <f>IFERROR((AQ45/AP45),0)</f>
        <v/>
      </c>
      <c r="AX45" s="4">
        <f>IFERROR(((0+AO11+AO12+AO13+AO14+AO15+AO16+AO17+AO19+AO20+AO21+AO22+AO23+AO24+AO25+AO27+AO28+AO29+AO30+AO31+AO32+AO33+AO35+AO36+AO37+AO38+AO39+AO40+AO41+AO43+AO44+AO45)/T2),0)</f>
        <v/>
      </c>
      <c r="AY45" s="5">
        <f>IFERROR(ROUND(AO45/AQ45,2),0)</f>
        <v/>
      </c>
      <c r="AZ45" s="5">
        <f>IFERROR(ROUND(AO45/AR45,2),0)</f>
        <v/>
      </c>
      <c r="BA45" s="2" t="inlineStr">
        <is>
          <t>2023-10-20</t>
        </is>
      </c>
      <c r="BB45" s="5">
        <f>ROUND(0.0,2)</f>
        <v/>
      </c>
      <c r="BC45" s="3">
        <f>ROUND(0.0,2)</f>
        <v/>
      </c>
      <c r="BD45" s="3">
        <f>ROUND(0.0,2)</f>
        <v/>
      </c>
      <c r="BE45" s="3">
        <f>ROUND(0.0,2)</f>
        <v/>
      </c>
      <c r="BF45" s="3">
        <f>ROUND(0.0,2)</f>
        <v/>
      </c>
      <c r="BG45" s="3">
        <f>ROUND(0.0,2)</f>
        <v/>
      </c>
      <c r="BH45" s="3">
        <f>ROUND(0.0,2)</f>
        <v/>
      </c>
      <c r="BI45" s="3">
        <f>ROUND(0.0,2)</f>
        <v/>
      </c>
      <c r="BJ45" s="4">
        <f>IFERROR((BD45/BC45),0)</f>
        <v/>
      </c>
      <c r="BK45" s="4">
        <f>IFERROR(((0+BB11+BB12+BB13+BB14+BB15+BB16+BB17+BB19+BB20+BB21+BB22+BB23+BB24+BB25+BB27+BB28+BB29+BB30+BB31+BB32+BB33+BB35+BB36+BB37+BB38+BB39+BB40+BB41+BB43+BB44+BB45)/T2),0)</f>
        <v/>
      </c>
      <c r="BL45" s="5">
        <f>IFERROR(ROUND(BB45/BD45,2),0)</f>
        <v/>
      </c>
      <c r="BM45" s="5">
        <f>IFERROR(ROUND(BB45/BE45,2),0)</f>
        <v/>
      </c>
    </row>
    <row r="46">
      <c r="A46" s="2" t="inlineStr">
        <is>
          <t>2023-10-21</t>
        </is>
      </c>
      <c r="B46" s="5">
        <f>ROUND(0.0,2)</f>
        <v/>
      </c>
      <c r="C46" s="3">
        <f>ROUND(0.0,2)</f>
        <v/>
      </c>
      <c r="D46" s="3">
        <f>ROUND(0.0,2)</f>
        <v/>
      </c>
      <c r="E46" s="3">
        <f>ROUND(0.0,2)</f>
        <v/>
      </c>
      <c r="F46" s="3">
        <f>ROUND(0.0,2)</f>
        <v/>
      </c>
      <c r="G46" s="3">
        <f>ROUND(0.0,2)</f>
        <v/>
      </c>
      <c r="H46" s="3">
        <f>ROUND(0.0,2)</f>
        <v/>
      </c>
      <c r="I46" s="3">
        <f>ROUND(0.0,2)</f>
        <v/>
      </c>
      <c r="J46" s="4">
        <f>IFERROR((D46/C46),0)</f>
        <v/>
      </c>
      <c r="K46" s="4">
        <f>IFERROR(((0+B11+B12+B13+B14+B15+B16+B17+B19+B20+B21+B22+B23+B24+B25+B27+B28+B29+B30+B31+B32+B33+B35+B36+B37+B38+B39+B40+B41+B43+B44+B45+B46)/T2),0)</f>
        <v/>
      </c>
      <c r="L46" s="5">
        <f>IFERROR(ROUND(B46/D46,2),0)</f>
        <v/>
      </c>
      <c r="M46" s="5">
        <f>IFERROR(ROUND(B46/E46,2),0)</f>
        <v/>
      </c>
      <c r="N46" s="2" t="inlineStr">
        <is>
          <t>2023-10-21</t>
        </is>
      </c>
      <c r="O46" s="5">
        <f>ROUND(0.0,2)</f>
        <v/>
      </c>
      <c r="P46" s="3">
        <f>ROUND(0.0,2)</f>
        <v/>
      </c>
      <c r="Q46" s="3">
        <f>ROUND(0.0,2)</f>
        <v/>
      </c>
      <c r="R46" s="3">
        <f>ROUND(0.0,2)</f>
        <v/>
      </c>
      <c r="S46" s="3">
        <f>ROUND(0.0,2)</f>
        <v/>
      </c>
      <c r="T46" s="3">
        <f>ROUND(0.0,2)</f>
        <v/>
      </c>
      <c r="U46" s="3">
        <f>ROUND(0.0,2)</f>
        <v/>
      </c>
      <c r="V46" s="3">
        <f>ROUND(0.0,2)</f>
        <v/>
      </c>
      <c r="W46" s="4">
        <f>IFERROR((Q46/P46),0)</f>
        <v/>
      </c>
      <c r="X46" s="4">
        <f>IFERROR(((0+O11+O12+O13+O14+O15+O16+O17+O19+O20+O21+O22+O23+O24+O25+O27+O28+O29+O30+O31+O32+O33+O35+O36+O37+O38+O39+O40+O41+O43+O44+O45+O46)/T2),0)</f>
        <v/>
      </c>
      <c r="Y46" s="5">
        <f>IFERROR(ROUND(O46/Q46,2),0)</f>
        <v/>
      </c>
      <c r="Z46" s="5">
        <f>IFERROR(ROUND(O46/R46,2),0)</f>
        <v/>
      </c>
      <c r="AA46" s="2" t="inlineStr">
        <is>
          <t>2023-10-21</t>
        </is>
      </c>
      <c r="AB46" s="5">
        <f>ROUND(0.0,2)</f>
        <v/>
      </c>
      <c r="AC46" s="3">
        <f>ROUND(0.0,2)</f>
        <v/>
      </c>
      <c r="AD46" s="3">
        <f>ROUND(0.0,2)</f>
        <v/>
      </c>
      <c r="AE46" s="3">
        <f>ROUND(0.0,2)</f>
        <v/>
      </c>
      <c r="AF46" s="3">
        <f>ROUND(0.0,2)</f>
        <v/>
      </c>
      <c r="AG46" s="3">
        <f>ROUND(0.0,2)</f>
        <v/>
      </c>
      <c r="AH46" s="3">
        <f>ROUND(0.0,2)</f>
        <v/>
      </c>
      <c r="AI46" s="3">
        <f>ROUND(0.0,2)</f>
        <v/>
      </c>
      <c r="AJ46" s="4">
        <f>IFERROR((AD46/AC46),0)</f>
        <v/>
      </c>
      <c r="AK46" s="4">
        <f>IFERROR(((0+AB11+AB12+AB13+AB14+AB15+AB16+AB17+AB19+AB20+AB21+AB22+AB23+AB24+AB25+AB27+AB28+AB29+AB30+AB31+AB32+AB33+AB35+AB36+AB37+AB38+AB39+AB40+AB41+AB43+AB44+AB45+AB46)/T2),0)</f>
        <v/>
      </c>
      <c r="AL46" s="5">
        <f>IFERROR(ROUND(AB46/AD46,2),0)</f>
        <v/>
      </c>
      <c r="AM46" s="5">
        <f>IFERROR(ROUND(AB46/AE46,2),0)</f>
        <v/>
      </c>
      <c r="AN46" s="2" t="inlineStr">
        <is>
          <t>2023-10-21</t>
        </is>
      </c>
      <c r="AO46" s="5">
        <f>ROUND(0.0,2)</f>
        <v/>
      </c>
      <c r="AP46" s="3">
        <f>ROUND(0.0,2)</f>
        <v/>
      </c>
      <c r="AQ46" s="3">
        <f>ROUND(0.0,2)</f>
        <v/>
      </c>
      <c r="AR46" s="3">
        <f>ROUND(0.0,2)</f>
        <v/>
      </c>
      <c r="AS46" s="3">
        <f>ROUND(0.0,2)</f>
        <v/>
      </c>
      <c r="AT46" s="3">
        <f>ROUND(0.0,2)</f>
        <v/>
      </c>
      <c r="AU46" s="3">
        <f>ROUND(0.0,2)</f>
        <v/>
      </c>
      <c r="AV46" s="3">
        <f>ROUND(0.0,2)</f>
        <v/>
      </c>
      <c r="AW46" s="4">
        <f>IFERROR((AQ46/AP46),0)</f>
        <v/>
      </c>
      <c r="AX46" s="4">
        <f>IFERROR(((0+AO11+AO12+AO13+AO14+AO15+AO16+AO17+AO19+AO20+AO21+AO22+AO23+AO24+AO25+AO27+AO28+AO29+AO30+AO31+AO32+AO33+AO35+AO36+AO37+AO38+AO39+AO40+AO41+AO43+AO44+AO45+AO46)/T2),0)</f>
        <v/>
      </c>
      <c r="AY46" s="5">
        <f>IFERROR(ROUND(AO46/AQ46,2),0)</f>
        <v/>
      </c>
      <c r="AZ46" s="5">
        <f>IFERROR(ROUND(AO46/AR46,2),0)</f>
        <v/>
      </c>
      <c r="BA46" s="2" t="inlineStr">
        <is>
          <t>2023-10-21</t>
        </is>
      </c>
      <c r="BB46" s="5">
        <f>ROUND(0.0,2)</f>
        <v/>
      </c>
      <c r="BC46" s="3">
        <f>ROUND(0.0,2)</f>
        <v/>
      </c>
      <c r="BD46" s="3">
        <f>ROUND(0.0,2)</f>
        <v/>
      </c>
      <c r="BE46" s="3">
        <f>ROUND(0.0,2)</f>
        <v/>
      </c>
      <c r="BF46" s="3">
        <f>ROUND(0.0,2)</f>
        <v/>
      </c>
      <c r="BG46" s="3">
        <f>ROUND(0.0,2)</f>
        <v/>
      </c>
      <c r="BH46" s="3">
        <f>ROUND(0.0,2)</f>
        <v/>
      </c>
      <c r="BI46" s="3">
        <f>ROUND(0.0,2)</f>
        <v/>
      </c>
      <c r="BJ46" s="4">
        <f>IFERROR((BD46/BC46),0)</f>
        <v/>
      </c>
      <c r="BK46" s="4">
        <f>IFERROR(((0+BB11+BB12+BB13+BB14+BB15+BB16+BB17+BB19+BB20+BB21+BB22+BB23+BB24+BB25+BB27+BB28+BB29+BB30+BB31+BB32+BB33+BB35+BB36+BB37+BB38+BB39+BB40+BB41+BB43+BB44+BB45+BB46)/T2),0)</f>
        <v/>
      </c>
      <c r="BL46" s="5">
        <f>IFERROR(ROUND(BB46/BD46,2),0)</f>
        <v/>
      </c>
      <c r="BM46" s="5">
        <f>IFERROR(ROUND(BB46/BE46,2),0)</f>
        <v/>
      </c>
    </row>
    <row r="47">
      <c r="A47" s="2" t="inlineStr">
        <is>
          <t>2023-10-22</t>
        </is>
      </c>
      <c r="B47" s="5">
        <f>ROUND(215.07575,2)</f>
        <v/>
      </c>
      <c r="C47" s="3">
        <f>ROUND(125938.0,2)</f>
        <v/>
      </c>
      <c r="D47" s="3">
        <f>ROUND(1574.0,2)</f>
        <v/>
      </c>
      <c r="E47" s="3">
        <f>ROUND(27833.0,2)</f>
        <v/>
      </c>
      <c r="F47" s="3">
        <f>ROUND(113093.0,2)</f>
        <v/>
      </c>
      <c r="G47" s="3">
        <f>ROUND(47585.0,2)</f>
        <v/>
      </c>
      <c r="H47" s="3">
        <f>ROUND(33646.0,2)</f>
        <v/>
      </c>
      <c r="I47" s="3">
        <f>ROUND(26068.0,2)</f>
        <v/>
      </c>
      <c r="J47" s="4">
        <f>IFERROR((D47/C47),0)</f>
        <v/>
      </c>
      <c r="K47" s="4">
        <f>IFERROR(((0+B11+B12+B13+B14+B15+B16+B17+B19+B20+B21+B22+B23+B24+B25+B27+B28+B29+B30+B31+B32+B33+B35+B36+B37+B38+B39+B40+B41+B43+B44+B45+B46+B47)/T2),0)</f>
        <v/>
      </c>
      <c r="L47" s="5">
        <f>IFERROR(ROUND(B47/D47,2),0)</f>
        <v/>
      </c>
      <c r="M47" s="5">
        <f>IFERROR(ROUND(B47/E47,2),0)</f>
        <v/>
      </c>
      <c r="N47" s="2" t="inlineStr">
        <is>
          <t>2023-10-22</t>
        </is>
      </c>
      <c r="O47" s="5">
        <f>ROUND(44.862461,2)</f>
        <v/>
      </c>
      <c r="P47" s="3">
        <f>ROUND(25989.0,2)</f>
        <v/>
      </c>
      <c r="Q47" s="3">
        <f>ROUND(404.0,2)</f>
        <v/>
      </c>
      <c r="R47" s="3">
        <f>ROUND(5357.0,2)</f>
        <v/>
      </c>
      <c r="S47" s="3">
        <f>ROUND(22159.0,2)</f>
        <v/>
      </c>
      <c r="T47" s="3">
        <f>ROUND(8929.0,2)</f>
        <v/>
      </c>
      <c r="U47" s="3">
        <f>ROUND(6565.0,2)</f>
        <v/>
      </c>
      <c r="V47" s="3">
        <f>ROUND(5049.0,2)</f>
        <v/>
      </c>
      <c r="W47" s="4">
        <f>IFERROR((Q47/P47),0)</f>
        <v/>
      </c>
      <c r="X47" s="4">
        <f>IFERROR(((0+O11+O12+O13+O14+O15+O16+O17+O19+O20+O21+O22+O23+O24+O25+O27+O28+O29+O30+O31+O32+O33+O35+O36+O37+O38+O39+O40+O41+O43+O44+O45+O46+O47)/T2),0)</f>
        <v/>
      </c>
      <c r="Y47" s="5">
        <f>IFERROR(ROUND(O47/Q47,2),0)</f>
        <v/>
      </c>
      <c r="Z47" s="5">
        <f>IFERROR(ROUND(O47/R47,2),0)</f>
        <v/>
      </c>
      <c r="AA47" s="2" t="inlineStr">
        <is>
          <t>2023-10-22</t>
        </is>
      </c>
      <c r="AB47" s="5">
        <f>ROUND(60.235408,2)</f>
        <v/>
      </c>
      <c r="AC47" s="3">
        <f>ROUND(31381.0,2)</f>
        <v/>
      </c>
      <c r="AD47" s="3">
        <f>ROUND(391.0,2)</f>
        <v/>
      </c>
      <c r="AE47" s="3">
        <f>ROUND(6934.0,2)</f>
        <v/>
      </c>
      <c r="AF47" s="3">
        <f>ROUND(29359.0,2)</f>
        <v/>
      </c>
      <c r="AG47" s="3">
        <f>ROUND(11679.0,2)</f>
        <v/>
      </c>
      <c r="AH47" s="3">
        <f>ROUND(7915.0,2)</f>
        <v/>
      </c>
      <c r="AI47" s="3">
        <f>ROUND(6539.0,2)</f>
        <v/>
      </c>
      <c r="AJ47" s="4">
        <f>IFERROR((AD47/AC47),0)</f>
        <v/>
      </c>
      <c r="AK47" s="4">
        <f>IFERROR(((0+AB11+AB12+AB13+AB14+AB15+AB16+AB17+AB19+AB20+AB21+AB22+AB23+AB24+AB25+AB27+AB28+AB29+AB30+AB31+AB32+AB33+AB35+AB36+AB37+AB38+AB39+AB40+AB41+AB43+AB44+AB45+AB46+AB47)/T2),0)</f>
        <v/>
      </c>
      <c r="AL47" s="5">
        <f>IFERROR(ROUND(AB47/AD47,2),0)</f>
        <v/>
      </c>
      <c r="AM47" s="5">
        <f>IFERROR(ROUND(AB47/AE47,2),0)</f>
        <v/>
      </c>
      <c r="AN47" s="2" t="inlineStr">
        <is>
          <t>2023-10-22</t>
        </is>
      </c>
      <c r="AO47" s="5">
        <f>ROUND(55.314953,2)</f>
        <v/>
      </c>
      <c r="AP47" s="3">
        <f>ROUND(28626.0,2)</f>
        <v/>
      </c>
      <c r="AQ47" s="3">
        <f>ROUND(343.0,2)</f>
        <v/>
      </c>
      <c r="AR47" s="3">
        <f>ROUND(5849.0,2)</f>
        <v/>
      </c>
      <c r="AS47" s="3">
        <f>ROUND(25985.0,2)</f>
        <v/>
      </c>
      <c r="AT47" s="3">
        <f>ROUND(10876.0,2)</f>
        <v/>
      </c>
      <c r="AU47" s="3">
        <f>ROUND(7864.0,2)</f>
        <v/>
      </c>
      <c r="AV47" s="3">
        <f>ROUND(5855.0,2)</f>
        <v/>
      </c>
      <c r="AW47" s="4">
        <f>IFERROR((AQ47/AP47),0)</f>
        <v/>
      </c>
      <c r="AX47" s="4">
        <f>IFERROR(((0+AO11+AO12+AO13+AO14+AO15+AO16+AO17+AO19+AO20+AO21+AO22+AO23+AO24+AO25+AO27+AO28+AO29+AO30+AO31+AO32+AO33+AO35+AO36+AO37+AO38+AO39+AO40+AO41+AO43+AO44+AO45+AO46+AO47)/T2),0)</f>
        <v/>
      </c>
      <c r="AY47" s="5">
        <f>IFERROR(ROUND(AO47/AQ47,2),0)</f>
        <v/>
      </c>
      <c r="AZ47" s="5">
        <f>IFERROR(ROUND(AO47/AR47,2),0)</f>
        <v/>
      </c>
      <c r="BA47" s="2" t="inlineStr">
        <is>
          <t>2023-10-22</t>
        </is>
      </c>
      <c r="BB47" s="5">
        <f>ROUND(54.662928,2)</f>
        <v/>
      </c>
      <c r="BC47" s="3">
        <f>ROUND(39942.0,2)</f>
        <v/>
      </c>
      <c r="BD47" s="3">
        <f>ROUND(436.0,2)</f>
        <v/>
      </c>
      <c r="BE47" s="3">
        <f>ROUND(9693.0,2)</f>
        <v/>
      </c>
      <c r="BF47" s="3">
        <f>ROUND(35590.0,2)</f>
        <v/>
      </c>
      <c r="BG47" s="3">
        <f>ROUND(16101.0,2)</f>
        <v/>
      </c>
      <c r="BH47" s="3">
        <f>ROUND(11302.0,2)</f>
        <v/>
      </c>
      <c r="BI47" s="3">
        <f>ROUND(8625.0,2)</f>
        <v/>
      </c>
      <c r="BJ47" s="4">
        <f>IFERROR((BD47/BC47),0)</f>
        <v/>
      </c>
      <c r="BK47" s="4">
        <f>IFERROR(((0+BB11+BB12+BB13+BB14+BB15+BB16+BB17+BB19+BB20+BB21+BB22+BB23+BB24+BB25+BB27+BB28+BB29+BB30+BB31+BB32+BB33+BB35+BB36+BB37+BB38+BB39+BB40+BB41+BB43+BB44+BB45+BB46+BB47)/T2),0)</f>
        <v/>
      </c>
      <c r="BL47" s="5">
        <f>IFERROR(ROUND(BB47/BD47,2),0)</f>
        <v/>
      </c>
      <c r="BM47" s="5">
        <f>IFERROR(ROUND(BB47/BE47,2),0)</f>
        <v/>
      </c>
    </row>
    <row r="48">
      <c r="A48" s="2" t="inlineStr">
        <is>
          <t>2023-10-23</t>
        </is>
      </c>
      <c r="B48" s="5">
        <f>ROUND(107.300343,2)</f>
        <v/>
      </c>
      <c r="C48" s="3">
        <f>ROUND(210665.0,2)</f>
        <v/>
      </c>
      <c r="D48" s="3">
        <f>ROUND(6638.0,2)</f>
        <v/>
      </c>
      <c r="E48" s="3">
        <f>ROUND(5053.0,2)</f>
        <v/>
      </c>
      <c r="F48" s="3">
        <f>ROUND(17286.0,2)</f>
        <v/>
      </c>
      <c r="G48" s="3">
        <f>ROUND(8026.0,2)</f>
        <v/>
      </c>
      <c r="H48" s="3">
        <f>ROUND(5643.0,2)</f>
        <v/>
      </c>
      <c r="I48" s="3">
        <f>ROUND(4368.0,2)</f>
        <v/>
      </c>
      <c r="J48" s="4">
        <f>IFERROR((D48/C48),0)</f>
        <v/>
      </c>
      <c r="K48" s="4">
        <f>IFERROR(((0+B11+B12+B13+B14+B15+B16+B17+B19+B20+B21+B22+B23+B24+B25+B27+B28+B29+B30+B31+B32+B33+B35+B36+B37+B38+B39+B40+B41+B43+B44+B45+B46+B47+B48)/T2),0)</f>
        <v/>
      </c>
      <c r="L48" s="5">
        <f>IFERROR(ROUND(B48/D48,2),0)</f>
        <v/>
      </c>
      <c r="M48" s="5">
        <f>IFERROR(ROUND(B48/E48,2),0)</f>
        <v/>
      </c>
      <c r="N48" s="2" t="inlineStr">
        <is>
          <t>2023-10-23</t>
        </is>
      </c>
      <c r="O48" s="5">
        <f>ROUND(24.718496,2)</f>
        <v/>
      </c>
      <c r="P48" s="3">
        <f>ROUND(45142.0,2)</f>
        <v/>
      </c>
      <c r="Q48" s="3">
        <f>ROUND(1457.0,2)</f>
        <v/>
      </c>
      <c r="R48" s="3">
        <f>ROUND(1346.0,2)</f>
        <v/>
      </c>
      <c r="S48" s="3">
        <f>ROUND(4901.0,2)</f>
        <v/>
      </c>
      <c r="T48" s="3">
        <f>ROUND(2105.0,2)</f>
        <v/>
      </c>
      <c r="U48" s="3">
        <f>ROUND(1513.0,2)</f>
        <v/>
      </c>
      <c r="V48" s="3">
        <f>ROUND(1133.0,2)</f>
        <v/>
      </c>
      <c r="W48" s="4">
        <f>IFERROR((Q48/P48),0)</f>
        <v/>
      </c>
      <c r="X48" s="4">
        <f>IFERROR(((0+O11+O12+O13+O14+O15+O16+O17+O19+O20+O21+O22+O23+O24+O25+O27+O28+O29+O30+O31+O32+O33+O35+O36+O37+O38+O39+O40+O41+O43+O44+O45+O46+O47+O48)/T2),0)</f>
        <v/>
      </c>
      <c r="Y48" s="5">
        <f>IFERROR(ROUND(O48/Q48,2),0)</f>
        <v/>
      </c>
      <c r="Z48" s="5">
        <f>IFERROR(ROUND(O48/R48,2),0)</f>
        <v/>
      </c>
      <c r="AA48" s="2" t="inlineStr">
        <is>
          <t>2023-10-23</t>
        </is>
      </c>
      <c r="AB48" s="5">
        <f>ROUND(24.711566,2)</f>
        <v/>
      </c>
      <c r="AC48" s="3">
        <f>ROUND(63505.0,2)</f>
        <v/>
      </c>
      <c r="AD48" s="3">
        <f>ROUND(2009.0,2)</f>
        <v/>
      </c>
      <c r="AE48" s="3">
        <f>ROUND(1122.0,2)</f>
        <v/>
      </c>
      <c r="AF48" s="3">
        <f>ROUND(3589.0,2)</f>
        <v/>
      </c>
      <c r="AG48" s="3">
        <f>ROUND(1716.0,2)</f>
        <v/>
      </c>
      <c r="AH48" s="3">
        <f>ROUND(1203.0,2)</f>
        <v/>
      </c>
      <c r="AI48" s="3">
        <f>ROUND(990.0,2)</f>
        <v/>
      </c>
      <c r="AJ48" s="4">
        <f>IFERROR((AD48/AC48),0)</f>
        <v/>
      </c>
      <c r="AK48" s="4">
        <f>IFERROR(((0+AB11+AB12+AB13+AB14+AB15+AB16+AB17+AB19+AB20+AB21+AB22+AB23+AB24+AB25+AB27+AB28+AB29+AB30+AB31+AB32+AB33+AB35+AB36+AB37+AB38+AB39+AB40+AB41+AB43+AB44+AB45+AB46+AB47+AB48)/T2),0)</f>
        <v/>
      </c>
      <c r="AL48" s="5">
        <f>IFERROR(ROUND(AB48/AD48,2),0)</f>
        <v/>
      </c>
      <c r="AM48" s="5">
        <f>IFERROR(ROUND(AB48/AE48,2),0)</f>
        <v/>
      </c>
      <c r="AN48" s="2" t="inlineStr">
        <is>
          <t>2023-10-23</t>
        </is>
      </c>
      <c r="AO48" s="5">
        <f>ROUND(27.704099,2)</f>
        <v/>
      </c>
      <c r="AP48" s="3">
        <f>ROUND(30152.0,2)</f>
        <v/>
      </c>
      <c r="AQ48" s="3">
        <f>ROUND(942.0,2)</f>
        <v/>
      </c>
      <c r="AR48" s="3">
        <f>ROUND(181.0,2)</f>
        <v/>
      </c>
      <c r="AS48" s="3">
        <f>ROUND(749.0,2)</f>
        <v/>
      </c>
      <c r="AT48" s="3">
        <f>ROUND(397.0,2)</f>
        <v/>
      </c>
      <c r="AU48" s="3">
        <f>ROUND(276.0,2)</f>
        <v/>
      </c>
      <c r="AV48" s="3">
        <f>ROUND(193.0,2)</f>
        <v/>
      </c>
      <c r="AW48" s="4">
        <f>IFERROR((AQ48/AP48),0)</f>
        <v/>
      </c>
      <c r="AX48" s="4">
        <f>IFERROR(((0+AO11+AO12+AO13+AO14+AO15+AO16+AO17+AO19+AO20+AO21+AO22+AO23+AO24+AO25+AO27+AO28+AO29+AO30+AO31+AO32+AO33+AO35+AO36+AO37+AO38+AO39+AO40+AO41+AO43+AO44+AO45+AO46+AO47+AO48)/T2),0)</f>
        <v/>
      </c>
      <c r="AY48" s="5">
        <f>IFERROR(ROUND(AO48/AQ48,2),0)</f>
        <v/>
      </c>
      <c r="AZ48" s="5">
        <f>IFERROR(ROUND(AO48/AR48,2),0)</f>
        <v/>
      </c>
      <c r="BA48" s="2" t="inlineStr">
        <is>
          <t>2023-10-23</t>
        </is>
      </c>
      <c r="BB48" s="5">
        <f>ROUND(30.166182,2)</f>
        <v/>
      </c>
      <c r="BC48" s="3">
        <f>ROUND(71866.0,2)</f>
        <v/>
      </c>
      <c r="BD48" s="3">
        <f>ROUND(2230.0,2)</f>
        <v/>
      </c>
      <c r="BE48" s="3">
        <f>ROUND(2404.0,2)</f>
        <v/>
      </c>
      <c r="BF48" s="3">
        <f>ROUND(8047.0,2)</f>
        <v/>
      </c>
      <c r="BG48" s="3">
        <f>ROUND(3808.0,2)</f>
        <v/>
      </c>
      <c r="BH48" s="3">
        <f>ROUND(2651.0,2)</f>
        <v/>
      </c>
      <c r="BI48" s="3">
        <f>ROUND(2052.0,2)</f>
        <v/>
      </c>
      <c r="BJ48" s="4">
        <f>IFERROR((BD48/BC48),0)</f>
        <v/>
      </c>
      <c r="BK48" s="4">
        <f>IFERROR(((0+BB11+BB12+BB13+BB14+BB15+BB16+BB17+BB19+BB20+BB21+BB22+BB23+BB24+BB25+BB27+BB28+BB29+BB30+BB31+BB32+BB33+BB35+BB36+BB37+BB38+BB39+BB40+BB41+BB43+BB44+BB45+BB46+BB47+BB48)/T2),0)</f>
        <v/>
      </c>
      <c r="BL48" s="5">
        <f>IFERROR(ROUND(BB48/BD48,2),0)</f>
        <v/>
      </c>
      <c r="BM48" s="5">
        <f>IFERROR(ROUND(BB48/BE48,2),0)</f>
        <v/>
      </c>
    </row>
    <row r="49">
      <c r="A49" s="2" t="inlineStr">
        <is>
          <t>2023-10-24</t>
        </is>
      </c>
      <c r="B49" s="5">
        <f>ROUND(107.364,2)</f>
        <v/>
      </c>
      <c r="C49" s="3">
        <f>ROUND(186516.0,2)</f>
        <v/>
      </c>
      <c r="D49" s="3">
        <f>ROUND(4705.0,2)</f>
        <v/>
      </c>
      <c r="E49" s="3">
        <f>ROUND(16072.0,2)</f>
        <v/>
      </c>
      <c r="F49" s="3">
        <f>ROUND(55534.0,2)</f>
        <v/>
      </c>
      <c r="G49" s="3">
        <f>ROUND(26229.0,2)</f>
        <v/>
      </c>
      <c r="H49" s="3">
        <f>ROUND(18603.0,2)</f>
        <v/>
      </c>
      <c r="I49" s="3">
        <f>ROUND(14181.0,2)</f>
        <v/>
      </c>
      <c r="J49" s="4">
        <f>IFERROR((D49/C49),0)</f>
        <v/>
      </c>
      <c r="K49" s="4">
        <f>IFERROR(((0+B11+B12+B13+B14+B15+B16+B17+B19+B20+B21+B22+B23+B24+B25+B27+B28+B29+B30+B31+B32+B33+B35+B36+B37+B38+B39+B40+B41+B43+B44+B45+B46+B47+B48+B49)/T2),0)</f>
        <v/>
      </c>
      <c r="L49" s="5">
        <f>IFERROR(ROUND(B49/D49,2),0)</f>
        <v/>
      </c>
      <c r="M49" s="5">
        <f>IFERROR(ROUND(B49/E49,2),0)</f>
        <v/>
      </c>
      <c r="N49" s="2" t="inlineStr">
        <is>
          <t>2023-10-24</t>
        </is>
      </c>
      <c r="O49" s="5">
        <f>ROUND(28.740832,2)</f>
        <v/>
      </c>
      <c r="P49" s="3">
        <f>ROUND(42322.0,2)</f>
        <v/>
      </c>
      <c r="Q49" s="3">
        <f>ROUND(1067.0,2)</f>
        <v/>
      </c>
      <c r="R49" s="3">
        <f>ROUND(2731.0,2)</f>
        <v/>
      </c>
      <c r="S49" s="3">
        <f>ROUND(9687.0,2)</f>
        <v/>
      </c>
      <c r="T49" s="3">
        <f>ROUND(4449.0,2)</f>
        <v/>
      </c>
      <c r="U49" s="3">
        <f>ROUND(3337.0,2)</f>
        <v/>
      </c>
      <c r="V49" s="3">
        <f>ROUND(2465.0,2)</f>
        <v/>
      </c>
      <c r="W49" s="4">
        <f>IFERROR((Q49/P49),0)</f>
        <v/>
      </c>
      <c r="X49" s="4">
        <f>IFERROR(((0+O11+O12+O13+O14+O15+O16+O17+O19+O20+O21+O22+O23+O24+O25+O27+O28+O29+O30+O31+O32+O33+O35+O36+O37+O38+O39+O40+O41+O43+O44+O45+O46+O47+O48+O49)/T2),0)</f>
        <v/>
      </c>
      <c r="Y49" s="5">
        <f>IFERROR(ROUND(O49/Q49,2),0)</f>
        <v/>
      </c>
      <c r="Z49" s="5">
        <f>IFERROR(ROUND(O49/R49,2),0)</f>
        <v/>
      </c>
      <c r="AA49" s="2" t="inlineStr">
        <is>
          <t>2023-10-24</t>
        </is>
      </c>
      <c r="AB49" s="5">
        <f>ROUND(21.790391,2)</f>
        <v/>
      </c>
      <c r="AC49" s="3">
        <f>ROUND(38945.0,2)</f>
        <v/>
      </c>
      <c r="AD49" s="3">
        <f>ROUND(1114.0,2)</f>
        <v/>
      </c>
      <c r="AE49" s="3">
        <f>ROUND(3097.0,2)</f>
        <v/>
      </c>
      <c r="AF49" s="3">
        <f>ROUND(11580.0,2)</f>
        <v/>
      </c>
      <c r="AG49" s="3">
        <f>ROUND(5243.0,2)</f>
        <v/>
      </c>
      <c r="AH49" s="3">
        <f>ROUND(3613.0,2)</f>
        <v/>
      </c>
      <c r="AI49" s="3">
        <f>ROUND(2832.0,2)</f>
        <v/>
      </c>
      <c r="AJ49" s="4">
        <f>IFERROR((AD49/AC49),0)</f>
        <v/>
      </c>
      <c r="AK49" s="4">
        <f>IFERROR(((0+AB11+AB12+AB13+AB14+AB15+AB16+AB17+AB19+AB20+AB21+AB22+AB23+AB24+AB25+AB27+AB28+AB29+AB30+AB31+AB32+AB33+AB35+AB36+AB37+AB38+AB39+AB40+AB41+AB43+AB44+AB45+AB46+AB47+AB48+AB49)/T2),0)</f>
        <v/>
      </c>
      <c r="AL49" s="5">
        <f>IFERROR(ROUND(AB49/AD49,2),0)</f>
        <v/>
      </c>
      <c r="AM49" s="5">
        <f>IFERROR(ROUND(AB49/AE49,2),0)</f>
        <v/>
      </c>
      <c r="AN49" s="2" t="inlineStr">
        <is>
          <t>2023-10-24</t>
        </is>
      </c>
      <c r="AO49" s="5">
        <f>ROUND(20.803667,2)</f>
        <v/>
      </c>
      <c r="AP49" s="3">
        <f>ROUND(31166.0,2)</f>
        <v/>
      </c>
      <c r="AQ49" s="3">
        <f>ROUND(643.0,2)</f>
        <v/>
      </c>
      <c r="AR49" s="3">
        <f>ROUND(1187.0,2)</f>
        <v/>
      </c>
      <c r="AS49" s="3">
        <f>ROUND(4761.0,2)</f>
        <v/>
      </c>
      <c r="AT49" s="3">
        <f>ROUND(2118.0,2)</f>
        <v/>
      </c>
      <c r="AU49" s="3">
        <f>ROUND(1503.0,2)</f>
        <v/>
      </c>
      <c r="AV49" s="3">
        <f>ROUND(1068.0,2)</f>
        <v/>
      </c>
      <c r="AW49" s="4">
        <f>IFERROR((AQ49/AP49),0)</f>
        <v/>
      </c>
      <c r="AX49" s="4">
        <f>IFERROR(((0+AO11+AO12+AO13+AO14+AO15+AO16+AO17+AO19+AO20+AO21+AO22+AO23+AO24+AO25+AO27+AO28+AO29+AO30+AO31+AO32+AO33+AO35+AO36+AO37+AO38+AO39+AO40+AO41+AO43+AO44+AO45+AO46+AO47+AO48+AO49)/T2),0)</f>
        <v/>
      </c>
      <c r="AY49" s="5">
        <f>IFERROR(ROUND(AO49/AQ49,2),0)</f>
        <v/>
      </c>
      <c r="AZ49" s="5">
        <f>IFERROR(ROUND(AO49/AR49,2),0)</f>
        <v/>
      </c>
      <c r="BA49" s="2" t="inlineStr">
        <is>
          <t>2023-10-24</t>
        </is>
      </c>
      <c r="BB49" s="5">
        <f>ROUND(36.02911,2)</f>
        <v/>
      </c>
      <c r="BC49" s="3">
        <f>ROUND(74083.0,2)</f>
        <v/>
      </c>
      <c r="BD49" s="3">
        <f>ROUND(1881.0,2)</f>
        <v/>
      </c>
      <c r="BE49" s="3">
        <f>ROUND(9057.0,2)</f>
        <v/>
      </c>
      <c r="BF49" s="3">
        <f>ROUND(29506.0,2)</f>
        <v/>
      </c>
      <c r="BG49" s="3">
        <f>ROUND(14419.0,2)</f>
        <v/>
      </c>
      <c r="BH49" s="3">
        <f>ROUND(10150.0,2)</f>
        <v/>
      </c>
      <c r="BI49" s="3">
        <f>ROUND(7816.0,2)</f>
        <v/>
      </c>
      <c r="BJ49" s="4">
        <f>IFERROR((BD49/BC49),0)</f>
        <v/>
      </c>
      <c r="BK49" s="4">
        <f>IFERROR(((0+BB11+BB12+BB13+BB14+BB15+BB16+BB17+BB19+BB20+BB21+BB22+BB23+BB24+BB25+BB27+BB28+BB29+BB30+BB31+BB32+BB33+BB35+BB36+BB37+BB38+BB39+BB40+BB41+BB43+BB44+BB45+BB46+BB47+BB48+BB49)/T2),0)</f>
        <v/>
      </c>
      <c r="BL49" s="5">
        <f>IFERROR(ROUND(BB49/BD49,2),0)</f>
        <v/>
      </c>
      <c r="BM49" s="5">
        <f>IFERROR(ROUND(BB49/BE49,2),0)</f>
        <v/>
      </c>
    </row>
    <row r="50">
      <c r="A50" s="2" t="inlineStr">
        <is>
          <t>5 Weekly Total</t>
        </is>
      </c>
      <c r="B50" s="5">
        <f>ROUND(429.74,2)</f>
        <v/>
      </c>
      <c r="C50" s="3">
        <f>ROUND(523119.0,2)</f>
        <v/>
      </c>
      <c r="D50" s="3">
        <f>ROUND(12917.0,2)</f>
        <v/>
      </c>
      <c r="E50" s="3">
        <f>ROUND(48958.0,2)</f>
        <v/>
      </c>
      <c r="F50" s="3">
        <f>ROUND(185913.0,2)</f>
        <v/>
      </c>
      <c r="G50" s="3">
        <f>ROUND(81840.0,2)</f>
        <v/>
      </c>
      <c r="H50" s="3">
        <f>ROUND(57892.0,2)</f>
        <v/>
      </c>
      <c r="I50" s="3">
        <f>ROUND(44617.0,2)</f>
        <v/>
      </c>
      <c r="J50" s="4">
        <f>IFERROR((D50/C50),0)</f>
        <v/>
      </c>
      <c r="K50" s="4">
        <f>IFERROR(((0+B11+B12+B13+B14+B15+B16+B17+B19+B20+B21+B22+B23+B24+B25+B27+B28+B29+B30+B31+B32+B33+B35+B36+B37+B38+B39+B40+B41+B43+B44+B45+B46+B47+B48+B49)/T2),0)</f>
        <v/>
      </c>
      <c r="L50" s="5">
        <f>IFERROR(ROUND(B50/D50,2),0)</f>
        <v/>
      </c>
      <c r="M50" s="5">
        <f>IFERROR(ROUND(B50/E50,2),0)</f>
        <v/>
      </c>
      <c r="N50" s="2" t="inlineStr">
        <is>
          <t>5 Weekly Total</t>
        </is>
      </c>
      <c r="O50" s="5">
        <f>ROUND(98.32,2)</f>
        <v/>
      </c>
      <c r="P50" s="3">
        <f>ROUND(113453.0,2)</f>
        <v/>
      </c>
      <c r="Q50" s="3">
        <f>ROUND(2928.0,2)</f>
        <v/>
      </c>
      <c r="R50" s="3">
        <f>ROUND(9434.0,2)</f>
        <v/>
      </c>
      <c r="S50" s="3">
        <f>ROUND(36747.0,2)</f>
        <v/>
      </c>
      <c r="T50" s="3">
        <f>ROUND(15483.0,2)</f>
        <v/>
      </c>
      <c r="U50" s="3">
        <f>ROUND(11415.0,2)</f>
        <v/>
      </c>
      <c r="V50" s="3">
        <f>ROUND(8647.0,2)</f>
        <v/>
      </c>
      <c r="W50" s="4">
        <f>IFERROR((Q50/P50),0)</f>
        <v/>
      </c>
      <c r="X50" s="4">
        <f>IFERROR(((0+O11+O12+O13+O14+O15+O16+O17+O19+O20+O21+O22+O23+O24+O25+O27+O28+O29+O30+O31+O32+O33+O35+O36+O37+O38+O39+O40+O41+O43+O44+O45+O46+O47+O48+O49)/T2),0)</f>
        <v/>
      </c>
      <c r="Y50" s="5">
        <f>IFERROR(ROUND(O50/Q50,2),0)</f>
        <v/>
      </c>
      <c r="Z50" s="5">
        <f>IFERROR(ROUND(O50/R50,2),0)</f>
        <v/>
      </c>
      <c r="AA50" s="2" t="inlineStr">
        <is>
          <t>5 Weekly Total</t>
        </is>
      </c>
      <c r="AB50" s="5">
        <f>ROUND(106.74,2)</f>
        <v/>
      </c>
      <c r="AC50" s="3">
        <f>ROUND(133831.0,2)</f>
        <v/>
      </c>
      <c r="AD50" s="3">
        <f>ROUND(3514.0,2)</f>
        <v/>
      </c>
      <c r="AE50" s="3">
        <f>ROUND(11153.0,2)</f>
        <v/>
      </c>
      <c r="AF50" s="3">
        <f>ROUND(44528.0,2)</f>
        <v/>
      </c>
      <c r="AG50" s="3">
        <f>ROUND(18638.0,2)</f>
        <v/>
      </c>
      <c r="AH50" s="3">
        <f>ROUND(12731.0,2)</f>
        <v/>
      </c>
      <c r="AI50" s="3">
        <f>ROUND(10361.0,2)</f>
        <v/>
      </c>
      <c r="AJ50" s="4">
        <f>IFERROR((AD50/AC50),0)</f>
        <v/>
      </c>
      <c r="AK50" s="4">
        <f>IFERROR(((0+AB11+AB12+AB13+AB14+AB15+AB16+AB17+AB19+AB20+AB21+AB22+AB23+AB24+AB25+AB27+AB28+AB29+AB30+AB31+AB32+AB33+AB35+AB36+AB37+AB38+AB39+AB40+AB41+AB43+AB44+AB45+AB46+AB47+AB48+AB49)/T2),0)</f>
        <v/>
      </c>
      <c r="AL50" s="5">
        <f>IFERROR(ROUND(AB50/AD50,2),0)</f>
        <v/>
      </c>
      <c r="AM50" s="5">
        <f>IFERROR(ROUND(AB50/AE50,2),0)</f>
        <v/>
      </c>
      <c r="AN50" s="2" t="inlineStr">
        <is>
          <t>5 Weekly Total</t>
        </is>
      </c>
      <c r="AO50" s="5">
        <f>ROUND(103.82,2)</f>
        <v/>
      </c>
      <c r="AP50" s="3">
        <f>ROUND(89944.0,2)</f>
        <v/>
      </c>
      <c r="AQ50" s="3">
        <f>ROUND(1928.0,2)</f>
        <v/>
      </c>
      <c r="AR50" s="3">
        <f>ROUND(7217.0,2)</f>
        <v/>
      </c>
      <c r="AS50" s="3">
        <f>ROUND(31495.0,2)</f>
        <v/>
      </c>
      <c r="AT50" s="3">
        <f>ROUND(13391.0,2)</f>
        <v/>
      </c>
      <c r="AU50" s="3">
        <f>ROUND(9643.0,2)</f>
        <v/>
      </c>
      <c r="AV50" s="3">
        <f>ROUND(7116.0,2)</f>
        <v/>
      </c>
      <c r="AW50" s="4">
        <f>IFERROR((AQ50/AP50),0)</f>
        <v/>
      </c>
      <c r="AX50" s="4">
        <f>IFERROR(((0+AO11+AO12+AO13+AO14+AO15+AO16+AO17+AO19+AO20+AO21+AO22+AO23+AO24+AO25+AO27+AO28+AO29+AO30+AO31+AO32+AO33+AO35+AO36+AO37+AO38+AO39+AO40+AO41+AO43+AO44+AO45+AO46+AO47+AO48+AO49)/T2),0)</f>
        <v/>
      </c>
      <c r="AY50" s="5">
        <f>IFERROR(ROUND(AO50/AQ50,2),0)</f>
        <v/>
      </c>
      <c r="AZ50" s="5">
        <f>IFERROR(ROUND(AO50/AR50,2),0)</f>
        <v/>
      </c>
      <c r="BA50" s="2" t="inlineStr">
        <is>
          <t>5 Weekly Total</t>
        </is>
      </c>
      <c r="BB50" s="5">
        <f>ROUND(120.86,2)</f>
        <v/>
      </c>
      <c r="BC50" s="3">
        <f>ROUND(185891.0,2)</f>
        <v/>
      </c>
      <c r="BD50" s="3">
        <f>ROUND(4547.0,2)</f>
        <v/>
      </c>
      <c r="BE50" s="3">
        <f>ROUND(21154.0,2)</f>
        <v/>
      </c>
      <c r="BF50" s="3">
        <f>ROUND(73143.0,2)</f>
        <v/>
      </c>
      <c r="BG50" s="3">
        <f>ROUND(34328.0,2)</f>
        <v/>
      </c>
      <c r="BH50" s="3">
        <f>ROUND(24103.0,2)</f>
        <v/>
      </c>
      <c r="BI50" s="3">
        <f>ROUND(18493.0,2)</f>
        <v/>
      </c>
      <c r="BJ50" s="4">
        <f>IFERROR((BD50/BC50),0)</f>
        <v/>
      </c>
      <c r="BK50" s="4">
        <f>IFERROR(((0+BB11+BB12+BB13+BB14+BB15+BB16+BB17+BB19+BB20+BB21+BB22+BB23+BB24+BB25+BB27+BB28+BB29+BB30+BB31+BB32+BB33+BB35+BB36+BB37+BB38+BB39+BB40+BB41+BB43+BB44+BB45+BB46+BB47+BB48+BB49)/T2),0)</f>
        <v/>
      </c>
      <c r="BL50" s="5">
        <f>IFERROR(ROUND(BB50/BD50,2),0)</f>
        <v/>
      </c>
      <c r="BM50" s="5">
        <f>IFERROR(ROUND(BB50/BE50,2),0)</f>
        <v/>
      </c>
    </row>
    <row r="51">
      <c r="A51" s="2" t="inlineStr">
        <is>
          <t>2023-10-25</t>
        </is>
      </c>
      <c r="B51" s="5">
        <f>ROUND(107.715274,2)</f>
        <v/>
      </c>
      <c r="C51" s="3">
        <f>ROUND(100495.0,2)</f>
        <v/>
      </c>
      <c r="D51" s="3">
        <f>ROUND(1689.0,2)</f>
        <v/>
      </c>
      <c r="E51" s="3">
        <f>ROUND(22424.0,2)</f>
        <v/>
      </c>
      <c r="F51" s="3">
        <f>ROUND(79148.0,2)</f>
        <v/>
      </c>
      <c r="G51" s="3">
        <f>ROUND(37471.0,2)</f>
        <v/>
      </c>
      <c r="H51" s="3">
        <f>ROUND(26397.0,2)</f>
        <v/>
      </c>
      <c r="I51" s="3">
        <f>ROUND(19868.0,2)</f>
        <v/>
      </c>
      <c r="J51" s="4">
        <f>IFERROR((D51/C51),0)</f>
        <v/>
      </c>
      <c r="K51" s="4">
        <f>IFERROR(((0+B11+B12+B13+B14+B15+B16+B17+B19+B20+B21+B22+B23+B24+B25+B27+B28+B29+B30+B31+B32+B33+B35+B36+B37+B38+B39+B40+B41+B43+B44+B45+B46+B47+B48+B49+B51)/T2),0)</f>
        <v/>
      </c>
      <c r="L51" s="5">
        <f>IFERROR(ROUND(B51/D51,2),0)</f>
        <v/>
      </c>
      <c r="M51" s="5">
        <f>IFERROR(ROUND(B51/E51,2),0)</f>
        <v/>
      </c>
      <c r="N51" s="2" t="inlineStr">
        <is>
          <t>2023-10-25</t>
        </is>
      </c>
      <c r="O51" s="5">
        <f>ROUND(23.112711,2)</f>
        <v/>
      </c>
      <c r="P51" s="3">
        <f>ROUND(19356.0,2)</f>
        <v/>
      </c>
      <c r="Q51" s="3">
        <f>ROUND(402.0,2)</f>
        <v/>
      </c>
      <c r="R51" s="3">
        <f>ROUND(4033.0,2)</f>
        <v/>
      </c>
      <c r="S51" s="3">
        <f>ROUND(16126.0,2)</f>
        <v/>
      </c>
      <c r="T51" s="3">
        <f>ROUND(6823.0,2)</f>
        <v/>
      </c>
      <c r="U51" s="3">
        <f>ROUND(4965.0,2)</f>
        <v/>
      </c>
      <c r="V51" s="3">
        <f>ROUND(3655.0,2)</f>
        <v/>
      </c>
      <c r="W51" s="4">
        <f>IFERROR((Q51/P51),0)</f>
        <v/>
      </c>
      <c r="X51" s="4">
        <f>IFERROR(((0+O11+O12+O13+O14+O15+O16+O17+O19+O20+O21+O22+O23+O24+O25+O27+O28+O29+O30+O31+O32+O33+O35+O36+O37+O38+O39+O40+O41+O43+O44+O45+O46+O47+O48+O49+O51)/T2),0)</f>
        <v/>
      </c>
      <c r="Y51" s="5">
        <f>IFERROR(ROUND(O51/Q51,2),0)</f>
        <v/>
      </c>
      <c r="Z51" s="5">
        <f>IFERROR(ROUND(O51/R51,2),0)</f>
        <v/>
      </c>
      <c r="AA51" s="2" t="inlineStr">
        <is>
          <t>2023-10-25</t>
        </is>
      </c>
      <c r="AB51" s="5">
        <f>ROUND(22.421955,2)</f>
        <v/>
      </c>
      <c r="AC51" s="3">
        <f>ROUND(19913.0,2)</f>
        <v/>
      </c>
      <c r="AD51" s="3">
        <f>ROUND(331.0,2)</f>
        <v/>
      </c>
      <c r="AE51" s="3">
        <f>ROUND(4333.0,2)</f>
        <v/>
      </c>
      <c r="AF51" s="3">
        <f>ROUND(16478.0,2)</f>
        <v/>
      </c>
      <c r="AG51" s="3">
        <f>ROUND(7367.0,2)</f>
        <v/>
      </c>
      <c r="AH51" s="3">
        <f>ROUND(5069.0,2)</f>
        <v/>
      </c>
      <c r="AI51" s="3">
        <f>ROUND(3975.0,2)</f>
        <v/>
      </c>
      <c r="AJ51" s="4">
        <f>IFERROR((AD51/AC51),0)</f>
        <v/>
      </c>
      <c r="AK51" s="4">
        <f>IFERROR(((0+AB11+AB12+AB13+AB14+AB15+AB16+AB17+AB19+AB20+AB21+AB22+AB23+AB24+AB25+AB27+AB28+AB29+AB30+AB31+AB32+AB33+AB35+AB36+AB37+AB38+AB39+AB40+AB41+AB43+AB44+AB45+AB46+AB47+AB48+AB49+AB51)/T2),0)</f>
        <v/>
      </c>
      <c r="AL51" s="5">
        <f>IFERROR(ROUND(AB51/AD51,2),0)</f>
        <v/>
      </c>
      <c r="AM51" s="5">
        <f>IFERROR(ROUND(AB51/AE51,2),0)</f>
        <v/>
      </c>
      <c r="AN51" s="2" t="inlineStr">
        <is>
          <t>2023-10-25</t>
        </is>
      </c>
      <c r="AO51" s="5">
        <f>ROUND(17.219726,2)</f>
        <v/>
      </c>
      <c r="AP51" s="3">
        <f>ROUND(9255.0,2)</f>
        <v/>
      </c>
      <c r="AQ51" s="3">
        <f>ROUND(133.0,2)</f>
        <v/>
      </c>
      <c r="AR51" s="3">
        <f>ROUND(714.0,2)</f>
        <v/>
      </c>
      <c r="AS51" s="3">
        <f>ROUND(3077.0,2)</f>
        <v/>
      </c>
      <c r="AT51" s="3">
        <f>ROUND(1460.0,2)</f>
        <v/>
      </c>
      <c r="AU51" s="3">
        <f>ROUND(1013.0,2)</f>
        <v/>
      </c>
      <c r="AV51" s="3">
        <f>ROUND(668.0,2)</f>
        <v/>
      </c>
      <c r="AW51" s="4">
        <f>IFERROR((AQ51/AP51),0)</f>
        <v/>
      </c>
      <c r="AX51" s="4">
        <f>IFERROR(((0+AO11+AO12+AO13+AO14+AO15+AO16+AO17+AO19+AO20+AO21+AO22+AO23+AO24+AO25+AO27+AO28+AO29+AO30+AO31+AO32+AO33+AO35+AO36+AO37+AO38+AO39+AO40+AO41+AO43+AO44+AO45+AO46+AO47+AO48+AO49+AO51)/T2),0)</f>
        <v/>
      </c>
      <c r="AY51" s="5">
        <f>IFERROR(ROUND(AO51/AQ51,2),0)</f>
        <v/>
      </c>
      <c r="AZ51" s="5">
        <f>IFERROR(ROUND(AO51/AR51,2),0)</f>
        <v/>
      </c>
      <c r="BA51" s="2" t="inlineStr">
        <is>
          <t>2023-10-25</t>
        </is>
      </c>
      <c r="BB51" s="5">
        <f>ROUND(44.960882,2)</f>
        <v/>
      </c>
      <c r="BC51" s="3">
        <f>ROUND(51971.0,2)</f>
        <v/>
      </c>
      <c r="BD51" s="3">
        <f>ROUND(823.0,2)</f>
        <v/>
      </c>
      <c r="BE51" s="3">
        <f>ROUND(13344.0,2)</f>
        <v/>
      </c>
      <c r="BF51" s="3">
        <f>ROUND(43467.0,2)</f>
        <v/>
      </c>
      <c r="BG51" s="3">
        <f>ROUND(21821.0,2)</f>
        <v/>
      </c>
      <c r="BH51" s="3">
        <f>ROUND(15350.0,2)</f>
        <v/>
      </c>
      <c r="BI51" s="3">
        <f>ROUND(11570.0,2)</f>
        <v/>
      </c>
      <c r="BJ51" s="4">
        <f>IFERROR((BD51/BC51),0)</f>
        <v/>
      </c>
      <c r="BK51" s="4">
        <f>IFERROR(((0+BB11+BB12+BB13+BB14+BB15+BB16+BB17+BB19+BB20+BB21+BB22+BB23+BB24+BB25+BB27+BB28+BB29+BB30+BB31+BB32+BB33+BB35+BB36+BB37+BB38+BB39+BB40+BB41+BB43+BB44+BB45+BB46+BB47+BB48+BB49+BB51)/T2),0)</f>
        <v/>
      </c>
      <c r="BL51" s="5">
        <f>IFERROR(ROUND(BB51/BD51,2),0)</f>
        <v/>
      </c>
      <c r="BM51" s="5">
        <f>IFERROR(ROUND(BB51/BE51,2),0)</f>
        <v/>
      </c>
    </row>
    <row r="52">
      <c r="A52" s="2" t="inlineStr">
        <is>
          <t>2023-10-26</t>
        </is>
      </c>
      <c r="B52" s="5">
        <f>ROUND(107.766296,2)</f>
        <v/>
      </c>
      <c r="C52" s="3">
        <f>ROUND(109824.0,2)</f>
        <v/>
      </c>
      <c r="D52" s="3">
        <f>ROUND(1914.0,2)</f>
        <v/>
      </c>
      <c r="E52" s="3">
        <f>ROUND(26865.0,2)</f>
        <v/>
      </c>
      <c r="F52" s="3">
        <f>ROUND(93858.0,2)</f>
        <v/>
      </c>
      <c r="G52" s="3">
        <f>ROUND(44433.0,2)</f>
        <v/>
      </c>
      <c r="H52" s="3">
        <f>ROUND(31236.0,2)</f>
        <v/>
      </c>
      <c r="I52" s="3">
        <f>ROUND(23987.0,2)</f>
        <v/>
      </c>
      <c r="J52" s="4">
        <f>IFERROR((D52/C52),0)</f>
        <v/>
      </c>
      <c r="K52" s="4">
        <f>IFERROR(((0+B11+B12+B13+B14+B15+B16+B17+B19+B20+B21+B22+B23+B24+B25+B27+B28+B29+B30+B31+B32+B33+B35+B36+B37+B38+B39+B40+B41+B43+B44+B45+B46+B47+B48+B49+B51+B52)/T2),0)</f>
        <v/>
      </c>
      <c r="L52" s="5">
        <f>IFERROR(ROUND(B52/D52,2),0)</f>
        <v/>
      </c>
      <c r="M52" s="5">
        <f>IFERROR(ROUND(B52/E52,2),0)</f>
        <v/>
      </c>
      <c r="N52" s="2" t="inlineStr">
        <is>
          <t>2023-10-26</t>
        </is>
      </c>
      <c r="O52" s="5">
        <f>ROUND(18.519394,2)</f>
        <v/>
      </c>
      <c r="P52" s="3">
        <f>ROUND(16133.0,2)</f>
        <v/>
      </c>
      <c r="Q52" s="3">
        <f>ROUND(316.0,2)</f>
        <v/>
      </c>
      <c r="R52" s="3">
        <f>ROUND(3675.0,2)</f>
        <v/>
      </c>
      <c r="S52" s="3">
        <f>ROUND(14641.0,2)</f>
        <v/>
      </c>
      <c r="T52" s="3">
        <f>ROUND(6181.0,2)</f>
        <v/>
      </c>
      <c r="U52" s="3">
        <f>ROUND(4465.0,2)</f>
        <v/>
      </c>
      <c r="V52" s="3">
        <f>ROUND(3370.0,2)</f>
        <v/>
      </c>
      <c r="W52" s="4">
        <f>IFERROR((Q52/P52),0)</f>
        <v/>
      </c>
      <c r="X52" s="4">
        <f>IFERROR(((0+O11+O12+O13+O14+O15+O16+O17+O19+O20+O21+O22+O23+O24+O25+O27+O28+O29+O30+O31+O32+O33+O35+O36+O37+O38+O39+O40+O41+O43+O44+O45+O46+O47+O48+O49+O51+O52)/T2),0)</f>
        <v/>
      </c>
      <c r="Y52" s="5">
        <f>IFERROR(ROUND(O52/Q52,2),0)</f>
        <v/>
      </c>
      <c r="Z52" s="5">
        <f>IFERROR(ROUND(O52/R52,2),0)</f>
        <v/>
      </c>
      <c r="AA52" s="2" t="inlineStr">
        <is>
          <t>2023-10-26</t>
        </is>
      </c>
      <c r="AB52" s="5">
        <f>ROUND(21.713765,2)</f>
        <v/>
      </c>
      <c r="AC52" s="3">
        <f>ROUND(22110.0,2)</f>
        <v/>
      </c>
      <c r="AD52" s="3">
        <f>ROUND(463.0,2)</f>
        <v/>
      </c>
      <c r="AE52" s="3">
        <f>ROUND(5311.0,2)</f>
        <v/>
      </c>
      <c r="AF52" s="3">
        <f>ROUND(20061.0,2)</f>
        <v/>
      </c>
      <c r="AG52" s="3">
        <f>ROUND(8894.0,2)</f>
        <v/>
      </c>
      <c r="AH52" s="3">
        <f>ROUND(6148.0,2)</f>
        <v/>
      </c>
      <c r="AI52" s="3">
        <f>ROUND(4881.0,2)</f>
        <v/>
      </c>
      <c r="AJ52" s="4">
        <f>IFERROR((AD52/AC52),0)</f>
        <v/>
      </c>
      <c r="AK52" s="4">
        <f>IFERROR(((0+AB11+AB12+AB13+AB14+AB15+AB16+AB17+AB19+AB20+AB21+AB22+AB23+AB24+AB25+AB27+AB28+AB29+AB30+AB31+AB32+AB33+AB35+AB36+AB37+AB38+AB39+AB40+AB41+AB43+AB44+AB45+AB46+AB47+AB48+AB49+AB51+AB52)/T2),0)</f>
        <v/>
      </c>
      <c r="AL52" s="5">
        <f>IFERROR(ROUND(AB52/AD52,2),0)</f>
        <v/>
      </c>
      <c r="AM52" s="5">
        <f>IFERROR(ROUND(AB52/AE52,2),0)</f>
        <v/>
      </c>
      <c r="AN52" s="2" t="inlineStr">
        <is>
          <t>2023-10-26</t>
        </is>
      </c>
      <c r="AO52" s="5">
        <f>ROUND(14.059749,2)</f>
        <v/>
      </c>
      <c r="AP52" s="3">
        <f>ROUND(13542.0,2)</f>
        <v/>
      </c>
      <c r="AQ52" s="3">
        <f>ROUND(194.0,2)</f>
        <v/>
      </c>
      <c r="AR52" s="3">
        <f>ROUND(1038.0,2)</f>
        <v/>
      </c>
      <c r="AS52" s="3">
        <f>ROUND(4514.0,2)</f>
        <v/>
      </c>
      <c r="AT52" s="3">
        <f>ROUND(1966.0,2)</f>
        <v/>
      </c>
      <c r="AU52" s="3">
        <f>ROUND(1374.0,2)</f>
        <v/>
      </c>
      <c r="AV52" s="3">
        <f>ROUND(975.0,2)</f>
        <v/>
      </c>
      <c r="AW52" s="4">
        <f>IFERROR((AQ52/AP52),0)</f>
        <v/>
      </c>
      <c r="AX52" s="4">
        <f>IFERROR(((0+AO11+AO12+AO13+AO14+AO15+AO16+AO17+AO19+AO20+AO21+AO22+AO23+AO24+AO25+AO27+AO28+AO29+AO30+AO31+AO32+AO33+AO35+AO36+AO37+AO38+AO39+AO40+AO41+AO43+AO44+AO45+AO46+AO47+AO48+AO49+AO51+AO52)/T2),0)</f>
        <v/>
      </c>
      <c r="AY52" s="5">
        <f>IFERROR(ROUND(AO52/AQ52,2),0)</f>
        <v/>
      </c>
      <c r="AZ52" s="5">
        <f>IFERROR(ROUND(AO52/AR52,2),0)</f>
        <v/>
      </c>
      <c r="BA52" s="2" t="inlineStr">
        <is>
          <t>2023-10-26</t>
        </is>
      </c>
      <c r="BB52" s="5">
        <f>ROUND(53.473388,2)</f>
        <v/>
      </c>
      <c r="BC52" s="3">
        <f>ROUND(58039.0,2)</f>
        <v/>
      </c>
      <c r="BD52" s="3">
        <f>ROUND(941.0,2)</f>
        <v/>
      </c>
      <c r="BE52" s="3">
        <f>ROUND(16841.0,2)</f>
        <v/>
      </c>
      <c r="BF52" s="3">
        <f>ROUND(54642.0,2)</f>
        <v/>
      </c>
      <c r="BG52" s="3">
        <f>ROUND(27392.0,2)</f>
        <v/>
      </c>
      <c r="BH52" s="3">
        <f>ROUND(19249.0,2)</f>
        <v/>
      </c>
      <c r="BI52" s="3">
        <f>ROUND(14761.0,2)</f>
        <v/>
      </c>
      <c r="BJ52" s="4">
        <f>IFERROR((BD52/BC52),0)</f>
        <v/>
      </c>
      <c r="BK52" s="4">
        <f>IFERROR(((0+BB11+BB12+BB13+BB14+BB15+BB16+BB17+BB19+BB20+BB21+BB22+BB23+BB24+BB25+BB27+BB28+BB29+BB30+BB31+BB32+BB33+BB35+BB36+BB37+BB38+BB39+BB40+BB41+BB43+BB44+BB45+BB46+BB47+BB48+BB49+BB51+BB52)/T2),0)</f>
        <v/>
      </c>
      <c r="BL52" s="5">
        <f>IFERROR(ROUND(BB52/BD52,2),0)</f>
        <v/>
      </c>
      <c r="BM52" s="5">
        <f>IFERROR(ROUND(BB52/BE52,2),0)</f>
        <v/>
      </c>
    </row>
    <row r="53">
      <c r="A53" s="2" t="inlineStr">
        <is>
          <t>2023-10-27</t>
        </is>
      </c>
      <c r="B53" s="5">
        <f>ROUND(107.75870499999999,2)</f>
        <v/>
      </c>
      <c r="C53" s="3">
        <f>ROUND(120423.0,2)</f>
        <v/>
      </c>
      <c r="D53" s="3">
        <f>ROUND(1919.0,2)</f>
        <v/>
      </c>
      <c r="E53" s="3">
        <f>ROUND(32000.0,2)</f>
        <v/>
      </c>
      <c r="F53" s="3">
        <f>ROUND(110605.0,2)</f>
        <v/>
      </c>
      <c r="G53" s="3">
        <f>ROUND(53992.0,2)</f>
        <v/>
      </c>
      <c r="H53" s="3">
        <f>ROUND(37820.0,2)</f>
        <v/>
      </c>
      <c r="I53" s="3">
        <f>ROUND(28414.0,2)</f>
        <v/>
      </c>
      <c r="J53" s="4">
        <f>IFERROR((D53/C53),0)</f>
        <v/>
      </c>
      <c r="K53" s="4">
        <f>IFERROR(((0+B11+B12+B13+B14+B15+B16+B17+B19+B20+B21+B22+B23+B24+B25+B27+B28+B29+B30+B31+B32+B33+B35+B36+B37+B38+B39+B40+B41+B43+B44+B45+B46+B47+B48+B49+B51+B52+B53)/T2),0)</f>
        <v/>
      </c>
      <c r="L53" s="5">
        <f>IFERROR(ROUND(B53/D53,2),0)</f>
        <v/>
      </c>
      <c r="M53" s="5">
        <f>IFERROR(ROUND(B53/E53,2),0)</f>
        <v/>
      </c>
      <c r="N53" s="2" t="inlineStr">
        <is>
          <t>2023-10-27</t>
        </is>
      </c>
      <c r="O53" s="5">
        <f>ROUND(14.545715,2)</f>
        <v/>
      </c>
      <c r="P53" s="3">
        <f>ROUND(11655.0,2)</f>
        <v/>
      </c>
      <c r="Q53" s="3">
        <f>ROUND(246.0,2)</f>
        <v/>
      </c>
      <c r="R53" s="3">
        <f>ROUND(2751.0,2)</f>
        <v/>
      </c>
      <c r="S53" s="3">
        <f>ROUND(10745.0,2)</f>
        <v/>
      </c>
      <c r="T53" s="3">
        <f>ROUND(4585.0,2)</f>
        <v/>
      </c>
      <c r="U53" s="3">
        <f>ROUND(3338.0,2)</f>
        <v/>
      </c>
      <c r="V53" s="3">
        <f>ROUND(2502.0,2)</f>
        <v/>
      </c>
      <c r="W53" s="4">
        <f>IFERROR((Q53/P53),0)</f>
        <v/>
      </c>
      <c r="X53" s="4">
        <f>IFERROR(((0+O11+O12+O13+O14+O15+O16+O17+O19+O20+O21+O22+O23+O24+O25+O27+O28+O29+O30+O31+O32+O33+O35+O36+O37+O38+O39+O40+O41+O43+O44+O45+O46+O47+O48+O49+O51+O52+O53)/T2),0)</f>
        <v/>
      </c>
      <c r="Y53" s="5">
        <f>IFERROR(ROUND(O53/Q53,2),0)</f>
        <v/>
      </c>
      <c r="Z53" s="5">
        <f>IFERROR(ROUND(O53/R53,2),0)</f>
        <v/>
      </c>
      <c r="AA53" s="2" t="inlineStr">
        <is>
          <t>2023-10-27</t>
        </is>
      </c>
      <c r="AB53" s="5">
        <f>ROUND(18.799789,2)</f>
        <v/>
      </c>
      <c r="AC53" s="3">
        <f>ROUND(21564.0,2)</f>
        <v/>
      </c>
      <c r="AD53" s="3">
        <f>ROUND(479.0,2)</f>
        <v/>
      </c>
      <c r="AE53" s="3">
        <f>ROUND(5257.0,2)</f>
        <v/>
      </c>
      <c r="AF53" s="3">
        <f>ROUND(20063.0,2)</f>
        <v/>
      </c>
      <c r="AG53" s="3">
        <f>ROUND(8982.0,2)</f>
        <v/>
      </c>
      <c r="AH53" s="3">
        <f>ROUND(6120.0,2)</f>
        <v/>
      </c>
      <c r="AI53" s="3">
        <f>ROUND(4787.0,2)</f>
        <v/>
      </c>
      <c r="AJ53" s="4">
        <f>IFERROR((AD53/AC53),0)</f>
        <v/>
      </c>
      <c r="AK53" s="4">
        <f>IFERROR(((0+AB11+AB12+AB13+AB14+AB15+AB16+AB17+AB19+AB20+AB21+AB22+AB23+AB24+AB25+AB27+AB28+AB29+AB30+AB31+AB32+AB33+AB35+AB36+AB37+AB38+AB39+AB40+AB41+AB43+AB44+AB45+AB46+AB47+AB48+AB49+AB51+AB52+AB53)/T2),0)</f>
        <v/>
      </c>
      <c r="AL53" s="5">
        <f>IFERROR(ROUND(AB53/AD53,2),0)</f>
        <v/>
      </c>
      <c r="AM53" s="5">
        <f>IFERROR(ROUND(AB53/AE53,2),0)</f>
        <v/>
      </c>
      <c r="AN53" s="2" t="inlineStr">
        <is>
          <t>2023-10-27</t>
        </is>
      </c>
      <c r="AO53" s="5">
        <f>ROUND(10.609054,2)</f>
        <v/>
      </c>
      <c r="AP53" s="3">
        <f>ROUND(8077.0,2)</f>
        <v/>
      </c>
      <c r="AQ53" s="3">
        <f>ROUND(113.0,2)</f>
        <v/>
      </c>
      <c r="AR53" s="3">
        <f>ROUND(1035.0,2)</f>
        <v/>
      </c>
      <c r="AS53" s="3">
        <f>ROUND(5307.0,2)</f>
        <v/>
      </c>
      <c r="AT53" s="3">
        <f>ROUND(2577.0,2)</f>
        <v/>
      </c>
      <c r="AU53" s="3">
        <f>ROUND(1755.0,2)</f>
        <v/>
      </c>
      <c r="AV53" s="3">
        <f>ROUND(1028.0,2)</f>
        <v/>
      </c>
      <c r="AW53" s="4">
        <f>IFERROR((AQ53/AP53),0)</f>
        <v/>
      </c>
      <c r="AX53" s="4">
        <f>IFERROR(((0+AO11+AO12+AO13+AO14+AO15+AO16+AO17+AO19+AO20+AO21+AO22+AO23+AO24+AO25+AO27+AO28+AO29+AO30+AO31+AO32+AO33+AO35+AO36+AO37+AO38+AO39+AO40+AO41+AO43+AO44+AO45+AO46+AO47+AO48+AO49+AO51+AO52+AO53)/T2),0)</f>
        <v/>
      </c>
      <c r="AY53" s="5">
        <f>IFERROR(ROUND(AO53/AQ53,2),0)</f>
        <v/>
      </c>
      <c r="AZ53" s="5">
        <f>IFERROR(ROUND(AO53/AR53,2),0)</f>
        <v/>
      </c>
      <c r="BA53" s="2" t="inlineStr">
        <is>
          <t>2023-10-27</t>
        </is>
      </c>
      <c r="BB53" s="5">
        <f>ROUND(63.804147,2)</f>
        <v/>
      </c>
      <c r="BC53" s="3">
        <f>ROUND(79127.0,2)</f>
        <v/>
      </c>
      <c r="BD53" s="3">
        <f>ROUND(1081.0,2)</f>
        <v/>
      </c>
      <c r="BE53" s="3">
        <f>ROUND(22957.0,2)</f>
        <v/>
      </c>
      <c r="BF53" s="3">
        <f>ROUND(74490.0,2)</f>
        <v/>
      </c>
      <c r="BG53" s="3">
        <f>ROUND(37848.0,2)</f>
        <v/>
      </c>
      <c r="BH53" s="3">
        <f>ROUND(26607.0,2)</f>
        <v/>
      </c>
      <c r="BI53" s="3">
        <f>ROUND(20097.0,2)</f>
        <v/>
      </c>
      <c r="BJ53" s="4">
        <f>IFERROR((BD53/BC53),0)</f>
        <v/>
      </c>
      <c r="BK53" s="4">
        <f>IFERROR(((0+BB11+BB12+BB13+BB14+BB15+BB16+BB17+BB19+BB20+BB21+BB22+BB23+BB24+BB25+BB27+BB28+BB29+BB30+BB31+BB32+BB33+BB35+BB36+BB37+BB38+BB39+BB40+BB41+BB43+BB44+BB45+BB46+BB47+BB48+BB49+BB51+BB52+BB53)/T2),0)</f>
        <v/>
      </c>
      <c r="BL53" s="5">
        <f>IFERROR(ROUND(BB53/BD53,2),0)</f>
        <v/>
      </c>
      <c r="BM53" s="5">
        <f>IFERROR(ROUND(BB53/BE53,2),0)</f>
        <v/>
      </c>
    </row>
    <row r="54">
      <c r="A54" s="2" t="inlineStr">
        <is>
          <t>2023-10-28</t>
        </is>
      </c>
      <c r="B54" s="5">
        <f>ROUND(107.903062,2)</f>
        <v/>
      </c>
      <c r="C54" s="3">
        <f>ROUND(176899.0,2)</f>
        <v/>
      </c>
      <c r="D54" s="3">
        <f>ROUND(2267.0,2)</f>
        <v/>
      </c>
      <c r="E54" s="3">
        <f>ROUND(52444.0,2)</f>
        <v/>
      </c>
      <c r="F54" s="3">
        <f>ROUND(161206.0,2)</f>
        <v/>
      </c>
      <c r="G54" s="3">
        <f>ROUND(83314.0,2)</f>
        <v/>
      </c>
      <c r="H54" s="3">
        <f>ROUND(60810.0,2)</f>
        <v/>
      </c>
      <c r="I54" s="3">
        <f>ROUND(45938.0,2)</f>
        <v/>
      </c>
      <c r="J54" s="4">
        <f>IFERROR((D54/C54),0)</f>
        <v/>
      </c>
      <c r="K54" s="4">
        <f>IFERROR(((0+B11+B12+B13+B14+B15+B16+B17+B19+B20+B21+B22+B23+B24+B25+B27+B28+B29+B30+B31+B32+B33+B35+B36+B37+B38+B39+B40+B41+B43+B44+B45+B46+B47+B48+B49+B51+B52+B53+B54)/T2),0)</f>
        <v/>
      </c>
      <c r="L54" s="5">
        <f>IFERROR(ROUND(B54/D54,2),0)</f>
        <v/>
      </c>
      <c r="M54" s="5">
        <f>IFERROR(ROUND(B54/E54,2),0)</f>
        <v/>
      </c>
      <c r="N54" s="2" t="inlineStr">
        <is>
          <t>2023-10-28</t>
        </is>
      </c>
      <c r="O54" s="5">
        <f>ROUND(11.315267,2)</f>
        <v/>
      </c>
      <c r="P54" s="3">
        <f>ROUND(6559.0,2)</f>
        <v/>
      </c>
      <c r="Q54" s="3">
        <f>ROUND(119.0,2)</f>
        <v/>
      </c>
      <c r="R54" s="3">
        <f>ROUND(1545.0,2)</f>
        <v/>
      </c>
      <c r="S54" s="3">
        <f>ROUND(6020.0,2)</f>
        <v/>
      </c>
      <c r="T54" s="3">
        <f>ROUND(2531.0,2)</f>
        <v/>
      </c>
      <c r="U54" s="3">
        <f>ROUND(1902.0,2)</f>
        <v/>
      </c>
      <c r="V54" s="3">
        <f>ROUND(1440.0,2)</f>
        <v/>
      </c>
      <c r="W54" s="4">
        <f>IFERROR((Q54/P54),0)</f>
        <v/>
      </c>
      <c r="X54" s="4">
        <f>IFERROR(((0+O11+O12+O13+O14+O15+O16+O17+O19+O20+O21+O22+O23+O24+O25+O27+O28+O29+O30+O31+O32+O33+O35+O36+O37+O38+O39+O40+O41+O43+O44+O45+O46+O47+O48+O49+O51+O52+O53+O54)/T2),0)</f>
        <v/>
      </c>
      <c r="Y54" s="5">
        <f>IFERROR(ROUND(O54/Q54,2),0)</f>
        <v/>
      </c>
      <c r="Z54" s="5">
        <f>IFERROR(ROUND(O54/R54,2),0)</f>
        <v/>
      </c>
      <c r="AA54" s="2" t="inlineStr">
        <is>
          <t>2023-10-28</t>
        </is>
      </c>
      <c r="AB54" s="5">
        <f>ROUND(15.396024,2)</f>
        <v/>
      </c>
      <c r="AC54" s="3">
        <f>ROUND(12388.0,2)</f>
        <v/>
      </c>
      <c r="AD54" s="3">
        <f>ROUND(186.0,2)</f>
        <v/>
      </c>
      <c r="AE54" s="3">
        <f>ROUND(3187.0,2)</f>
        <v/>
      </c>
      <c r="AF54" s="3">
        <f>ROUND(11434.0,2)</f>
        <v/>
      </c>
      <c r="AG54" s="3">
        <f>ROUND(5427.0,2)</f>
        <v/>
      </c>
      <c r="AH54" s="3">
        <f>ROUND(3775.0,2)</f>
        <v/>
      </c>
      <c r="AI54" s="3">
        <f>ROUND(2990.0,2)</f>
        <v/>
      </c>
      <c r="AJ54" s="4">
        <f>IFERROR((AD54/AC54),0)</f>
        <v/>
      </c>
      <c r="AK54" s="4">
        <f>IFERROR(((0+AB11+AB12+AB13+AB14+AB15+AB16+AB17+AB19+AB20+AB21+AB22+AB23+AB24+AB25+AB27+AB28+AB29+AB30+AB31+AB32+AB33+AB35+AB36+AB37+AB38+AB39+AB40+AB41+AB43+AB44+AB45+AB46+AB47+AB48+AB49+AB51+AB52+AB53+AB54)/T2),0)</f>
        <v/>
      </c>
      <c r="AL54" s="5">
        <f>IFERROR(ROUND(AB54/AD54,2),0)</f>
        <v/>
      </c>
      <c r="AM54" s="5">
        <f>IFERROR(ROUND(AB54/AE54,2),0)</f>
        <v/>
      </c>
      <c r="AN54" s="2" t="inlineStr">
        <is>
          <t>2023-10-28</t>
        </is>
      </c>
      <c r="AO54" s="5">
        <f>ROUND(9.012893,2)</f>
        <v/>
      </c>
      <c r="AP54" s="3">
        <f>ROUND(11236.0,2)</f>
        <v/>
      </c>
      <c r="AQ54" s="3">
        <f>ROUND(155.0,2)</f>
        <v/>
      </c>
      <c r="AR54" s="3">
        <f>ROUND(839.0,2)</f>
        <v/>
      </c>
      <c r="AS54" s="3">
        <f>ROUND(3919.0,2)</f>
        <v/>
      </c>
      <c r="AT54" s="3">
        <f>ROUND(1779.0,2)</f>
        <v/>
      </c>
      <c r="AU54" s="3">
        <f>ROUND(1262.0,2)</f>
        <v/>
      </c>
      <c r="AV54" s="3">
        <f>ROUND(829.0,2)</f>
        <v/>
      </c>
      <c r="AW54" s="4">
        <f>IFERROR((AQ54/AP54),0)</f>
        <v/>
      </c>
      <c r="AX54" s="4">
        <f>IFERROR(((0+AO11+AO12+AO13+AO14+AO15+AO16+AO17+AO19+AO20+AO21+AO22+AO23+AO24+AO25+AO27+AO28+AO29+AO30+AO31+AO32+AO33+AO35+AO36+AO37+AO38+AO39+AO40+AO41+AO43+AO44+AO45+AO46+AO47+AO48+AO49+AO51+AO52+AO53+AO54)/T2),0)</f>
        <v/>
      </c>
      <c r="AY54" s="5">
        <f>IFERROR(ROUND(AO54/AQ54,2),0)</f>
        <v/>
      </c>
      <c r="AZ54" s="5">
        <f>IFERROR(ROUND(AO54/AR54,2),0)</f>
        <v/>
      </c>
      <c r="BA54" s="2" t="inlineStr">
        <is>
          <t>2023-10-28</t>
        </is>
      </c>
      <c r="BB54" s="5">
        <f>ROUND(72.178878,2)</f>
        <v/>
      </c>
      <c r="BC54" s="3">
        <f>ROUND(146716.0,2)</f>
        <v/>
      </c>
      <c r="BD54" s="3">
        <f>ROUND(1807.0,2)</f>
        <v/>
      </c>
      <c r="BE54" s="3">
        <f>ROUND(46873.0,2)</f>
        <v/>
      </c>
      <c r="BF54" s="3">
        <f>ROUND(139833.0,2)</f>
        <v/>
      </c>
      <c r="BG54" s="3">
        <f>ROUND(73577.0,2)</f>
        <v/>
      </c>
      <c r="BH54" s="3">
        <f>ROUND(53871.0,2)</f>
        <v/>
      </c>
      <c r="BI54" s="3">
        <f>ROUND(40679.0,2)</f>
        <v/>
      </c>
      <c r="BJ54" s="4">
        <f>IFERROR((BD54/BC54),0)</f>
        <v/>
      </c>
      <c r="BK54" s="4">
        <f>IFERROR(((0+BB11+BB12+BB13+BB14+BB15+BB16+BB17+BB19+BB20+BB21+BB22+BB23+BB24+BB25+BB27+BB28+BB29+BB30+BB31+BB32+BB33+BB35+BB36+BB37+BB38+BB39+BB40+BB41+BB43+BB44+BB45+BB46+BB47+BB48+BB49+BB51+BB52+BB53+BB54)/T2),0)</f>
        <v/>
      </c>
      <c r="BL54" s="5">
        <f>IFERROR(ROUND(BB54/BD54,2),0)</f>
        <v/>
      </c>
      <c r="BM54" s="5">
        <f>IFERROR(ROUND(BB54/BE54,2),0)</f>
        <v/>
      </c>
    </row>
    <row r="55">
      <c r="A55" s="2" t="inlineStr">
        <is>
          <t>2023-10-29</t>
        </is>
      </c>
      <c r="B55" s="5">
        <f>ROUND(108.100992,2)</f>
        <v/>
      </c>
      <c r="C55" s="3">
        <f>ROUND(151448.0,2)</f>
        <v/>
      </c>
      <c r="D55" s="3">
        <f>ROUND(2181.0,2)</f>
        <v/>
      </c>
      <c r="E55" s="3">
        <f>ROUND(44324.0,2)</f>
        <v/>
      </c>
      <c r="F55" s="3">
        <f>ROUND(139106.0,2)</f>
        <v/>
      </c>
      <c r="G55" s="3">
        <f>ROUND(70781.0,2)</f>
        <v/>
      </c>
      <c r="H55" s="3">
        <f>ROUND(51047.0,2)</f>
        <v/>
      </c>
      <c r="I55" s="3">
        <f>ROUND(39220.0,2)</f>
        <v/>
      </c>
      <c r="J55" s="4">
        <f>IFERROR((D55/C55),0)</f>
        <v/>
      </c>
      <c r="K55" s="4">
        <f>IFERROR(((0+B11+B12+B13+B14+B15+B16+B17+B19+B20+B21+B22+B23+B24+B25+B27+B28+B29+B30+B31+B32+B33+B35+B36+B37+B38+B39+B40+B41+B43+B44+B45+B46+B47+B48+B49+B51+B52+B53+B54+B55)/T2),0)</f>
        <v/>
      </c>
      <c r="L55" s="5">
        <f>IFERROR(ROUND(B55/D55,2),0)</f>
        <v/>
      </c>
      <c r="M55" s="5">
        <f>IFERROR(ROUND(B55/E55,2),0)</f>
        <v/>
      </c>
      <c r="N55" s="2" t="inlineStr">
        <is>
          <t>2023-10-29</t>
        </is>
      </c>
      <c r="O55" s="5">
        <f>ROUND(8.995144,2)</f>
        <v/>
      </c>
      <c r="P55" s="3">
        <f>ROUND(4916.0,2)</f>
        <v/>
      </c>
      <c r="Q55" s="3">
        <f>ROUND(105.0,2)</f>
        <v/>
      </c>
      <c r="R55" s="3">
        <f>ROUND(1062.0,2)</f>
        <v/>
      </c>
      <c r="S55" s="3">
        <f>ROUND(4416.0,2)</f>
        <v/>
      </c>
      <c r="T55" s="3">
        <f>ROUND(1783.0,2)</f>
        <v/>
      </c>
      <c r="U55" s="3">
        <f>ROUND(1312.0,2)</f>
        <v/>
      </c>
      <c r="V55" s="3">
        <f>ROUND(959.0,2)</f>
        <v/>
      </c>
      <c r="W55" s="4">
        <f>IFERROR((Q55/P55),0)</f>
        <v/>
      </c>
      <c r="X55" s="4">
        <f>IFERROR(((0+O11+O12+O13+O14+O15+O16+O17+O19+O20+O21+O22+O23+O24+O25+O27+O28+O29+O30+O31+O32+O33+O35+O36+O37+O38+O39+O40+O41+O43+O44+O45+O46+O47+O48+O49+O51+O52+O53+O54+O55)/T2),0)</f>
        <v/>
      </c>
      <c r="Y55" s="5">
        <f>IFERROR(ROUND(O55/Q55,2),0)</f>
        <v/>
      </c>
      <c r="Z55" s="5">
        <f>IFERROR(ROUND(O55/R55,2),0)</f>
        <v/>
      </c>
      <c r="AA55" s="2" t="inlineStr">
        <is>
          <t>2023-10-29</t>
        </is>
      </c>
      <c r="AB55" s="5">
        <f>ROUND(12.480138,2)</f>
        <v/>
      </c>
      <c r="AC55" s="3">
        <f>ROUND(6656.0,2)</f>
        <v/>
      </c>
      <c r="AD55" s="3">
        <f>ROUND(129.0,2)</f>
        <v/>
      </c>
      <c r="AE55" s="3">
        <f>ROUND(1659.0,2)</f>
        <v/>
      </c>
      <c r="AF55" s="3">
        <f>ROUND(6013.0,2)</f>
        <v/>
      </c>
      <c r="AG55" s="3">
        <f>ROUND(2764.0,2)</f>
        <v/>
      </c>
      <c r="AH55" s="3">
        <f>ROUND(1909.0,2)</f>
        <v/>
      </c>
      <c r="AI55" s="3">
        <f>ROUND(1530.0,2)</f>
        <v/>
      </c>
      <c r="AJ55" s="4">
        <f>IFERROR((AD55/AC55),0)</f>
        <v/>
      </c>
      <c r="AK55" s="4">
        <f>IFERROR(((0+AB11+AB12+AB13+AB14+AB15+AB16+AB17+AB19+AB20+AB21+AB22+AB23+AB24+AB25+AB27+AB28+AB29+AB30+AB31+AB32+AB33+AB35+AB36+AB37+AB38+AB39+AB40+AB41+AB43+AB44+AB45+AB46+AB47+AB48+AB49+AB51+AB52+AB53+AB54+AB55)/T2),0)</f>
        <v/>
      </c>
      <c r="AL55" s="5">
        <f>IFERROR(ROUND(AB55/AD55,2),0)</f>
        <v/>
      </c>
      <c r="AM55" s="5">
        <f>IFERROR(ROUND(AB55/AE55,2),0)</f>
        <v/>
      </c>
      <c r="AN55" s="2" t="inlineStr">
        <is>
          <t>2023-10-29</t>
        </is>
      </c>
      <c r="AO55" s="5">
        <f>ROUND(7.345433,2)</f>
        <v/>
      </c>
      <c r="AP55" s="3">
        <f>ROUND(7055.0,2)</f>
        <v/>
      </c>
      <c r="AQ55" s="3">
        <f>ROUND(111.0,2)</f>
        <v/>
      </c>
      <c r="AR55" s="3">
        <f>ROUND(739.0,2)</f>
        <v/>
      </c>
      <c r="AS55" s="3">
        <f>ROUND(3656.0,2)</f>
        <v/>
      </c>
      <c r="AT55" s="3">
        <f>ROUND(1754.0,2)</f>
        <v/>
      </c>
      <c r="AU55" s="3">
        <f>ROUND(1256.0,2)</f>
        <v/>
      </c>
      <c r="AV55" s="3">
        <f>ROUND(795.0,2)</f>
        <v/>
      </c>
      <c r="AW55" s="4">
        <f>IFERROR((AQ55/AP55),0)</f>
        <v/>
      </c>
      <c r="AX55" s="4">
        <f>IFERROR(((0+AO11+AO12+AO13+AO14+AO15+AO16+AO17+AO19+AO20+AO21+AO22+AO23+AO24+AO25+AO27+AO28+AO29+AO30+AO31+AO32+AO33+AO35+AO36+AO37+AO38+AO39+AO40+AO41+AO43+AO44+AO45+AO46+AO47+AO48+AO49+AO51+AO52+AO53+AO54+AO55)/T2),0)</f>
        <v/>
      </c>
      <c r="AY55" s="5">
        <f>IFERROR(ROUND(AO55/AQ55,2),0)</f>
        <v/>
      </c>
      <c r="AZ55" s="5">
        <f>IFERROR(ROUND(AO55/AR55,2),0)</f>
        <v/>
      </c>
      <c r="BA55" s="2" t="inlineStr">
        <is>
          <t>2023-10-29</t>
        </is>
      </c>
      <c r="BB55" s="5">
        <f>ROUND(79.280277,2)</f>
        <v/>
      </c>
      <c r="BC55" s="3">
        <f>ROUND(132821.0,2)</f>
        <v/>
      </c>
      <c r="BD55" s="3">
        <f>ROUND(1836.0,2)</f>
        <v/>
      </c>
      <c r="BE55" s="3">
        <f>ROUND(40864.0,2)</f>
        <v/>
      </c>
      <c r="BF55" s="3">
        <f>ROUND(125021.0,2)</f>
        <v/>
      </c>
      <c r="BG55" s="3">
        <f>ROUND(64480.0,2)</f>
        <v/>
      </c>
      <c r="BH55" s="3">
        <f>ROUND(46570.0,2)</f>
        <v/>
      </c>
      <c r="BI55" s="3">
        <f>ROUND(35936.0,2)</f>
        <v/>
      </c>
      <c r="BJ55" s="4">
        <f>IFERROR((BD55/BC55),0)</f>
        <v/>
      </c>
      <c r="BK55" s="4">
        <f>IFERROR(((0+BB11+BB12+BB13+BB14+BB15+BB16+BB17+BB19+BB20+BB21+BB22+BB23+BB24+BB25+BB27+BB28+BB29+BB30+BB31+BB32+BB33+BB35+BB36+BB37+BB38+BB39+BB40+BB41+BB43+BB44+BB45+BB46+BB47+BB48+BB49+BB51+BB52+BB53+BB54+BB55)/T2),0)</f>
        <v/>
      </c>
      <c r="BL55" s="5">
        <f>IFERROR(ROUND(BB55/BD55,2),0)</f>
        <v/>
      </c>
      <c r="BM55" s="5">
        <f>IFERROR(ROUND(BB55/BE55,2),0)</f>
        <v/>
      </c>
    </row>
    <row r="56">
      <c r="A56" s="6" t="inlineStr">
        <is>
          <t>Total</t>
        </is>
      </c>
      <c r="B56" s="7">
        <f>ROUND(968.98,2)</f>
        <v/>
      </c>
      <c r="C56" s="8">
        <f>ROUND(1182208.0,2)</f>
        <v/>
      </c>
      <c r="D56" s="8">
        <f>ROUND(22887.0,2)</f>
        <v/>
      </c>
      <c r="E56" s="8">
        <f>ROUND(227015.0,2)</f>
        <v/>
      </c>
      <c r="F56" s="8">
        <f>ROUND(769836.0,2)</f>
        <v/>
      </c>
      <c r="G56" s="8">
        <f>ROUND(371831.0,2)</f>
        <v/>
      </c>
      <c r="H56" s="8">
        <f>ROUND(265202.0,2)</f>
        <v/>
      </c>
      <c r="I56" s="8">
        <f>ROUND(202044.0,2)</f>
        <v/>
      </c>
      <c r="J56" s="9">
        <f>IFERROR((D56/C56),0)</f>
        <v/>
      </c>
      <c r="K56" s="9">
        <f>IFERROR(((0+B56)/T2),0)</f>
        <v/>
      </c>
      <c r="L56" s="7">
        <f>IFERROR(B56/D56,0)</f>
        <v/>
      </c>
      <c r="M56" s="7">
        <f>IFERROR(ROUND(B56/E56,2),0)</f>
        <v/>
      </c>
      <c r="N56" s="6" t="inlineStr">
        <is>
          <t>Total</t>
        </is>
      </c>
      <c r="O56" s="7">
        <f>ROUND(174.81,2)</f>
        <v/>
      </c>
      <c r="P56" s="8">
        <f>ROUND(172072.0,2)</f>
        <v/>
      </c>
      <c r="Q56" s="8">
        <f>ROUND(4116.0,2)</f>
        <v/>
      </c>
      <c r="R56" s="8">
        <f>ROUND(22500.0,2)</f>
        <v/>
      </c>
      <c r="S56" s="8">
        <f>ROUND(88695.0,2)</f>
        <v/>
      </c>
      <c r="T56" s="8">
        <f>ROUND(37386.0,2)</f>
        <v/>
      </c>
      <c r="U56" s="8">
        <f>ROUND(27397.0,2)</f>
        <v/>
      </c>
      <c r="V56" s="8">
        <f>ROUND(20573.0,2)</f>
        <v/>
      </c>
      <c r="W56" s="9">
        <f>IFERROR((Q56/P56),0)</f>
        <v/>
      </c>
      <c r="X56" s="9">
        <f>IFERROR(((0+O56)/T2),0)</f>
        <v/>
      </c>
      <c r="Y56" s="7">
        <f>IFERROR(O56/Q56,0)</f>
        <v/>
      </c>
      <c r="Z56" s="7">
        <f>IFERROR(ROUND(O56/R56,2),0)</f>
        <v/>
      </c>
      <c r="AA56" s="6" t="inlineStr">
        <is>
          <t>Total</t>
        </is>
      </c>
      <c r="AB56" s="7">
        <f>ROUND(197.55,2)</f>
        <v/>
      </c>
      <c r="AC56" s="8">
        <f>ROUND(216462.0,2)</f>
        <v/>
      </c>
      <c r="AD56" s="8">
        <f>ROUND(5102.0,2)</f>
        <v/>
      </c>
      <c r="AE56" s="8">
        <f>ROUND(30900.0,2)</f>
        <v/>
      </c>
      <c r="AF56" s="8">
        <f>ROUND(118577.0,2)</f>
        <v/>
      </c>
      <c r="AG56" s="8">
        <f>ROUND(52072.0,2)</f>
        <v/>
      </c>
      <c r="AH56" s="8">
        <f>ROUND(35752.0,2)</f>
        <v/>
      </c>
      <c r="AI56" s="8">
        <f>ROUND(28524.0,2)</f>
        <v/>
      </c>
      <c r="AJ56" s="9">
        <f>IFERROR((AD56/AC56),0)</f>
        <v/>
      </c>
      <c r="AK56" s="9">
        <f>IFERROR(((0+AB56)/T2),0)</f>
        <v/>
      </c>
      <c r="AL56" s="7">
        <f>IFERROR(AB56/AD56,0)</f>
        <v/>
      </c>
      <c r="AM56" s="7">
        <f>IFERROR(ROUND(AB56/AE56,2),0)</f>
        <v/>
      </c>
      <c r="AN56" s="6" t="inlineStr">
        <is>
          <t>Total</t>
        </is>
      </c>
      <c r="AO56" s="7">
        <f>ROUND(162.07,2)</f>
        <v/>
      </c>
      <c r="AP56" s="8">
        <f>ROUND(139109.0,2)</f>
        <v/>
      </c>
      <c r="AQ56" s="8">
        <f>ROUND(2634.0,2)</f>
        <v/>
      </c>
      <c r="AR56" s="8">
        <f>ROUND(11582.0,2)</f>
        <v/>
      </c>
      <c r="AS56" s="8">
        <f>ROUND(51968.0,2)</f>
        <v/>
      </c>
      <c r="AT56" s="8">
        <f>ROUND(22927.0,2)</f>
        <v/>
      </c>
      <c r="AU56" s="8">
        <f>ROUND(16303.0,2)</f>
        <v/>
      </c>
      <c r="AV56" s="8">
        <f>ROUND(11411.0,2)</f>
        <v/>
      </c>
      <c r="AW56" s="9">
        <f>IFERROR((AQ56/AP56),0)</f>
        <v/>
      </c>
      <c r="AX56" s="9">
        <f>IFERROR(((0+AO56)/T2),0)</f>
        <v/>
      </c>
      <c r="AY56" s="7">
        <f>IFERROR(AO56/AQ56,0)</f>
        <v/>
      </c>
      <c r="AZ56" s="7">
        <f>IFERROR(ROUND(AO56/AR56,2),0)</f>
        <v/>
      </c>
      <c r="BA56" s="6" t="inlineStr">
        <is>
          <t>Total</t>
        </is>
      </c>
      <c r="BB56" s="7">
        <f>ROUND(434.56,2)</f>
        <v/>
      </c>
      <c r="BC56" s="8">
        <f>ROUND(654565.0,2)</f>
        <v/>
      </c>
      <c r="BD56" s="8">
        <f>ROUND(11035.0,2)</f>
        <v/>
      </c>
      <c r="BE56" s="8">
        <f>ROUND(162033.0,2)</f>
        <v/>
      </c>
      <c r="BF56" s="8">
        <f>ROUND(510596.0,2)</f>
        <v/>
      </c>
      <c r="BG56" s="8">
        <f>ROUND(259446.0,2)</f>
        <v/>
      </c>
      <c r="BH56" s="8">
        <f>ROUND(185750.0,2)</f>
        <v/>
      </c>
      <c r="BI56" s="8">
        <f>ROUND(141536.0,2)</f>
        <v/>
      </c>
      <c r="BJ56" s="9">
        <f>IFERROR((BD56/BC56),0)</f>
        <v/>
      </c>
      <c r="BK56" s="9">
        <f>IFERROR(((0+BB56)/T2),0)</f>
        <v/>
      </c>
      <c r="BL56" s="7">
        <f>IFERROR(BB56/BD56,0)</f>
        <v/>
      </c>
      <c r="BM56" s="7">
        <f>IFERROR(ROUND(BB56/BE56,2),0)</f>
        <v/>
      </c>
    </row>
  </sheetData>
  <mergeCells count="4">
    <mergeCell ref="AN9:AZ9"/>
    <mergeCell ref="N9:Z9"/>
    <mergeCell ref="BA9:BM9"/>
    <mergeCell ref="AA9:AM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2023-10-31T09:58:55Z</dcterms:created>
  <dcterms:modified xsi:type="dcterms:W3CDTF">2023-10-31T10:00:10Z</dcterms:modified>
</cp:coreProperties>
</file>