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4" autoFilterDateGrouping="1"/>
  </bookViews>
  <sheets>
    <sheet name="Sheet" sheetId="1" state="visible" r:id="rId1"/>
    <sheet name="facebook" sheetId="2" state="visible" r:id="rId2"/>
    <sheet name="instagram" sheetId="3" state="visible" r:id="rId3"/>
    <sheet name="GDN" sheetId="4" state="visible" r:id="rId4"/>
    <sheet name="YouTub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* #,##0_-;-* #,##0_-;_-* &quot;-&quot;_-;_-@_-"/>
    <numFmt numFmtId="165" formatCode="$#,##0.00"/>
  </numFmts>
  <fonts count="2">
    <font>
      <name val="Calibri"/>
      <family val="2"/>
      <color theme="1"/>
      <sz val="11"/>
      <scheme val="minor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8E1600"/>
        <bgColor rgb="008E16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2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164" fontId="0" fillId="0" borderId="1" applyAlignment="1" pivotButton="0" quotePrefix="0" xfId="0">
      <alignment horizontal="center" wrapText="1"/>
    </xf>
    <xf numFmtId="10" fontId="0" fillId="0" borderId="1" applyAlignment="1" pivotButton="0" quotePrefix="0" xfId="0">
      <alignment horizontal="center" wrapText="1"/>
    </xf>
    <xf numFmtId="165" fontId="0" fillId="0" borderId="1" applyAlignment="1" pivotButton="0" quotePrefix="0" xfId="0">
      <alignment horizontal="center" wrapText="1"/>
    </xf>
    <xf numFmtId="0" fontId="1" fillId="3" borderId="1" applyAlignment="1" pivotButton="0" quotePrefix="0" xfId="0">
      <alignment horizontal="center" wrapText="1"/>
    </xf>
    <xf numFmtId="165" fontId="1" fillId="3" borderId="1" applyAlignment="1" pivotButton="0" quotePrefix="0" xfId="0">
      <alignment horizontal="center" wrapText="1"/>
    </xf>
    <xf numFmtId="164" fontId="1" fillId="3" borderId="1" applyAlignment="1" pivotButton="0" quotePrefix="0" xfId="0">
      <alignment horizontal="center" wrapText="1"/>
    </xf>
    <xf numFmtId="10" fontId="1" fillId="3" borderId="1" applyAlignment="1" pivotButton="0" quotePrefix="0" xfId="0">
      <alignment horizont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M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ROUND(1340.21,2)</f>
        <v/>
      </c>
      <c r="C2" s="3">
        <f>ROUND(3679378.0,2)</f>
        <v/>
      </c>
      <c r="D2" s="3">
        <f>ROUND(203842.0,2)</f>
        <v/>
      </c>
      <c r="E2" s="3">
        <f>ROUND(370983.0,2)</f>
        <v/>
      </c>
      <c r="F2" s="3">
        <f>ROUND(126278.0,2)</f>
        <v/>
      </c>
      <c r="G2" s="3">
        <f>ROUND(77563.0,2)</f>
        <v/>
      </c>
      <c r="H2" s="3">
        <f>ROUND(61963.0,2)</f>
        <v/>
      </c>
      <c r="I2" s="3">
        <f>ROUND(34275.0,2)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ROUND(687.76,2)</f>
        <v/>
      </c>
      <c r="C3" s="3">
        <f>ROUND(2184298.0,2)</f>
        <v/>
      </c>
      <c r="D3" s="3">
        <f>ROUND(104875.0,2)</f>
        <v/>
      </c>
      <c r="E3" s="3">
        <f>ROUND(220275.0,2)</f>
        <v/>
      </c>
      <c r="F3" s="3">
        <f>ROUND(55561.0,2)</f>
        <v/>
      </c>
      <c r="G3" s="3">
        <f>ROUND(33299.0,2)</f>
        <v/>
      </c>
      <c r="H3" s="3">
        <f>ROUND(25726.0,2)</f>
        <v/>
      </c>
      <c r="I3" s="3">
        <f>ROUND(17337.0,2)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6" t="inlineStr">
        <is>
          <t>Total</t>
        </is>
      </c>
      <c r="B4" s="7">
        <f>ROUND(2027.97,2)</f>
        <v/>
      </c>
      <c r="C4" s="8">
        <f>ROUND(5863676.0,2)</f>
        <v/>
      </c>
      <c r="D4" s="8">
        <f>ROUND(308717.0,2)</f>
        <v/>
      </c>
      <c r="E4" s="8">
        <f>ROUND(591258.0,2)</f>
        <v/>
      </c>
      <c r="F4" s="8">
        <f>ROUND(181839.0,2)</f>
        <v/>
      </c>
      <c r="G4" s="8">
        <f>ROUND(110862.0,2)</f>
        <v/>
      </c>
      <c r="H4" s="8">
        <f>ROUND(87689.0,2)</f>
        <v/>
      </c>
      <c r="I4" s="8">
        <f>ROUND(51612.0,2)</f>
        <v/>
      </c>
      <c r="J4" s="9">
        <f>IFERROR((D4/C4),0)</f>
        <v/>
      </c>
      <c r="K4" s="9">
        <f>IFERROR(((0+B4)/T2),0)</f>
        <v/>
      </c>
      <c r="L4" s="7">
        <f>IFERROR(B4/D4,0)</f>
        <v/>
      </c>
      <c r="M4" s="7">
        <f>IFERROR(ROUND(B4/E4,2),0)</f>
        <v/>
      </c>
      <c r="N4" s="1" t="inlineStr">
        <is>
          <t>Carousel</t>
        </is>
      </c>
      <c r="AA4" s="1" t="inlineStr">
        <is>
          <t>Carousel</t>
        </is>
      </c>
      <c r="AN4" s="1" t="inlineStr">
        <is>
          <t>Carousel</t>
        </is>
      </c>
      <c r="BA4" s="1" t="inlineStr">
        <is>
          <t>Carousel</t>
        </is>
      </c>
      <c r="BN4" s="1" t="inlineStr">
        <is>
          <t>Carousel</t>
        </is>
      </c>
      <c r="CA4" s="1" t="inlineStr">
        <is>
          <t>Video</t>
        </is>
      </c>
      <c r="CN4" s="1" t="inlineStr">
        <is>
          <t>Video</t>
        </is>
      </c>
      <c r="DA4" s="1" t="inlineStr">
        <is>
          <t>Video</t>
        </is>
      </c>
      <c r="DN4" s="1" t="inlineStr">
        <is>
          <t>Video</t>
        </is>
      </c>
      <c r="EA4" s="1" t="inlineStr">
        <is>
          <t>Image</t>
        </is>
      </c>
      <c r="EN4" s="1" t="inlineStr">
        <is>
          <t>Image</t>
        </is>
      </c>
      <c r="FA4" s="1" t="inlineStr">
        <is>
          <t>Image</t>
        </is>
      </c>
      <c r="FN4" s="1" t="inlineStr">
        <is>
          <t>Image</t>
        </is>
      </c>
      <c r="GA4" s="1" t="inlineStr">
        <is>
          <t>Image</t>
        </is>
      </c>
    </row>
    <row r="5">
      <c r="N5" s="1" t="inlineStr">
        <is>
          <t>WM</t>
        </is>
      </c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1" t="n"/>
      <c r="AA5" s="1" t="inlineStr">
        <is>
          <t>Ref_ThinQ</t>
        </is>
      </c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1" t="n"/>
      <c r="AN5" s="1" t="inlineStr">
        <is>
          <t>DW</t>
        </is>
      </c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1" t="n"/>
      <c r="BA5" s="1" t="inlineStr">
        <is>
          <t>Oled</t>
        </is>
      </c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 t="n"/>
      <c r="BK5" s="10" t="n"/>
      <c r="BL5" s="10" t="n"/>
      <c r="BM5" s="11" t="n"/>
      <c r="BN5" s="1" t="inlineStr">
        <is>
          <t>Ref_Knock</t>
        </is>
      </c>
      <c r="BO5" s="10" t="n"/>
      <c r="BP5" s="10" t="n"/>
      <c r="BQ5" s="10" t="n"/>
      <c r="BR5" s="10" t="n"/>
      <c r="BS5" s="10" t="n"/>
      <c r="BT5" s="10" t="n"/>
      <c r="BU5" s="10" t="n"/>
      <c r="BV5" s="10" t="n"/>
      <c r="BW5" s="10" t="n"/>
      <c r="BX5" s="10" t="n"/>
      <c r="BY5" s="10" t="n"/>
      <c r="BZ5" s="11" t="n"/>
      <c r="CA5" s="1" t="inlineStr">
        <is>
          <t>DW</t>
        </is>
      </c>
      <c r="CB5" s="10" t="n"/>
      <c r="CC5" s="10" t="n"/>
      <c r="CD5" s="10" t="n"/>
      <c r="CE5" s="10" t="n"/>
      <c r="CF5" s="10" t="n"/>
      <c r="CG5" s="10" t="n"/>
      <c r="CH5" s="10" t="n"/>
      <c r="CI5" s="10" t="n"/>
      <c r="CJ5" s="10" t="n"/>
      <c r="CK5" s="10" t="n"/>
      <c r="CL5" s="10" t="n"/>
      <c r="CM5" s="11" t="n"/>
      <c r="CN5" s="1" t="inlineStr">
        <is>
          <t>Oled</t>
        </is>
      </c>
      <c r="CO5" s="10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 t="n"/>
      <c r="CY5" s="10" t="n"/>
      <c r="CZ5" s="11" t="n"/>
      <c r="DA5" s="1" t="inlineStr">
        <is>
          <t>WM</t>
        </is>
      </c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1" t="n"/>
      <c r="DN5" s="1" t="inlineStr">
        <is>
          <t>Ref_Knock</t>
        </is>
      </c>
      <c r="DO5" s="10" t="n"/>
      <c r="DP5" s="10" t="n"/>
      <c r="DQ5" s="10" t="n"/>
      <c r="DR5" s="10" t="n"/>
      <c r="DS5" s="10" t="n"/>
      <c r="DT5" s="10" t="n"/>
      <c r="DU5" s="10" t="n"/>
      <c r="DV5" s="10" t="n"/>
      <c r="DW5" s="10" t="n"/>
      <c r="DX5" s="10" t="n"/>
      <c r="DY5" s="10" t="n"/>
      <c r="DZ5" s="11" t="n"/>
      <c r="EA5" s="1" t="inlineStr">
        <is>
          <t>Oled</t>
        </is>
      </c>
      <c r="EB5" s="10" t="n"/>
      <c r="EC5" s="10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 t="n"/>
      <c r="EM5" s="11" t="n"/>
      <c r="EN5" s="1" t="inlineStr">
        <is>
          <t>Ref_ThinQ</t>
        </is>
      </c>
      <c r="EO5" s="10" t="n"/>
      <c r="EP5" s="10" t="n"/>
      <c r="EQ5" s="10" t="n"/>
      <c r="ER5" s="10" t="n"/>
      <c r="ES5" s="10" t="n"/>
      <c r="ET5" s="10" t="n"/>
      <c r="EU5" s="10" t="n"/>
      <c r="EV5" s="10" t="n"/>
      <c r="EW5" s="10" t="n"/>
      <c r="EX5" s="10" t="n"/>
      <c r="EY5" s="10" t="n"/>
      <c r="EZ5" s="11" t="n"/>
      <c r="FA5" s="1" t="inlineStr">
        <is>
          <t>WM</t>
        </is>
      </c>
      <c r="FB5" s="10" t="n"/>
      <c r="FC5" s="10" t="n"/>
      <c r="FD5" s="10" t="n"/>
      <c r="FE5" s="10" t="n"/>
      <c r="FF5" s="10" t="n"/>
      <c r="FG5" s="10" t="n"/>
      <c r="FH5" s="10" t="n"/>
      <c r="FI5" s="10" t="n"/>
      <c r="FJ5" s="10" t="n"/>
      <c r="FK5" s="10" t="n"/>
      <c r="FL5" s="10" t="n"/>
      <c r="FM5" s="11" t="n"/>
      <c r="FN5" s="1" t="inlineStr">
        <is>
          <t>Ref_Knock</t>
        </is>
      </c>
      <c r="FO5" s="10" t="n"/>
      <c r="FP5" s="10" t="n"/>
      <c r="FQ5" s="10" t="n"/>
      <c r="FR5" s="10" t="n"/>
      <c r="FS5" s="10" t="n"/>
      <c r="FT5" s="10" t="n"/>
      <c r="FU5" s="10" t="n"/>
      <c r="FV5" s="10" t="n"/>
      <c r="FW5" s="10" t="n"/>
      <c r="FX5" s="10" t="n"/>
      <c r="FY5" s="10" t="n"/>
      <c r="FZ5" s="11" t="n"/>
      <c r="GA5" s="1" t="inlineStr">
        <is>
          <t>DW</t>
        </is>
      </c>
      <c r="GB5" s="10" t="n"/>
      <c r="GC5" s="10" t="n"/>
      <c r="GD5" s="10" t="n"/>
      <c r="GE5" s="10" t="n"/>
      <c r="GF5" s="10" t="n"/>
      <c r="GG5" s="10" t="n"/>
      <c r="GH5" s="10" t="n"/>
      <c r="GI5" s="10" t="n"/>
      <c r="GJ5" s="10" t="n"/>
      <c r="GK5" s="10" t="n"/>
      <c r="GL5" s="10" t="n"/>
      <c r="GM5" s="11" t="n"/>
    </row>
    <row r="6">
      <c r="A6" s="1" t="inlineStr">
        <is>
          <t>date</t>
        </is>
      </c>
      <c r="B6" s="1" t="inlineStr">
        <is>
          <t>budget</t>
        </is>
      </c>
      <c r="C6" s="1" t="inlineStr">
        <is>
          <t>impressions</t>
        </is>
      </c>
      <c r="D6" s="1" t="inlineStr">
        <is>
          <t>clicks</t>
        </is>
      </c>
      <c r="E6" s="1" t="inlineStr">
        <is>
          <t>view</t>
        </is>
      </c>
      <c r="F6" s="1" t="inlineStr">
        <is>
          <t>percent_25</t>
        </is>
      </c>
      <c r="G6" s="1" t="inlineStr">
        <is>
          <t>percent_50</t>
        </is>
      </c>
      <c r="H6" s="1" t="inlineStr">
        <is>
          <t>percent_75</t>
        </is>
      </c>
      <c r="I6" s="1" t="inlineStr">
        <is>
          <t>percent_100</t>
        </is>
      </c>
      <c r="J6" s="1" t="inlineStr">
        <is>
          <t>CTR</t>
        </is>
      </c>
      <c r="K6" s="1" t="inlineStr">
        <is>
          <t>Spent Budget %</t>
        </is>
      </c>
      <c r="L6" s="1" t="inlineStr">
        <is>
          <t>CPC</t>
        </is>
      </c>
      <c r="M6" s="1" t="inlineStr">
        <is>
          <t>CPV</t>
        </is>
      </c>
      <c r="N6" s="1" t="inlineStr">
        <is>
          <t>date</t>
        </is>
      </c>
      <c r="O6" s="1" t="inlineStr">
        <is>
          <t>budget</t>
        </is>
      </c>
      <c r="P6" s="1" t="inlineStr">
        <is>
          <t>impressions</t>
        </is>
      </c>
      <c r="Q6" s="1" t="inlineStr">
        <is>
          <t>clicks</t>
        </is>
      </c>
      <c r="R6" s="1" t="inlineStr">
        <is>
          <t>view</t>
        </is>
      </c>
      <c r="S6" s="1" t="inlineStr">
        <is>
          <t>percent_25</t>
        </is>
      </c>
      <c r="T6" s="1" t="inlineStr">
        <is>
          <t>percent_50</t>
        </is>
      </c>
      <c r="U6" s="1" t="inlineStr">
        <is>
          <t>percent_75</t>
        </is>
      </c>
      <c r="V6" s="1" t="inlineStr">
        <is>
          <t>percent_100</t>
        </is>
      </c>
      <c r="W6" s="1" t="inlineStr">
        <is>
          <t>CTR</t>
        </is>
      </c>
      <c r="X6" s="1" t="inlineStr">
        <is>
          <t>Spent Budget %</t>
        </is>
      </c>
      <c r="Y6" s="1" t="inlineStr">
        <is>
          <t>CPC</t>
        </is>
      </c>
      <c r="Z6" s="1" t="inlineStr">
        <is>
          <t>CPV</t>
        </is>
      </c>
      <c r="AA6" s="1" t="inlineStr">
        <is>
          <t>date</t>
        </is>
      </c>
      <c r="AB6" s="1" t="inlineStr">
        <is>
          <t>budget</t>
        </is>
      </c>
      <c r="AC6" s="1" t="inlineStr">
        <is>
          <t>impressions</t>
        </is>
      </c>
      <c r="AD6" s="1" t="inlineStr">
        <is>
          <t>clicks</t>
        </is>
      </c>
      <c r="AE6" s="1" t="inlineStr">
        <is>
          <t>view</t>
        </is>
      </c>
      <c r="AF6" s="1" t="inlineStr">
        <is>
          <t>percent_25</t>
        </is>
      </c>
      <c r="AG6" s="1" t="inlineStr">
        <is>
          <t>percent_50</t>
        </is>
      </c>
      <c r="AH6" s="1" t="inlineStr">
        <is>
          <t>percent_75</t>
        </is>
      </c>
      <c r="AI6" s="1" t="inlineStr">
        <is>
          <t>percent_100</t>
        </is>
      </c>
      <c r="AJ6" s="1" t="inlineStr">
        <is>
          <t>CTR</t>
        </is>
      </c>
      <c r="AK6" s="1" t="inlineStr">
        <is>
          <t>Spent Budget %</t>
        </is>
      </c>
      <c r="AL6" s="1" t="inlineStr">
        <is>
          <t>CPC</t>
        </is>
      </c>
      <c r="AM6" s="1" t="inlineStr">
        <is>
          <t>CPV</t>
        </is>
      </c>
      <c r="AN6" s="1" t="inlineStr">
        <is>
          <t>date</t>
        </is>
      </c>
      <c r="AO6" s="1" t="inlineStr">
        <is>
          <t>budget</t>
        </is>
      </c>
      <c r="AP6" s="1" t="inlineStr">
        <is>
          <t>impressions</t>
        </is>
      </c>
      <c r="AQ6" s="1" t="inlineStr">
        <is>
          <t>clicks</t>
        </is>
      </c>
      <c r="AR6" s="1" t="inlineStr">
        <is>
          <t>view</t>
        </is>
      </c>
      <c r="AS6" s="1" t="inlineStr">
        <is>
          <t>percent_25</t>
        </is>
      </c>
      <c r="AT6" s="1" t="inlineStr">
        <is>
          <t>percent_50</t>
        </is>
      </c>
      <c r="AU6" s="1" t="inlineStr">
        <is>
          <t>percent_75</t>
        </is>
      </c>
      <c r="AV6" s="1" t="inlineStr">
        <is>
          <t>percent_100</t>
        </is>
      </c>
      <c r="AW6" s="1" t="inlineStr">
        <is>
          <t>CTR</t>
        </is>
      </c>
      <c r="AX6" s="1" t="inlineStr">
        <is>
          <t>Spent Budget %</t>
        </is>
      </c>
      <c r="AY6" s="1" t="inlineStr">
        <is>
          <t>CPC</t>
        </is>
      </c>
      <c r="AZ6" s="1" t="inlineStr">
        <is>
          <t>CPV</t>
        </is>
      </c>
      <c r="BA6" s="1" t="inlineStr">
        <is>
          <t>date</t>
        </is>
      </c>
      <c r="BB6" s="1" t="inlineStr">
        <is>
          <t>budget</t>
        </is>
      </c>
      <c r="BC6" s="1" t="inlineStr">
        <is>
          <t>impressions</t>
        </is>
      </c>
      <c r="BD6" s="1" t="inlineStr">
        <is>
          <t>clicks</t>
        </is>
      </c>
      <c r="BE6" s="1" t="inlineStr">
        <is>
          <t>view</t>
        </is>
      </c>
      <c r="BF6" s="1" t="inlineStr">
        <is>
          <t>percent_25</t>
        </is>
      </c>
      <c r="BG6" s="1" t="inlineStr">
        <is>
          <t>percent_50</t>
        </is>
      </c>
      <c r="BH6" s="1" t="inlineStr">
        <is>
          <t>percent_75</t>
        </is>
      </c>
      <c r="BI6" s="1" t="inlineStr">
        <is>
          <t>percent_100</t>
        </is>
      </c>
      <c r="BJ6" s="1" t="inlineStr">
        <is>
          <t>CTR</t>
        </is>
      </c>
      <c r="BK6" s="1" t="inlineStr">
        <is>
          <t>Spent Budget %</t>
        </is>
      </c>
      <c r="BL6" s="1" t="inlineStr">
        <is>
          <t>CPC</t>
        </is>
      </c>
      <c r="BM6" s="1" t="inlineStr">
        <is>
          <t>CPV</t>
        </is>
      </c>
      <c r="BN6" s="1" t="inlineStr">
        <is>
          <t>date</t>
        </is>
      </c>
      <c r="BO6" s="1" t="inlineStr">
        <is>
          <t>budget</t>
        </is>
      </c>
      <c r="BP6" s="1" t="inlineStr">
        <is>
          <t>impressions</t>
        </is>
      </c>
      <c r="BQ6" s="1" t="inlineStr">
        <is>
          <t>clicks</t>
        </is>
      </c>
      <c r="BR6" s="1" t="inlineStr">
        <is>
          <t>view</t>
        </is>
      </c>
      <c r="BS6" s="1" t="inlineStr">
        <is>
          <t>percent_25</t>
        </is>
      </c>
      <c r="BT6" s="1" t="inlineStr">
        <is>
          <t>percent_50</t>
        </is>
      </c>
      <c r="BU6" s="1" t="inlineStr">
        <is>
          <t>percent_75</t>
        </is>
      </c>
      <c r="BV6" s="1" t="inlineStr">
        <is>
          <t>percent_100</t>
        </is>
      </c>
      <c r="BW6" s="1" t="inlineStr">
        <is>
          <t>CTR</t>
        </is>
      </c>
      <c r="BX6" s="1" t="inlineStr">
        <is>
          <t>Spent Budget %</t>
        </is>
      </c>
      <c r="BY6" s="1" t="inlineStr">
        <is>
          <t>CPC</t>
        </is>
      </c>
      <c r="BZ6" s="1" t="inlineStr">
        <is>
          <t>CPV</t>
        </is>
      </c>
      <c r="CA6" s="1" t="inlineStr">
        <is>
          <t>date</t>
        </is>
      </c>
      <c r="CB6" s="1" t="inlineStr">
        <is>
          <t>budget</t>
        </is>
      </c>
      <c r="CC6" s="1" t="inlineStr">
        <is>
          <t>impressions</t>
        </is>
      </c>
      <c r="CD6" s="1" t="inlineStr">
        <is>
          <t>clicks</t>
        </is>
      </c>
      <c r="CE6" s="1" t="inlineStr">
        <is>
          <t>view</t>
        </is>
      </c>
      <c r="CF6" s="1" t="inlineStr">
        <is>
          <t>percent_25</t>
        </is>
      </c>
      <c r="CG6" s="1" t="inlineStr">
        <is>
          <t>percent_50</t>
        </is>
      </c>
      <c r="CH6" s="1" t="inlineStr">
        <is>
          <t>percent_75</t>
        </is>
      </c>
      <c r="CI6" s="1" t="inlineStr">
        <is>
          <t>percent_100</t>
        </is>
      </c>
      <c r="CJ6" s="1" t="inlineStr">
        <is>
          <t>CTR</t>
        </is>
      </c>
      <c r="CK6" s="1" t="inlineStr">
        <is>
          <t>Spent Budget %</t>
        </is>
      </c>
      <c r="CL6" s="1" t="inlineStr">
        <is>
          <t>CPC</t>
        </is>
      </c>
      <c r="CM6" s="1" t="inlineStr">
        <is>
          <t>CPV</t>
        </is>
      </c>
      <c r="CN6" s="1" t="inlineStr">
        <is>
          <t>date</t>
        </is>
      </c>
      <c r="CO6" s="1" t="inlineStr">
        <is>
          <t>budget</t>
        </is>
      </c>
      <c r="CP6" s="1" t="inlineStr">
        <is>
          <t>impressions</t>
        </is>
      </c>
      <c r="CQ6" s="1" t="inlineStr">
        <is>
          <t>clicks</t>
        </is>
      </c>
      <c r="CR6" s="1" t="inlineStr">
        <is>
          <t>view</t>
        </is>
      </c>
      <c r="CS6" s="1" t="inlineStr">
        <is>
          <t>percent_25</t>
        </is>
      </c>
      <c r="CT6" s="1" t="inlineStr">
        <is>
          <t>percent_50</t>
        </is>
      </c>
      <c r="CU6" s="1" t="inlineStr">
        <is>
          <t>percent_75</t>
        </is>
      </c>
      <c r="CV6" s="1" t="inlineStr">
        <is>
          <t>percent_100</t>
        </is>
      </c>
      <c r="CW6" s="1" t="inlineStr">
        <is>
          <t>CTR</t>
        </is>
      </c>
      <c r="CX6" s="1" t="inlineStr">
        <is>
          <t>Spent Budget %</t>
        </is>
      </c>
      <c r="CY6" s="1" t="inlineStr">
        <is>
          <t>CPC</t>
        </is>
      </c>
      <c r="CZ6" s="1" t="inlineStr">
        <is>
          <t>CPV</t>
        </is>
      </c>
      <c r="DA6" s="1" t="inlineStr">
        <is>
          <t>date</t>
        </is>
      </c>
      <c r="DB6" s="1" t="inlineStr">
        <is>
          <t>budget</t>
        </is>
      </c>
      <c r="DC6" s="1" t="inlineStr">
        <is>
          <t>impressions</t>
        </is>
      </c>
      <c r="DD6" s="1" t="inlineStr">
        <is>
          <t>clicks</t>
        </is>
      </c>
      <c r="DE6" s="1" t="inlineStr">
        <is>
          <t>view</t>
        </is>
      </c>
      <c r="DF6" s="1" t="inlineStr">
        <is>
          <t>percent_25</t>
        </is>
      </c>
      <c r="DG6" s="1" t="inlineStr">
        <is>
          <t>percent_50</t>
        </is>
      </c>
      <c r="DH6" s="1" t="inlineStr">
        <is>
          <t>percent_75</t>
        </is>
      </c>
      <c r="DI6" s="1" t="inlineStr">
        <is>
          <t>percent_100</t>
        </is>
      </c>
      <c r="DJ6" s="1" t="inlineStr">
        <is>
          <t>CTR</t>
        </is>
      </c>
      <c r="DK6" s="1" t="inlineStr">
        <is>
          <t>Spent Budget %</t>
        </is>
      </c>
      <c r="DL6" s="1" t="inlineStr">
        <is>
          <t>CPC</t>
        </is>
      </c>
      <c r="DM6" s="1" t="inlineStr">
        <is>
          <t>CPV</t>
        </is>
      </c>
      <c r="DN6" s="1" t="inlineStr">
        <is>
          <t>date</t>
        </is>
      </c>
      <c r="DO6" s="1" t="inlineStr">
        <is>
          <t>budget</t>
        </is>
      </c>
      <c r="DP6" s="1" t="inlineStr">
        <is>
          <t>impressions</t>
        </is>
      </c>
      <c r="DQ6" s="1" t="inlineStr">
        <is>
          <t>clicks</t>
        </is>
      </c>
      <c r="DR6" s="1" t="inlineStr">
        <is>
          <t>view</t>
        </is>
      </c>
      <c r="DS6" s="1" t="inlineStr">
        <is>
          <t>percent_25</t>
        </is>
      </c>
      <c r="DT6" s="1" t="inlineStr">
        <is>
          <t>percent_50</t>
        </is>
      </c>
      <c r="DU6" s="1" t="inlineStr">
        <is>
          <t>percent_75</t>
        </is>
      </c>
      <c r="DV6" s="1" t="inlineStr">
        <is>
          <t>percent_100</t>
        </is>
      </c>
      <c r="DW6" s="1" t="inlineStr">
        <is>
          <t>CTR</t>
        </is>
      </c>
      <c r="DX6" s="1" t="inlineStr">
        <is>
          <t>Spent Budget %</t>
        </is>
      </c>
      <c r="DY6" s="1" t="inlineStr">
        <is>
          <t>CPC</t>
        </is>
      </c>
      <c r="DZ6" s="1" t="inlineStr">
        <is>
          <t>CPV</t>
        </is>
      </c>
      <c r="EA6" s="1" t="inlineStr">
        <is>
          <t>date</t>
        </is>
      </c>
      <c r="EB6" s="1" t="inlineStr">
        <is>
          <t>budget</t>
        </is>
      </c>
      <c r="EC6" s="1" t="inlineStr">
        <is>
          <t>impressions</t>
        </is>
      </c>
      <c r="ED6" s="1" t="inlineStr">
        <is>
          <t>clicks</t>
        </is>
      </c>
      <c r="EE6" s="1" t="inlineStr">
        <is>
          <t>view</t>
        </is>
      </c>
      <c r="EF6" s="1" t="inlineStr">
        <is>
          <t>percent_25</t>
        </is>
      </c>
      <c r="EG6" s="1" t="inlineStr">
        <is>
          <t>percent_50</t>
        </is>
      </c>
      <c r="EH6" s="1" t="inlineStr">
        <is>
          <t>percent_75</t>
        </is>
      </c>
      <c r="EI6" s="1" t="inlineStr">
        <is>
          <t>percent_100</t>
        </is>
      </c>
      <c r="EJ6" s="1" t="inlineStr">
        <is>
          <t>CTR</t>
        </is>
      </c>
      <c r="EK6" s="1" t="inlineStr">
        <is>
          <t>Spent Budget %</t>
        </is>
      </c>
      <c r="EL6" s="1" t="inlineStr">
        <is>
          <t>CPC</t>
        </is>
      </c>
      <c r="EM6" s="1" t="inlineStr">
        <is>
          <t>CPV</t>
        </is>
      </c>
      <c r="EN6" s="1" t="inlineStr">
        <is>
          <t>date</t>
        </is>
      </c>
      <c r="EO6" s="1" t="inlineStr">
        <is>
          <t>budget</t>
        </is>
      </c>
      <c r="EP6" s="1" t="inlineStr">
        <is>
          <t>impressions</t>
        </is>
      </c>
      <c r="EQ6" s="1" t="inlineStr">
        <is>
          <t>clicks</t>
        </is>
      </c>
      <c r="ER6" s="1" t="inlineStr">
        <is>
          <t>view</t>
        </is>
      </c>
      <c r="ES6" s="1" t="inlineStr">
        <is>
          <t>percent_25</t>
        </is>
      </c>
      <c r="ET6" s="1" t="inlineStr">
        <is>
          <t>percent_50</t>
        </is>
      </c>
      <c r="EU6" s="1" t="inlineStr">
        <is>
          <t>percent_75</t>
        </is>
      </c>
      <c r="EV6" s="1" t="inlineStr">
        <is>
          <t>percent_100</t>
        </is>
      </c>
      <c r="EW6" s="1" t="inlineStr">
        <is>
          <t>CTR</t>
        </is>
      </c>
      <c r="EX6" s="1" t="inlineStr">
        <is>
          <t>Spent Budget %</t>
        </is>
      </c>
      <c r="EY6" s="1" t="inlineStr">
        <is>
          <t>CPC</t>
        </is>
      </c>
      <c r="EZ6" s="1" t="inlineStr">
        <is>
          <t>CPV</t>
        </is>
      </c>
      <c r="FA6" s="1" t="inlineStr">
        <is>
          <t>date</t>
        </is>
      </c>
      <c r="FB6" s="1" t="inlineStr">
        <is>
          <t>budget</t>
        </is>
      </c>
      <c r="FC6" s="1" t="inlineStr">
        <is>
          <t>impressions</t>
        </is>
      </c>
      <c r="FD6" s="1" t="inlineStr">
        <is>
          <t>clicks</t>
        </is>
      </c>
      <c r="FE6" s="1" t="inlineStr">
        <is>
          <t>view</t>
        </is>
      </c>
      <c r="FF6" s="1" t="inlineStr">
        <is>
          <t>percent_25</t>
        </is>
      </c>
      <c r="FG6" s="1" t="inlineStr">
        <is>
          <t>percent_50</t>
        </is>
      </c>
      <c r="FH6" s="1" t="inlineStr">
        <is>
          <t>percent_75</t>
        </is>
      </c>
      <c r="FI6" s="1" t="inlineStr">
        <is>
          <t>percent_100</t>
        </is>
      </c>
      <c r="FJ6" s="1" t="inlineStr">
        <is>
          <t>CTR</t>
        </is>
      </c>
      <c r="FK6" s="1" t="inlineStr">
        <is>
          <t>Spent Budget %</t>
        </is>
      </c>
      <c r="FL6" s="1" t="inlineStr">
        <is>
          <t>CPC</t>
        </is>
      </c>
      <c r="FM6" s="1" t="inlineStr">
        <is>
          <t>CPV</t>
        </is>
      </c>
      <c r="FN6" s="1" t="inlineStr">
        <is>
          <t>date</t>
        </is>
      </c>
      <c r="FO6" s="1" t="inlineStr">
        <is>
          <t>budget</t>
        </is>
      </c>
      <c r="FP6" s="1" t="inlineStr">
        <is>
          <t>impressions</t>
        </is>
      </c>
      <c r="FQ6" s="1" t="inlineStr">
        <is>
          <t>clicks</t>
        </is>
      </c>
      <c r="FR6" s="1" t="inlineStr">
        <is>
          <t>view</t>
        </is>
      </c>
      <c r="FS6" s="1" t="inlineStr">
        <is>
          <t>percent_25</t>
        </is>
      </c>
      <c r="FT6" s="1" t="inlineStr">
        <is>
          <t>percent_50</t>
        </is>
      </c>
      <c r="FU6" s="1" t="inlineStr">
        <is>
          <t>percent_75</t>
        </is>
      </c>
      <c r="FV6" s="1" t="inlineStr">
        <is>
          <t>percent_100</t>
        </is>
      </c>
      <c r="FW6" s="1" t="inlineStr">
        <is>
          <t>CTR</t>
        </is>
      </c>
      <c r="FX6" s="1" t="inlineStr">
        <is>
          <t>Spent Budget %</t>
        </is>
      </c>
      <c r="FY6" s="1" t="inlineStr">
        <is>
          <t>CPC</t>
        </is>
      </c>
      <c r="FZ6" s="1" t="inlineStr">
        <is>
          <t>CPV</t>
        </is>
      </c>
      <c r="GA6" s="1" t="inlineStr">
        <is>
          <t>date</t>
        </is>
      </c>
      <c r="GB6" s="1" t="inlineStr">
        <is>
          <t>budget</t>
        </is>
      </c>
      <c r="GC6" s="1" t="inlineStr">
        <is>
          <t>impressions</t>
        </is>
      </c>
      <c r="GD6" s="1" t="inlineStr">
        <is>
          <t>clicks</t>
        </is>
      </c>
      <c r="GE6" s="1" t="inlineStr">
        <is>
          <t>view</t>
        </is>
      </c>
      <c r="GF6" s="1" t="inlineStr">
        <is>
          <t>percent_25</t>
        </is>
      </c>
      <c r="GG6" s="1" t="inlineStr">
        <is>
          <t>percent_50</t>
        </is>
      </c>
      <c r="GH6" s="1" t="inlineStr">
        <is>
          <t>percent_75</t>
        </is>
      </c>
      <c r="GI6" s="1" t="inlineStr">
        <is>
          <t>percent_100</t>
        </is>
      </c>
      <c r="GJ6" s="1" t="inlineStr">
        <is>
          <t>CTR</t>
        </is>
      </c>
      <c r="GK6" s="1" t="inlineStr">
        <is>
          <t>Spent Budget %</t>
        </is>
      </c>
      <c r="GL6" s="1" t="inlineStr">
        <is>
          <t>CPC</t>
        </is>
      </c>
      <c r="GM6" s="1" t="inlineStr">
        <is>
          <t>CPV</t>
        </is>
      </c>
    </row>
    <row r="7">
      <c r="A7" s="2" t="inlineStr">
        <is>
          <t>2023-10-23</t>
        </is>
      </c>
      <c r="B7" s="5">
        <f>ROUND(0.0,2)</f>
        <v/>
      </c>
      <c r="C7" s="3">
        <f>ROUND(0.0,2)</f>
        <v/>
      </c>
      <c r="D7" s="3">
        <f>ROUND(0.0,2)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IFERROR(((0+B7)/T2),0)</f>
        <v/>
      </c>
      <c r="L7" s="5">
        <f>IFERROR(ROUND(B7/D7,2),0)</f>
        <v/>
      </c>
      <c r="M7" s="5">
        <f>IFERROR(ROUND(B7/E7,2),0)</f>
        <v/>
      </c>
      <c r="N7" s="2" t="inlineStr">
        <is>
          <t>2023-10-23</t>
        </is>
      </c>
      <c r="O7" s="5">
        <f>ROUND(0.0,2)</f>
        <v/>
      </c>
      <c r="P7" s="3">
        <f>ROUND(0.0,2)</f>
        <v/>
      </c>
      <c r="Q7" s="3">
        <f>ROUND(0.0,2)</f>
        <v/>
      </c>
      <c r="R7" s="3">
        <f>ROUND(0.0,2)</f>
        <v/>
      </c>
      <c r="S7" s="3">
        <f>ROUND(0.0,2)</f>
        <v/>
      </c>
      <c r="T7" s="3">
        <f>ROUND(0.0,2)</f>
        <v/>
      </c>
      <c r="U7" s="3">
        <f>ROUND(0.0,2)</f>
        <v/>
      </c>
      <c r="V7" s="3">
        <f>ROUND(0.0,2)</f>
        <v/>
      </c>
      <c r="W7" s="4">
        <f>IFERROR((Q7/P7),0)</f>
        <v/>
      </c>
      <c r="X7" s="4">
        <f>IFERROR(((0+O7)/T2),0)</f>
        <v/>
      </c>
      <c r="Y7" s="5">
        <f>IFERROR(ROUND(O7/Q7,2),0)</f>
        <v/>
      </c>
      <c r="Z7" s="5">
        <f>IFERROR(ROUND(O7/R7,2),0)</f>
        <v/>
      </c>
      <c r="AA7" s="2" t="inlineStr">
        <is>
          <t>2023-10-23</t>
        </is>
      </c>
      <c r="AB7" s="5">
        <f>ROUND(0.0,2)</f>
        <v/>
      </c>
      <c r="AC7" s="3">
        <f>ROUND(0.0,2)</f>
        <v/>
      </c>
      <c r="AD7" s="3">
        <f>ROUND(0.0,2)</f>
        <v/>
      </c>
      <c r="AE7" s="3">
        <f>ROUND(0.0,2)</f>
        <v/>
      </c>
      <c r="AF7" s="3">
        <f>ROUND(0.0,2)</f>
        <v/>
      </c>
      <c r="AG7" s="3">
        <f>ROUND(0.0,2)</f>
        <v/>
      </c>
      <c r="AH7" s="3">
        <f>ROUND(0.0,2)</f>
        <v/>
      </c>
      <c r="AI7" s="3">
        <f>ROUND(0.0,2)</f>
        <v/>
      </c>
      <c r="AJ7" s="4">
        <f>IFERROR((AD7/AC7),0)</f>
        <v/>
      </c>
      <c r="AK7" s="4">
        <f>IFERROR(((0+AB7)/T2),0)</f>
        <v/>
      </c>
      <c r="AL7" s="5">
        <f>IFERROR(ROUND(AB7/AD7,2),0)</f>
        <v/>
      </c>
      <c r="AM7" s="5">
        <f>IFERROR(ROUND(AB7/AE7,2),0)</f>
        <v/>
      </c>
      <c r="AN7" s="2" t="inlineStr">
        <is>
          <t>2023-10-23</t>
        </is>
      </c>
      <c r="AO7" s="5">
        <f>ROUND(0.0,2)</f>
        <v/>
      </c>
      <c r="AP7" s="3">
        <f>ROUND(0.0,2)</f>
        <v/>
      </c>
      <c r="AQ7" s="3">
        <f>ROUND(0.0,2)</f>
        <v/>
      </c>
      <c r="AR7" s="3">
        <f>ROUND(0.0,2)</f>
        <v/>
      </c>
      <c r="AS7" s="3">
        <f>ROUND(0.0,2)</f>
        <v/>
      </c>
      <c r="AT7" s="3">
        <f>ROUND(0.0,2)</f>
        <v/>
      </c>
      <c r="AU7" s="3">
        <f>ROUND(0.0,2)</f>
        <v/>
      </c>
      <c r="AV7" s="3">
        <f>ROUND(0.0,2)</f>
        <v/>
      </c>
      <c r="AW7" s="4">
        <f>IFERROR((AQ7/AP7),0)</f>
        <v/>
      </c>
      <c r="AX7" s="4">
        <f>IFERROR(((0+AO7)/T2),0)</f>
        <v/>
      </c>
      <c r="AY7" s="5">
        <f>IFERROR(ROUND(AO7/AQ7,2),0)</f>
        <v/>
      </c>
      <c r="AZ7" s="5">
        <f>IFERROR(ROUND(AO7/AR7,2),0)</f>
        <v/>
      </c>
      <c r="BA7" s="2" t="inlineStr">
        <is>
          <t>2023-10-23</t>
        </is>
      </c>
      <c r="BB7" s="5">
        <f>ROUND(0.0,2)</f>
        <v/>
      </c>
      <c r="BC7" s="3">
        <f>ROUND(0.0,2)</f>
        <v/>
      </c>
      <c r="BD7" s="3">
        <f>ROUND(0.0,2)</f>
        <v/>
      </c>
      <c r="BE7" s="3">
        <f>ROUND(0.0,2)</f>
        <v/>
      </c>
      <c r="BF7" s="3">
        <f>ROUND(0.0,2)</f>
        <v/>
      </c>
      <c r="BG7" s="3">
        <f>ROUND(0.0,2)</f>
        <v/>
      </c>
      <c r="BH7" s="3">
        <f>ROUND(0.0,2)</f>
        <v/>
      </c>
      <c r="BI7" s="3">
        <f>ROUND(0.0,2)</f>
        <v/>
      </c>
      <c r="BJ7" s="4">
        <f>IFERROR((BD7/BC7),0)</f>
        <v/>
      </c>
      <c r="BK7" s="4">
        <f>IFERROR(((0+BB7)/T2),0)</f>
        <v/>
      </c>
      <c r="BL7" s="5">
        <f>IFERROR(ROUND(BB7/BD7,2),0)</f>
        <v/>
      </c>
      <c r="BM7" s="5">
        <f>IFERROR(ROUND(BB7/BE7,2),0)</f>
        <v/>
      </c>
      <c r="BN7" s="2" t="inlineStr">
        <is>
          <t>2023-10-23</t>
        </is>
      </c>
      <c r="BO7" s="5">
        <f>ROUND(0.0,2)</f>
        <v/>
      </c>
      <c r="BP7" s="3">
        <f>ROUND(0.0,2)</f>
        <v/>
      </c>
      <c r="BQ7" s="3">
        <f>ROUND(0.0,2)</f>
        <v/>
      </c>
      <c r="BR7" s="3">
        <f>ROUND(0.0,2)</f>
        <v/>
      </c>
      <c r="BS7" s="3">
        <f>ROUND(0.0,2)</f>
        <v/>
      </c>
      <c r="BT7" s="3">
        <f>ROUND(0.0,2)</f>
        <v/>
      </c>
      <c r="BU7" s="3">
        <f>ROUND(0.0,2)</f>
        <v/>
      </c>
      <c r="BV7" s="3">
        <f>ROUND(0.0,2)</f>
        <v/>
      </c>
      <c r="BW7" s="4">
        <f>IFERROR((BQ7/BP7),0)</f>
        <v/>
      </c>
      <c r="BX7" s="4">
        <f>IFERROR(((0+BO7)/T2),0)</f>
        <v/>
      </c>
      <c r="BY7" s="5">
        <f>IFERROR(ROUND(BO7/BQ7,2),0)</f>
        <v/>
      </c>
      <c r="BZ7" s="5">
        <f>IFERROR(ROUND(BO7/BR7,2),0)</f>
        <v/>
      </c>
      <c r="CA7" s="2" t="inlineStr">
        <is>
          <t>2023-10-23</t>
        </is>
      </c>
      <c r="CB7" s="5">
        <f>ROUND(0.0,2)</f>
        <v/>
      </c>
      <c r="CC7" s="3">
        <f>ROUND(0.0,2)</f>
        <v/>
      </c>
      <c r="CD7" s="3">
        <f>ROUND(0.0,2)</f>
        <v/>
      </c>
      <c r="CE7" s="3">
        <f>ROUND(0.0,2)</f>
        <v/>
      </c>
      <c r="CF7" s="3">
        <f>ROUND(0.0,2)</f>
        <v/>
      </c>
      <c r="CG7" s="3">
        <f>ROUND(0.0,2)</f>
        <v/>
      </c>
      <c r="CH7" s="3">
        <f>ROUND(0.0,2)</f>
        <v/>
      </c>
      <c r="CI7" s="3">
        <f>ROUND(0.0,2)</f>
        <v/>
      </c>
      <c r="CJ7" s="4">
        <f>IFERROR((CD7/CC7),0)</f>
        <v/>
      </c>
      <c r="CK7" s="4">
        <f>IFERROR(((0+CB7)/T2),0)</f>
        <v/>
      </c>
      <c r="CL7" s="5">
        <f>IFERROR(ROUND(CB7/CD7,2),0)</f>
        <v/>
      </c>
      <c r="CM7" s="5">
        <f>IFERROR(ROUND(CB7/CE7,2),0)</f>
        <v/>
      </c>
      <c r="CN7" s="2" t="inlineStr">
        <is>
          <t>2023-10-23</t>
        </is>
      </c>
      <c r="CO7" s="5">
        <f>ROUND(0.0,2)</f>
        <v/>
      </c>
      <c r="CP7" s="3">
        <f>ROUND(0.0,2)</f>
        <v/>
      </c>
      <c r="CQ7" s="3">
        <f>ROUND(0.0,2)</f>
        <v/>
      </c>
      <c r="CR7" s="3">
        <f>ROUND(0.0,2)</f>
        <v/>
      </c>
      <c r="CS7" s="3">
        <f>ROUND(0.0,2)</f>
        <v/>
      </c>
      <c r="CT7" s="3">
        <f>ROUND(0.0,2)</f>
        <v/>
      </c>
      <c r="CU7" s="3">
        <f>ROUND(0.0,2)</f>
        <v/>
      </c>
      <c r="CV7" s="3">
        <f>ROUND(0.0,2)</f>
        <v/>
      </c>
      <c r="CW7" s="4">
        <f>IFERROR((CQ7/CP7),0)</f>
        <v/>
      </c>
      <c r="CX7" s="4">
        <f>IFERROR(((0+CO7)/T2),0)</f>
        <v/>
      </c>
      <c r="CY7" s="5">
        <f>IFERROR(ROUND(CO7/CQ7,2),0)</f>
        <v/>
      </c>
      <c r="CZ7" s="5">
        <f>IFERROR(ROUND(CO7/CR7,2),0)</f>
        <v/>
      </c>
      <c r="DA7" s="2" t="inlineStr">
        <is>
          <t>2023-10-23</t>
        </is>
      </c>
      <c r="DB7" s="5">
        <f>ROUND(0.0,2)</f>
        <v/>
      </c>
      <c r="DC7" s="3">
        <f>ROUND(0.0,2)</f>
        <v/>
      </c>
      <c r="DD7" s="3">
        <f>ROUND(0.0,2)</f>
        <v/>
      </c>
      <c r="DE7" s="3">
        <f>ROUND(0.0,2)</f>
        <v/>
      </c>
      <c r="DF7" s="3">
        <f>ROUND(0.0,2)</f>
        <v/>
      </c>
      <c r="DG7" s="3">
        <f>ROUND(0.0,2)</f>
        <v/>
      </c>
      <c r="DH7" s="3">
        <f>ROUND(0.0,2)</f>
        <v/>
      </c>
      <c r="DI7" s="3">
        <f>ROUND(0.0,2)</f>
        <v/>
      </c>
      <c r="DJ7" s="4">
        <f>IFERROR((DD7/DC7),0)</f>
        <v/>
      </c>
      <c r="DK7" s="4">
        <f>IFERROR(((0+DB7)/T2),0)</f>
        <v/>
      </c>
      <c r="DL7" s="5">
        <f>IFERROR(ROUND(DB7/DD7,2),0)</f>
        <v/>
      </c>
      <c r="DM7" s="5">
        <f>IFERROR(ROUND(DB7/DE7,2),0)</f>
        <v/>
      </c>
      <c r="DN7" s="2" t="inlineStr">
        <is>
          <t>2023-10-23</t>
        </is>
      </c>
      <c r="DO7" s="5">
        <f>ROUND(0.0,2)</f>
        <v/>
      </c>
      <c r="DP7" s="3">
        <f>ROUND(0.0,2)</f>
        <v/>
      </c>
      <c r="DQ7" s="3">
        <f>ROUND(0.0,2)</f>
        <v/>
      </c>
      <c r="DR7" s="3">
        <f>ROUND(0.0,2)</f>
        <v/>
      </c>
      <c r="DS7" s="3">
        <f>ROUND(0.0,2)</f>
        <v/>
      </c>
      <c r="DT7" s="3">
        <f>ROUND(0.0,2)</f>
        <v/>
      </c>
      <c r="DU7" s="3">
        <f>ROUND(0.0,2)</f>
        <v/>
      </c>
      <c r="DV7" s="3">
        <f>ROUND(0.0,2)</f>
        <v/>
      </c>
      <c r="DW7" s="4">
        <f>IFERROR((DQ7/DP7),0)</f>
        <v/>
      </c>
      <c r="DX7" s="4">
        <f>IFERROR(((0+DO7)/T2),0)</f>
        <v/>
      </c>
      <c r="DY7" s="5">
        <f>IFERROR(ROUND(DO7/DQ7,2),0)</f>
        <v/>
      </c>
      <c r="DZ7" s="5">
        <f>IFERROR(ROUND(DO7/DR7,2),0)</f>
        <v/>
      </c>
      <c r="EA7" s="2" t="inlineStr">
        <is>
          <t>2023-10-23</t>
        </is>
      </c>
      <c r="EB7" s="5">
        <f>ROUND(0.0,2)</f>
        <v/>
      </c>
      <c r="EC7" s="3">
        <f>ROUND(0.0,2)</f>
        <v/>
      </c>
      <c r="ED7" s="3">
        <f>ROUND(0.0,2)</f>
        <v/>
      </c>
      <c r="EE7" s="3">
        <f>ROUND(0.0,2)</f>
        <v/>
      </c>
      <c r="EF7" s="3">
        <f>ROUND(0.0,2)</f>
        <v/>
      </c>
      <c r="EG7" s="3">
        <f>ROUND(0.0,2)</f>
        <v/>
      </c>
      <c r="EH7" s="3">
        <f>ROUND(0.0,2)</f>
        <v/>
      </c>
      <c r="EI7" s="3">
        <f>ROUND(0.0,2)</f>
        <v/>
      </c>
      <c r="EJ7" s="4">
        <f>IFERROR((ED7/EC7),0)</f>
        <v/>
      </c>
      <c r="EK7" s="4">
        <f>IFERROR(((0+EB7)/T2),0)</f>
        <v/>
      </c>
      <c r="EL7" s="5">
        <f>IFERROR(ROUND(EB7/ED7,2),0)</f>
        <v/>
      </c>
      <c r="EM7" s="5">
        <f>IFERROR(ROUND(EB7/EE7,2),0)</f>
        <v/>
      </c>
      <c r="EN7" s="2" t="inlineStr">
        <is>
          <t>2023-10-23</t>
        </is>
      </c>
      <c r="EO7" s="5">
        <f>ROUND(0.0,2)</f>
        <v/>
      </c>
      <c r="EP7" s="3">
        <f>ROUND(0.0,2)</f>
        <v/>
      </c>
      <c r="EQ7" s="3">
        <f>ROUND(0.0,2)</f>
        <v/>
      </c>
      <c r="ER7" s="3">
        <f>ROUND(0.0,2)</f>
        <v/>
      </c>
      <c r="ES7" s="3">
        <f>ROUND(0.0,2)</f>
        <v/>
      </c>
      <c r="ET7" s="3">
        <f>ROUND(0.0,2)</f>
        <v/>
      </c>
      <c r="EU7" s="3">
        <f>ROUND(0.0,2)</f>
        <v/>
      </c>
      <c r="EV7" s="3">
        <f>ROUND(0.0,2)</f>
        <v/>
      </c>
      <c r="EW7" s="4">
        <f>IFERROR((EQ7/EP7),0)</f>
        <v/>
      </c>
      <c r="EX7" s="4">
        <f>IFERROR(((0+EO7)/T2),0)</f>
        <v/>
      </c>
      <c r="EY7" s="5">
        <f>IFERROR(ROUND(EO7/EQ7,2),0)</f>
        <v/>
      </c>
      <c r="EZ7" s="5">
        <f>IFERROR(ROUND(EO7/ER7,2),0)</f>
        <v/>
      </c>
      <c r="FA7" s="2" t="inlineStr">
        <is>
          <t>2023-10-23</t>
        </is>
      </c>
      <c r="FB7" s="5">
        <f>ROUND(0.0,2)</f>
        <v/>
      </c>
      <c r="FC7" s="3">
        <f>ROUND(0.0,2)</f>
        <v/>
      </c>
      <c r="FD7" s="3">
        <f>ROUND(0.0,2)</f>
        <v/>
      </c>
      <c r="FE7" s="3">
        <f>ROUND(0.0,2)</f>
        <v/>
      </c>
      <c r="FF7" s="3">
        <f>ROUND(0.0,2)</f>
        <v/>
      </c>
      <c r="FG7" s="3">
        <f>ROUND(0.0,2)</f>
        <v/>
      </c>
      <c r="FH7" s="3">
        <f>ROUND(0.0,2)</f>
        <v/>
      </c>
      <c r="FI7" s="3">
        <f>ROUND(0.0,2)</f>
        <v/>
      </c>
      <c r="FJ7" s="4">
        <f>IFERROR((FD7/FC7),0)</f>
        <v/>
      </c>
      <c r="FK7" s="4">
        <f>IFERROR(((0+FB7)/T2),0)</f>
        <v/>
      </c>
      <c r="FL7" s="5">
        <f>IFERROR(ROUND(FB7/FD7,2),0)</f>
        <v/>
      </c>
      <c r="FM7" s="5">
        <f>IFERROR(ROUND(FB7/FE7,2),0)</f>
        <v/>
      </c>
      <c r="FN7" s="2" t="inlineStr">
        <is>
          <t>2023-10-23</t>
        </is>
      </c>
      <c r="FO7" s="5">
        <f>ROUND(0.0,2)</f>
        <v/>
      </c>
      <c r="FP7" s="3">
        <f>ROUND(0.0,2)</f>
        <v/>
      </c>
      <c r="FQ7" s="3">
        <f>ROUND(0.0,2)</f>
        <v/>
      </c>
      <c r="FR7" s="3">
        <f>ROUND(0.0,2)</f>
        <v/>
      </c>
      <c r="FS7" s="3">
        <f>ROUND(0.0,2)</f>
        <v/>
      </c>
      <c r="FT7" s="3">
        <f>ROUND(0.0,2)</f>
        <v/>
      </c>
      <c r="FU7" s="3">
        <f>ROUND(0.0,2)</f>
        <v/>
      </c>
      <c r="FV7" s="3">
        <f>ROUND(0.0,2)</f>
        <v/>
      </c>
      <c r="FW7" s="4">
        <f>IFERROR((FQ7/FP7),0)</f>
        <v/>
      </c>
      <c r="FX7" s="4">
        <f>IFERROR(((0+FO7)/T2),0)</f>
        <v/>
      </c>
      <c r="FY7" s="5">
        <f>IFERROR(ROUND(FO7/FQ7,2),0)</f>
        <v/>
      </c>
      <c r="FZ7" s="5">
        <f>IFERROR(ROUND(FO7/FR7,2),0)</f>
        <v/>
      </c>
      <c r="GA7" s="2" t="inlineStr">
        <is>
          <t>2023-10-23</t>
        </is>
      </c>
      <c r="GB7" s="5">
        <f>ROUND(0.0,2)</f>
        <v/>
      </c>
      <c r="GC7" s="3">
        <f>ROUND(0.0,2)</f>
        <v/>
      </c>
      <c r="GD7" s="3">
        <f>ROUND(0.0,2)</f>
        <v/>
      </c>
      <c r="GE7" s="3">
        <f>ROUND(0.0,2)</f>
        <v/>
      </c>
      <c r="GF7" s="3">
        <f>ROUND(0.0,2)</f>
        <v/>
      </c>
      <c r="GG7" s="3">
        <f>ROUND(0.0,2)</f>
        <v/>
      </c>
      <c r="GH7" s="3">
        <f>ROUND(0.0,2)</f>
        <v/>
      </c>
      <c r="GI7" s="3">
        <f>ROUND(0.0,2)</f>
        <v/>
      </c>
      <c r="GJ7" s="4">
        <f>IFERROR((GD7/GC7),0)</f>
        <v/>
      </c>
      <c r="GK7" s="4">
        <f>IFERROR(((0+GB7)/T2),0)</f>
        <v/>
      </c>
      <c r="GL7" s="5">
        <f>IFERROR(ROUND(GB7/GD7,2),0)</f>
        <v/>
      </c>
      <c r="GM7" s="5">
        <f>IFERROR(ROUND(GB7/GE7,2),0)</f>
        <v/>
      </c>
    </row>
    <row r="8">
      <c r="A8" s="2" t="inlineStr">
        <is>
          <t>2023-10-24</t>
        </is>
      </c>
      <c r="B8" s="5">
        <f>ROUND(108.73,2)</f>
        <v/>
      </c>
      <c r="C8" s="3">
        <f>ROUND(266316.0,2)</f>
        <v/>
      </c>
      <c r="D8" s="3">
        <f>ROUND(16377.0,2)</f>
        <v/>
      </c>
      <c r="E8" s="3">
        <f>ROUND(58656.0,2)</f>
        <v/>
      </c>
      <c r="F8" s="3">
        <f>ROUND(32200.0,2)</f>
        <v/>
      </c>
      <c r="G8" s="3">
        <f>ROUND(20871.0,2)</f>
        <v/>
      </c>
      <c r="H8" s="3">
        <f>ROUND(17644.0,2)</f>
        <v/>
      </c>
      <c r="I8" s="3">
        <f>ROUND(5436.0,2)</f>
        <v/>
      </c>
      <c r="J8" s="4">
        <f>IFERROR((D8/C8),0)</f>
        <v/>
      </c>
      <c r="K8" s="4">
        <f>IFERROR(((0+B7+B8)/T2),0)</f>
        <v/>
      </c>
      <c r="L8" s="5">
        <f>IFERROR(ROUND(B8/D8,2),0)</f>
        <v/>
      </c>
      <c r="M8" s="5">
        <f>IFERROR(ROUND(B8/E8,2),0)</f>
        <v/>
      </c>
      <c r="N8" s="2" t="inlineStr">
        <is>
          <t>2023-10-24</t>
        </is>
      </c>
      <c r="O8" s="5">
        <f>ROUND(7.7,2)</f>
        <v/>
      </c>
      <c r="P8" s="3">
        <f>ROUND(25414.0,2)</f>
        <v/>
      </c>
      <c r="Q8" s="3">
        <f>ROUND(531.0,2)</f>
        <v/>
      </c>
      <c r="R8" s="3">
        <f>ROUND(0.0,2)</f>
        <v/>
      </c>
      <c r="S8" s="3">
        <f>ROUND(0.0,2)</f>
        <v/>
      </c>
      <c r="T8" s="3">
        <f>ROUND(0.0,2)</f>
        <v/>
      </c>
      <c r="U8" s="3">
        <f>ROUND(0.0,2)</f>
        <v/>
      </c>
      <c r="V8" s="3">
        <f>ROUND(0.0,2)</f>
        <v/>
      </c>
      <c r="W8" s="4">
        <f>IFERROR((Q8/P8),0)</f>
        <v/>
      </c>
      <c r="X8" s="4">
        <f>IFERROR(((0+O7+O8)/T2),0)</f>
        <v/>
      </c>
      <c r="Y8" s="5">
        <f>IFERROR(ROUND(O8/Q8,2),0)</f>
        <v/>
      </c>
      <c r="Z8" s="5">
        <f>IFERROR(ROUND(O8/R8,2),0)</f>
        <v/>
      </c>
      <c r="AA8" s="2" t="inlineStr">
        <is>
          <t>2023-10-24</t>
        </is>
      </c>
      <c r="AB8" s="5">
        <f>ROUND(7.4799999999999995,2)</f>
        <v/>
      </c>
      <c r="AC8" s="3">
        <f>ROUND(26432.0,2)</f>
        <v/>
      </c>
      <c r="AD8" s="3">
        <f>ROUND(553.0,2)</f>
        <v/>
      </c>
      <c r="AE8" s="3">
        <f>ROUND(0.0,2)</f>
        <v/>
      </c>
      <c r="AF8" s="3">
        <f>ROUND(0.0,2)</f>
        <v/>
      </c>
      <c r="AG8" s="3">
        <f>ROUND(0.0,2)</f>
        <v/>
      </c>
      <c r="AH8" s="3">
        <f>ROUND(0.0,2)</f>
        <v/>
      </c>
      <c r="AI8" s="3">
        <f>ROUND(0.0,2)</f>
        <v/>
      </c>
      <c r="AJ8" s="4">
        <f>IFERROR((AD8/AC8),0)</f>
        <v/>
      </c>
      <c r="AK8" s="4">
        <f>IFERROR(((0+AB7+AB8)/T2),0)</f>
        <v/>
      </c>
      <c r="AL8" s="5">
        <f>IFERROR(ROUND(AB8/AD8,2),0)</f>
        <v/>
      </c>
      <c r="AM8" s="5">
        <f>IFERROR(ROUND(AB8/AE8,2),0)</f>
        <v/>
      </c>
      <c r="AN8" s="2" t="inlineStr">
        <is>
          <t>2023-10-24</t>
        </is>
      </c>
      <c r="AO8" s="5">
        <f>ROUND(7.09,2)</f>
        <v/>
      </c>
      <c r="AP8" s="3">
        <f>ROUND(23686.0,2)</f>
        <v/>
      </c>
      <c r="AQ8" s="3">
        <f>ROUND(439.0,2)</f>
        <v/>
      </c>
      <c r="AR8" s="3">
        <f>ROUND(0.0,2)</f>
        <v/>
      </c>
      <c r="AS8" s="3">
        <f>ROUND(0.0,2)</f>
        <v/>
      </c>
      <c r="AT8" s="3">
        <f>ROUND(0.0,2)</f>
        <v/>
      </c>
      <c r="AU8" s="3">
        <f>ROUND(0.0,2)</f>
        <v/>
      </c>
      <c r="AV8" s="3">
        <f>ROUND(0.0,2)</f>
        <v/>
      </c>
      <c r="AW8" s="4">
        <f>IFERROR((AQ8/AP8),0)</f>
        <v/>
      </c>
      <c r="AX8" s="4">
        <f>IFERROR(((0+AO7+AO8)/T2),0)</f>
        <v/>
      </c>
      <c r="AY8" s="5">
        <f>IFERROR(ROUND(AO8/AQ8,2),0)</f>
        <v/>
      </c>
      <c r="AZ8" s="5">
        <f>IFERROR(ROUND(AO8/AR8,2),0)</f>
        <v/>
      </c>
      <c r="BA8" s="2" t="inlineStr">
        <is>
          <t>2023-10-24</t>
        </is>
      </c>
      <c r="BB8" s="5">
        <f>ROUND(7.329999999999999,2)</f>
        <v/>
      </c>
      <c r="BC8" s="3">
        <f>ROUND(23673.0,2)</f>
        <v/>
      </c>
      <c r="BD8" s="3">
        <f>ROUND(457.0,2)</f>
        <v/>
      </c>
      <c r="BE8" s="3">
        <f>ROUND(0.0,2)</f>
        <v/>
      </c>
      <c r="BF8" s="3">
        <f>ROUND(0.0,2)</f>
        <v/>
      </c>
      <c r="BG8" s="3">
        <f>ROUND(0.0,2)</f>
        <v/>
      </c>
      <c r="BH8" s="3">
        <f>ROUND(0.0,2)</f>
        <v/>
      </c>
      <c r="BI8" s="3">
        <f>ROUND(0.0,2)</f>
        <v/>
      </c>
      <c r="BJ8" s="4">
        <f>IFERROR((BD8/BC8),0)</f>
        <v/>
      </c>
      <c r="BK8" s="4">
        <f>IFERROR(((0+BB7+BB8)/T2),0)</f>
        <v/>
      </c>
      <c r="BL8" s="5">
        <f>IFERROR(ROUND(BB8/BD8,2),0)</f>
        <v/>
      </c>
      <c r="BM8" s="5">
        <f>IFERROR(ROUND(BB8/BE8,2),0)</f>
        <v/>
      </c>
      <c r="BN8" s="2" t="inlineStr">
        <is>
          <t>2023-10-24</t>
        </is>
      </c>
      <c r="BO8" s="5">
        <f>ROUND(7.67,2)</f>
        <v/>
      </c>
      <c r="BP8" s="3">
        <f>ROUND(24869.0,2)</f>
        <v/>
      </c>
      <c r="BQ8" s="3">
        <f>ROUND(463.0,2)</f>
        <v/>
      </c>
      <c r="BR8" s="3">
        <f>ROUND(0.0,2)</f>
        <v/>
      </c>
      <c r="BS8" s="3">
        <f>ROUND(0.0,2)</f>
        <v/>
      </c>
      <c r="BT8" s="3">
        <f>ROUND(0.0,2)</f>
        <v/>
      </c>
      <c r="BU8" s="3">
        <f>ROUND(0.0,2)</f>
        <v/>
      </c>
      <c r="BV8" s="3">
        <f>ROUND(0.0,2)</f>
        <v/>
      </c>
      <c r="BW8" s="4">
        <f>IFERROR((BQ8/BP8),0)</f>
        <v/>
      </c>
      <c r="BX8" s="4">
        <f>IFERROR(((0+BO7+BO8)/T2),0)</f>
        <v/>
      </c>
      <c r="BY8" s="5">
        <f>IFERROR(ROUND(BO8/BQ8,2),0)</f>
        <v/>
      </c>
      <c r="BZ8" s="5">
        <f>IFERROR(ROUND(BO8/BR8,2),0)</f>
        <v/>
      </c>
      <c r="CA8" s="2" t="inlineStr">
        <is>
          <t>2023-10-24</t>
        </is>
      </c>
      <c r="CB8" s="5">
        <f>ROUND(18.22,2)</f>
        <v/>
      </c>
      <c r="CC8" s="3">
        <f>ROUND(35543.0,2)</f>
        <v/>
      </c>
      <c r="CD8" s="3">
        <f>ROUND(3470.0,2)</f>
        <v/>
      </c>
      <c r="CE8" s="3">
        <f>ROUND(16307.0,2)</f>
        <v/>
      </c>
      <c r="CF8" s="3">
        <f>ROUND(8998.0,2)</f>
        <v/>
      </c>
      <c r="CG8" s="3">
        <f>ROUND(5677.0,2)</f>
        <v/>
      </c>
      <c r="CH8" s="3">
        <f>ROUND(4661.0,2)</f>
        <v/>
      </c>
      <c r="CI8" s="3">
        <f>ROUND(762.0,2)</f>
        <v/>
      </c>
      <c r="CJ8" s="4">
        <f>IFERROR((CD8/CC8),0)</f>
        <v/>
      </c>
      <c r="CK8" s="4">
        <f>IFERROR(((0+CB7+CB8)/T2),0)</f>
        <v/>
      </c>
      <c r="CL8" s="5">
        <f>IFERROR(ROUND(CB8/CD8,2),0)</f>
        <v/>
      </c>
      <c r="CM8" s="5">
        <f>IFERROR(ROUND(CB8/CE8,2),0)</f>
        <v/>
      </c>
      <c r="CN8" s="2" t="inlineStr">
        <is>
          <t>2023-10-24</t>
        </is>
      </c>
      <c r="CO8" s="5">
        <f>ROUND(17.98,2)</f>
        <v/>
      </c>
      <c r="CP8" s="3">
        <f>ROUND(33853.0,2)</f>
        <v/>
      </c>
      <c r="CQ8" s="3">
        <f>ROUND(3741.0,2)</f>
        <v/>
      </c>
      <c r="CR8" s="3">
        <f>ROUND(12146.0,2)</f>
        <v/>
      </c>
      <c r="CS8" s="3">
        <f>ROUND(6748.0,2)</f>
        <v/>
      </c>
      <c r="CT8" s="3">
        <f>ROUND(4032.0,2)</f>
        <v/>
      </c>
      <c r="CU8" s="3">
        <f>ROUND(3322.0,2)</f>
        <v/>
      </c>
      <c r="CV8" s="3">
        <f>ROUND(487.0,2)</f>
        <v/>
      </c>
      <c r="CW8" s="4">
        <f>IFERROR((CQ8/CP8),0)</f>
        <v/>
      </c>
      <c r="CX8" s="4">
        <f>IFERROR(((0+CO7+CO8)/T2),0)</f>
        <v/>
      </c>
      <c r="CY8" s="5">
        <f>IFERROR(ROUND(CO8/CQ8,2),0)</f>
        <v/>
      </c>
      <c r="CZ8" s="5">
        <f>IFERROR(ROUND(CO8/CR8,2),0)</f>
        <v/>
      </c>
      <c r="DA8" s="2" t="inlineStr">
        <is>
          <t>2023-10-24</t>
        </is>
      </c>
      <c r="DB8" s="5">
        <f>ROUND(17.45,2)</f>
        <v/>
      </c>
      <c r="DC8" s="3">
        <f>ROUND(36008.0,2)</f>
        <v/>
      </c>
      <c r="DD8" s="3">
        <f>ROUND(3111.0,2)</f>
        <v/>
      </c>
      <c r="DE8" s="3">
        <f>ROUND(16793.0,2)</f>
        <v/>
      </c>
      <c r="DF8" s="3">
        <f>ROUND(9338.0,2)</f>
        <v/>
      </c>
      <c r="DG8" s="3">
        <f>ROUND(6190.0,2)</f>
        <v/>
      </c>
      <c r="DH8" s="3">
        <f>ROUND(5512.0,2)</f>
        <v/>
      </c>
      <c r="DI8" s="3">
        <f>ROUND(596.0,2)</f>
        <v/>
      </c>
      <c r="DJ8" s="4">
        <f>IFERROR((DD8/DC8),0)</f>
        <v/>
      </c>
      <c r="DK8" s="4">
        <f>IFERROR(((0+DB7+DB8)/T2),0)</f>
        <v/>
      </c>
      <c r="DL8" s="5">
        <f>IFERROR(ROUND(DB8/DD8,2),0)</f>
        <v/>
      </c>
      <c r="DM8" s="5">
        <f>IFERROR(ROUND(DB8/DE8,2),0)</f>
        <v/>
      </c>
      <c r="DN8" s="2" t="inlineStr">
        <is>
          <t>2023-10-24</t>
        </is>
      </c>
      <c r="DO8" s="5">
        <f>ROUND(17.81,2)</f>
        <v/>
      </c>
      <c r="DP8" s="3">
        <f>ROUND(36707.0,2)</f>
        <v/>
      </c>
      <c r="DQ8" s="3">
        <f>ROUND(3608.0,2)</f>
        <v/>
      </c>
      <c r="DR8" s="3">
        <f>ROUND(13410.0,2)</f>
        <v/>
      </c>
      <c r="DS8" s="3">
        <f>ROUND(7116.0,2)</f>
        <v/>
      </c>
      <c r="DT8" s="3">
        <f>ROUND(4972.0,2)</f>
        <v/>
      </c>
      <c r="DU8" s="3">
        <f>ROUND(4149.0,2)</f>
        <v/>
      </c>
      <c r="DV8" s="3">
        <f>ROUND(3591.0,2)</f>
        <v/>
      </c>
      <c r="DW8" s="4">
        <f>IFERROR((DQ8/DP8),0)</f>
        <v/>
      </c>
      <c r="DX8" s="4">
        <f>IFERROR(((0+DO7+DO8)/T2),0)</f>
        <v/>
      </c>
      <c r="DY8" s="5">
        <f>IFERROR(ROUND(DO8/DQ8,2),0)</f>
        <v/>
      </c>
      <c r="DZ8" s="5">
        <f>IFERROR(ROUND(DO8/DR8,2),0)</f>
        <v/>
      </c>
      <c r="EA8" s="2" t="inlineStr">
        <is>
          <t>2023-10-24</t>
        </is>
      </c>
      <c r="EB8" s="5">
        <f>ROUND(0.0,2)</f>
        <v/>
      </c>
      <c r="EC8" s="3">
        <f>ROUND(1.0,2)</f>
        <v/>
      </c>
      <c r="ED8" s="3">
        <f>ROUND(0.0,2)</f>
        <v/>
      </c>
      <c r="EE8" s="3">
        <f>ROUND(0.0,2)</f>
        <v/>
      </c>
      <c r="EF8" s="3">
        <f>ROUND(0.0,2)</f>
        <v/>
      </c>
      <c r="EG8" s="3">
        <f>ROUND(0.0,2)</f>
        <v/>
      </c>
      <c r="EH8" s="3">
        <f>ROUND(0.0,2)</f>
        <v/>
      </c>
      <c r="EI8" s="3">
        <f>ROUND(0.0,2)</f>
        <v/>
      </c>
      <c r="EJ8" s="4">
        <f>IFERROR((ED8/EC8),0)</f>
        <v/>
      </c>
      <c r="EK8" s="4">
        <f>IFERROR(((0+EB7+EB8)/T2),0)</f>
        <v/>
      </c>
      <c r="EL8" s="5">
        <f>IFERROR(ROUND(EB8/ED8,2),0)</f>
        <v/>
      </c>
      <c r="EM8" s="5">
        <f>IFERROR(ROUND(EB8/EE8,2),0)</f>
        <v/>
      </c>
      <c r="EN8" s="2" t="inlineStr">
        <is>
          <t>2023-10-24</t>
        </is>
      </c>
      <c r="EO8" s="5">
        <f>ROUND(0.0,2)</f>
        <v/>
      </c>
      <c r="EP8" s="3">
        <f>ROUND(22.0,2)</f>
        <v/>
      </c>
      <c r="EQ8" s="3">
        <f>ROUND(0.0,2)</f>
        <v/>
      </c>
      <c r="ER8" s="3">
        <f>ROUND(0.0,2)</f>
        <v/>
      </c>
      <c r="ES8" s="3">
        <f>ROUND(0.0,2)</f>
        <v/>
      </c>
      <c r="ET8" s="3">
        <f>ROUND(0.0,2)</f>
        <v/>
      </c>
      <c r="EU8" s="3">
        <f>ROUND(0.0,2)</f>
        <v/>
      </c>
      <c r="EV8" s="3">
        <f>ROUND(0.0,2)</f>
        <v/>
      </c>
      <c r="EW8" s="4">
        <f>IFERROR((EQ8/EP8),0)</f>
        <v/>
      </c>
      <c r="EX8" s="4">
        <f>IFERROR(((0+EO7+EO8)/T2),0)</f>
        <v/>
      </c>
      <c r="EY8" s="5">
        <f>IFERROR(ROUND(EO8/EQ8,2),0)</f>
        <v/>
      </c>
      <c r="EZ8" s="5">
        <f>IFERROR(ROUND(EO8/ER8,2),0)</f>
        <v/>
      </c>
      <c r="FA8" s="2" t="inlineStr">
        <is>
          <t>2023-10-24</t>
        </is>
      </c>
      <c r="FB8" s="5">
        <f>ROUND(0.0,2)</f>
        <v/>
      </c>
      <c r="FC8" s="3">
        <f>ROUND(85.0,2)</f>
        <v/>
      </c>
      <c r="FD8" s="3">
        <f>ROUND(2.0,2)</f>
        <v/>
      </c>
      <c r="FE8" s="3">
        <f>ROUND(0.0,2)</f>
        <v/>
      </c>
      <c r="FF8" s="3">
        <f>ROUND(0.0,2)</f>
        <v/>
      </c>
      <c r="FG8" s="3">
        <f>ROUND(0.0,2)</f>
        <v/>
      </c>
      <c r="FH8" s="3">
        <f>ROUND(0.0,2)</f>
        <v/>
      </c>
      <c r="FI8" s="3">
        <f>ROUND(0.0,2)</f>
        <v/>
      </c>
      <c r="FJ8" s="4">
        <f>IFERROR((FD8/FC8),0)</f>
        <v/>
      </c>
      <c r="FK8" s="4">
        <f>IFERROR(((0+FB7+FB8)/T2),0)</f>
        <v/>
      </c>
      <c r="FL8" s="5">
        <f>IFERROR(ROUND(FB8/FD8,2),0)</f>
        <v/>
      </c>
      <c r="FM8" s="5">
        <f>IFERROR(ROUND(FB8/FE8,2),0)</f>
        <v/>
      </c>
      <c r="FN8" s="2" t="inlineStr">
        <is>
          <t>2023-10-24</t>
        </is>
      </c>
      <c r="FO8" s="5">
        <f>ROUND(0.0,2)</f>
        <v/>
      </c>
      <c r="FP8" s="3">
        <f>ROUND(2.0,2)</f>
        <v/>
      </c>
      <c r="FQ8" s="3">
        <f>ROUND(0.0,2)</f>
        <v/>
      </c>
      <c r="FR8" s="3">
        <f>ROUND(0.0,2)</f>
        <v/>
      </c>
      <c r="FS8" s="3">
        <f>ROUND(0.0,2)</f>
        <v/>
      </c>
      <c r="FT8" s="3">
        <f>ROUND(0.0,2)</f>
        <v/>
      </c>
      <c r="FU8" s="3">
        <f>ROUND(0.0,2)</f>
        <v/>
      </c>
      <c r="FV8" s="3">
        <f>ROUND(0.0,2)</f>
        <v/>
      </c>
      <c r="FW8" s="4">
        <f>IFERROR((FQ8/FP8),0)</f>
        <v/>
      </c>
      <c r="FX8" s="4">
        <f>IFERROR(((0+FO7+FO8)/T2),0)</f>
        <v/>
      </c>
      <c r="FY8" s="5">
        <f>IFERROR(ROUND(FO8/FQ8,2),0)</f>
        <v/>
      </c>
      <c r="FZ8" s="5">
        <f>IFERROR(ROUND(FO8/FR8,2),0)</f>
        <v/>
      </c>
      <c r="GA8" s="2" t="inlineStr">
        <is>
          <t>2023-10-24</t>
        </is>
      </c>
      <c r="GB8" s="5">
        <f>ROUND(0.0,2)</f>
        <v/>
      </c>
      <c r="GC8" s="3">
        <f>ROUND(21.0,2)</f>
        <v/>
      </c>
      <c r="GD8" s="3">
        <f>ROUND(2.0,2)</f>
        <v/>
      </c>
      <c r="GE8" s="3">
        <f>ROUND(0.0,2)</f>
        <v/>
      </c>
      <c r="GF8" s="3">
        <f>ROUND(0.0,2)</f>
        <v/>
      </c>
      <c r="GG8" s="3">
        <f>ROUND(0.0,2)</f>
        <v/>
      </c>
      <c r="GH8" s="3">
        <f>ROUND(0.0,2)</f>
        <v/>
      </c>
      <c r="GI8" s="3">
        <f>ROUND(0.0,2)</f>
        <v/>
      </c>
      <c r="GJ8" s="4">
        <f>IFERROR((GD8/GC8),0)</f>
        <v/>
      </c>
      <c r="GK8" s="4">
        <f>IFERROR(((0+GB7+GB8)/T2),0)</f>
        <v/>
      </c>
      <c r="GL8" s="5">
        <f>IFERROR(ROUND(GB8/GD8,2),0)</f>
        <v/>
      </c>
      <c r="GM8" s="5">
        <f>IFERROR(ROUND(GB8/GE8,2),0)</f>
        <v/>
      </c>
    </row>
    <row r="9">
      <c r="A9" s="2" t="inlineStr">
        <is>
          <t>2023-10-25</t>
        </is>
      </c>
      <c r="B9" s="5">
        <f>ROUND(240.63001909,2)</f>
        <v/>
      </c>
      <c r="C9" s="3">
        <f>ROUND(615848.0,2)</f>
        <v/>
      </c>
      <c r="D9" s="3">
        <f>ROUND(36189.0,2)</f>
        <v/>
      </c>
      <c r="E9" s="3">
        <f>ROUND(52283.0,2)</f>
        <v/>
      </c>
      <c r="F9" s="3">
        <f>ROUND(18067.0,2)</f>
        <v/>
      </c>
      <c r="G9" s="3">
        <f>ROUND(11223.0,2)</f>
        <v/>
      </c>
      <c r="H9" s="3">
        <f>ROUND(8896.0,2)</f>
        <v/>
      </c>
      <c r="I9" s="3">
        <f>ROUND(6072.0,2)</f>
        <v/>
      </c>
      <c r="J9" s="4">
        <f>IFERROR((D9/C9),0)</f>
        <v/>
      </c>
      <c r="K9" s="4">
        <f>IFERROR(((0+B7+B8+B9)/T2),0)</f>
        <v/>
      </c>
      <c r="L9" s="5">
        <f>IFERROR(ROUND(B9/D9,2),0)</f>
        <v/>
      </c>
      <c r="M9" s="5">
        <f>IFERROR(ROUND(B9/E9,2),0)</f>
        <v/>
      </c>
      <c r="N9" s="2" t="inlineStr">
        <is>
          <t>2023-10-25</t>
        </is>
      </c>
      <c r="O9" s="5">
        <f>ROUND(15.43000958,2)</f>
        <v/>
      </c>
      <c r="P9" s="3">
        <f>ROUND(48456.0,2)</f>
        <v/>
      </c>
      <c r="Q9" s="3">
        <f>ROUND(1044.0,2)</f>
        <v/>
      </c>
      <c r="R9" s="3">
        <f>ROUND(0.0,2)</f>
        <v/>
      </c>
      <c r="S9" s="3">
        <f>ROUND(0.0,2)</f>
        <v/>
      </c>
      <c r="T9" s="3">
        <f>ROUND(0.0,2)</f>
        <v/>
      </c>
      <c r="U9" s="3">
        <f>ROUND(0.0,2)</f>
        <v/>
      </c>
      <c r="V9" s="3">
        <f>ROUND(0.0,2)</f>
        <v/>
      </c>
      <c r="W9" s="4">
        <f>IFERROR((Q9/P9),0)</f>
        <v/>
      </c>
      <c r="X9" s="4">
        <f>IFERROR(((0+O7+O8+O9)/T2),0)</f>
        <v/>
      </c>
      <c r="Y9" s="5">
        <f>IFERROR(ROUND(O9/Q9,2),0)</f>
        <v/>
      </c>
      <c r="Z9" s="5">
        <f>IFERROR(ROUND(O9/R9,2),0)</f>
        <v/>
      </c>
      <c r="AA9" s="2" t="inlineStr">
        <is>
          <t>2023-10-25</t>
        </is>
      </c>
      <c r="AB9" s="5">
        <f>ROUND(15.69,2)</f>
        <v/>
      </c>
      <c r="AC9" s="3">
        <f>ROUND(50438.0,2)</f>
        <v/>
      </c>
      <c r="AD9" s="3">
        <f>ROUND(989.0,2)</f>
        <v/>
      </c>
      <c r="AE9" s="3">
        <f>ROUND(0.0,2)</f>
        <v/>
      </c>
      <c r="AF9" s="3">
        <f>ROUND(0.0,2)</f>
        <v/>
      </c>
      <c r="AG9" s="3">
        <f>ROUND(0.0,2)</f>
        <v/>
      </c>
      <c r="AH9" s="3">
        <f>ROUND(0.0,2)</f>
        <v/>
      </c>
      <c r="AI9" s="3">
        <f>ROUND(0.0,2)</f>
        <v/>
      </c>
      <c r="AJ9" s="4">
        <f>IFERROR((AD9/AC9),0)</f>
        <v/>
      </c>
      <c r="AK9" s="4">
        <f>IFERROR(((0+AB7+AB8+AB9)/T2),0)</f>
        <v/>
      </c>
      <c r="AL9" s="5">
        <f>IFERROR(ROUND(AB9/AD9,2),0)</f>
        <v/>
      </c>
      <c r="AM9" s="5">
        <f>IFERROR(ROUND(AB9/AE9,2),0)</f>
        <v/>
      </c>
      <c r="AN9" s="2" t="inlineStr">
        <is>
          <t>2023-10-25</t>
        </is>
      </c>
      <c r="AO9" s="5">
        <f>ROUND(15.69,2)</f>
        <v/>
      </c>
      <c r="AP9" s="3">
        <f>ROUND(45745.0,2)</f>
        <v/>
      </c>
      <c r="AQ9" s="3">
        <f>ROUND(950.0,2)</f>
        <v/>
      </c>
      <c r="AR9" s="3">
        <f>ROUND(0.0,2)</f>
        <v/>
      </c>
      <c r="AS9" s="3">
        <f>ROUND(0.0,2)</f>
        <v/>
      </c>
      <c r="AT9" s="3">
        <f>ROUND(0.0,2)</f>
        <v/>
      </c>
      <c r="AU9" s="3">
        <f>ROUND(0.0,2)</f>
        <v/>
      </c>
      <c r="AV9" s="3">
        <f>ROUND(0.0,2)</f>
        <v/>
      </c>
      <c r="AW9" s="4">
        <f>IFERROR((AQ9/AP9),0)</f>
        <v/>
      </c>
      <c r="AX9" s="4">
        <f>IFERROR(((0+AO7+AO8+AO9)/T2),0)</f>
        <v/>
      </c>
      <c r="AY9" s="5">
        <f>IFERROR(ROUND(AO9/AQ9,2),0)</f>
        <v/>
      </c>
      <c r="AZ9" s="5">
        <f>IFERROR(ROUND(AO9/AR9,2),0)</f>
        <v/>
      </c>
      <c r="BA9" s="2" t="inlineStr">
        <is>
          <t>2023-10-25</t>
        </is>
      </c>
      <c r="BB9" s="5">
        <f>ROUND(15.7,2)</f>
        <v/>
      </c>
      <c r="BC9" s="3">
        <f>ROUND(45700.0,2)</f>
        <v/>
      </c>
      <c r="BD9" s="3">
        <f>ROUND(966.0,2)</f>
        <v/>
      </c>
      <c r="BE9" s="3">
        <f>ROUND(0.0,2)</f>
        <v/>
      </c>
      <c r="BF9" s="3">
        <f>ROUND(0.0,2)</f>
        <v/>
      </c>
      <c r="BG9" s="3">
        <f>ROUND(0.0,2)</f>
        <v/>
      </c>
      <c r="BH9" s="3">
        <f>ROUND(0.0,2)</f>
        <v/>
      </c>
      <c r="BI9" s="3">
        <f>ROUND(0.0,2)</f>
        <v/>
      </c>
      <c r="BJ9" s="4">
        <f>IFERROR((BD9/BC9),0)</f>
        <v/>
      </c>
      <c r="BK9" s="4">
        <f>IFERROR(((0+BB7+BB8+BB9)/T2),0)</f>
        <v/>
      </c>
      <c r="BL9" s="5">
        <f>IFERROR(ROUND(BB9/BD9,2),0)</f>
        <v/>
      </c>
      <c r="BM9" s="5">
        <f>IFERROR(ROUND(BB9/BE9,2),0)</f>
        <v/>
      </c>
      <c r="BN9" s="2" t="inlineStr">
        <is>
          <t>2023-10-25</t>
        </is>
      </c>
      <c r="BO9" s="5">
        <f>ROUND(15.38000951,2)</f>
        <v/>
      </c>
      <c r="BP9" s="3">
        <f>ROUND(48768.0,2)</f>
        <v/>
      </c>
      <c r="BQ9" s="3">
        <f>ROUND(825.0,2)</f>
        <v/>
      </c>
      <c r="BR9" s="3">
        <f>ROUND(0.0,2)</f>
        <v/>
      </c>
      <c r="BS9" s="3">
        <f>ROUND(0.0,2)</f>
        <v/>
      </c>
      <c r="BT9" s="3">
        <f>ROUND(0.0,2)</f>
        <v/>
      </c>
      <c r="BU9" s="3">
        <f>ROUND(0.0,2)</f>
        <v/>
      </c>
      <c r="BV9" s="3">
        <f>ROUND(0.0,2)</f>
        <v/>
      </c>
      <c r="BW9" s="4">
        <f>IFERROR((BQ9/BP9),0)</f>
        <v/>
      </c>
      <c r="BX9" s="4">
        <f>IFERROR(((0+BO7+BO8+BO9)/T2),0)</f>
        <v/>
      </c>
      <c r="BY9" s="5">
        <f>IFERROR(ROUND(BO9/BQ9,2),0)</f>
        <v/>
      </c>
      <c r="BZ9" s="5">
        <f>IFERROR(ROUND(BO9/BR9,2),0)</f>
        <v/>
      </c>
      <c r="CA9" s="2" t="inlineStr">
        <is>
          <t>2023-10-25</t>
        </is>
      </c>
      <c r="CB9" s="5">
        <f>ROUND(40.550000000000004,2)</f>
        <v/>
      </c>
      <c r="CC9" s="3">
        <f>ROUND(98951.0,2)</f>
        <v/>
      </c>
      <c r="CD9" s="3">
        <f>ROUND(8123.0,2)</f>
        <v/>
      </c>
      <c r="CE9" s="3">
        <f>ROUND(13842.0,2)</f>
        <v/>
      </c>
      <c r="CF9" s="3">
        <f>ROUND(4803.0,2)</f>
        <v/>
      </c>
      <c r="CG9" s="3">
        <f>ROUND(2874.0,2)</f>
        <v/>
      </c>
      <c r="CH9" s="3">
        <f>ROUND(2043.0,2)</f>
        <v/>
      </c>
      <c r="CI9" s="3">
        <f>ROUND(1467.0,2)</f>
        <v/>
      </c>
      <c r="CJ9" s="4">
        <f>IFERROR((CD9/CC9),0)</f>
        <v/>
      </c>
      <c r="CK9" s="4">
        <f>IFERROR(((0+CB7+CB8+CB9)/T2),0)</f>
        <v/>
      </c>
      <c r="CL9" s="5">
        <f>IFERROR(ROUND(CB9/CD9,2),0)</f>
        <v/>
      </c>
      <c r="CM9" s="5">
        <f>IFERROR(ROUND(CB9/CE9,2),0)</f>
        <v/>
      </c>
      <c r="CN9" s="2" t="inlineStr">
        <is>
          <t>2023-10-25</t>
        </is>
      </c>
      <c r="CO9" s="5">
        <f>ROUND(40.739999999999995,2)</f>
        <v/>
      </c>
      <c r="CP9" s="3">
        <f>ROUND(76810.0,2)</f>
        <v/>
      </c>
      <c r="CQ9" s="3">
        <f>ROUND(8633.0,2)</f>
        <v/>
      </c>
      <c r="CR9" s="3">
        <f>ROUND(9049.0,2)</f>
        <v/>
      </c>
      <c r="CS9" s="3">
        <f>ROUND(3011.0,2)</f>
        <v/>
      </c>
      <c r="CT9" s="3">
        <f>ROUND(1665.0,2)</f>
        <v/>
      </c>
      <c r="CU9" s="3">
        <f>ROUND(1179.0,2)</f>
        <v/>
      </c>
      <c r="CV9" s="3">
        <f>ROUND(797.0,2)</f>
        <v/>
      </c>
      <c r="CW9" s="4">
        <f>IFERROR((CQ9/CP9),0)</f>
        <v/>
      </c>
      <c r="CX9" s="4">
        <f>IFERROR(((0+CO7+CO8+CO9)/T2),0)</f>
        <v/>
      </c>
      <c r="CY9" s="5">
        <f>IFERROR(ROUND(CO9/CQ9,2),0)</f>
        <v/>
      </c>
      <c r="CZ9" s="5">
        <f>IFERROR(ROUND(CO9/CR9,2),0)</f>
        <v/>
      </c>
      <c r="DA9" s="2" t="inlineStr">
        <is>
          <t>2023-10-25</t>
        </is>
      </c>
      <c r="DB9" s="5">
        <f>ROUND(40.5,2)</f>
        <v/>
      </c>
      <c r="DC9" s="3">
        <f>ROUND(100411.0,2)</f>
        <v/>
      </c>
      <c r="DD9" s="3">
        <f>ROUND(6560.0,2)</f>
        <v/>
      </c>
      <c r="DE9" s="3">
        <f>ROUND(17012.0,2)</f>
        <v/>
      </c>
      <c r="DF9" s="3">
        <f>ROUND(5538.0,2)</f>
        <v/>
      </c>
      <c r="DG9" s="3">
        <f>ROUND(3449.0,2)</f>
        <v/>
      </c>
      <c r="DH9" s="3">
        <f>ROUND(2948.0,2)</f>
        <v/>
      </c>
      <c r="DI9" s="3">
        <f>ROUND(1550.0,2)</f>
        <v/>
      </c>
      <c r="DJ9" s="4">
        <f>IFERROR((DD9/DC9),0)</f>
        <v/>
      </c>
      <c r="DK9" s="4">
        <f>IFERROR(((0+DB7+DB8+DB9)/T2),0)</f>
        <v/>
      </c>
      <c r="DL9" s="5">
        <f>IFERROR(ROUND(DB9/DD9,2),0)</f>
        <v/>
      </c>
      <c r="DM9" s="5">
        <f>IFERROR(ROUND(DB9/DE9,2),0)</f>
        <v/>
      </c>
      <c r="DN9" s="2" t="inlineStr">
        <is>
          <t>2023-10-25</t>
        </is>
      </c>
      <c r="DO9" s="5">
        <f>ROUND(40.95,2)</f>
        <v/>
      </c>
      <c r="DP9" s="3">
        <f>ROUND(100529.0,2)</f>
        <v/>
      </c>
      <c r="DQ9" s="3">
        <f>ROUND(8099.0,2)</f>
        <v/>
      </c>
      <c r="DR9" s="3">
        <f>ROUND(12380.0,2)</f>
        <v/>
      </c>
      <c r="DS9" s="3">
        <f>ROUND(4715.0,2)</f>
        <v/>
      </c>
      <c r="DT9" s="3">
        <f>ROUND(3235.0,2)</f>
        <v/>
      </c>
      <c r="DU9" s="3">
        <f>ROUND(2726.0,2)</f>
        <v/>
      </c>
      <c r="DV9" s="3">
        <f>ROUND(2258.0,2)</f>
        <v/>
      </c>
      <c r="DW9" s="4">
        <f>IFERROR((DQ9/DP9),0)</f>
        <v/>
      </c>
      <c r="DX9" s="4">
        <f>IFERROR(((0+DO7+DO8+DO9)/T2),0)</f>
        <v/>
      </c>
      <c r="DY9" s="5">
        <f>IFERROR(ROUND(DO9/DQ9,2),0)</f>
        <v/>
      </c>
      <c r="DZ9" s="5">
        <f>IFERROR(ROUND(DO9/DR9,2),0)</f>
        <v/>
      </c>
      <c r="EA9" s="2" t="inlineStr">
        <is>
          <t>2023-10-25</t>
        </is>
      </c>
      <c r="EB9" s="5">
        <f>ROUND(0.0,2)</f>
        <v/>
      </c>
      <c r="EC9" s="3">
        <f>ROUND(2.0,2)</f>
        <v/>
      </c>
      <c r="ED9" s="3">
        <f>ROUND(0.0,2)</f>
        <v/>
      </c>
      <c r="EE9" s="3">
        <f>ROUND(0.0,2)</f>
        <v/>
      </c>
      <c r="EF9" s="3">
        <f>ROUND(0.0,2)</f>
        <v/>
      </c>
      <c r="EG9" s="3">
        <f>ROUND(0.0,2)</f>
        <v/>
      </c>
      <c r="EH9" s="3">
        <f>ROUND(0.0,2)</f>
        <v/>
      </c>
      <c r="EI9" s="3">
        <f>ROUND(0.0,2)</f>
        <v/>
      </c>
      <c r="EJ9" s="4">
        <f>IFERROR((ED9/EC9),0)</f>
        <v/>
      </c>
      <c r="EK9" s="4">
        <f>IFERROR(((0+EB7+EB8+EB9)/T2),0)</f>
        <v/>
      </c>
      <c r="EL9" s="5">
        <f>IFERROR(ROUND(EB9/ED9,2),0)</f>
        <v/>
      </c>
      <c r="EM9" s="5">
        <f>IFERROR(ROUND(EB9/EE9,2),0)</f>
        <v/>
      </c>
      <c r="EN9" s="2" t="inlineStr">
        <is>
          <t>2023-10-25</t>
        </is>
      </c>
      <c r="EO9" s="5">
        <f>ROUND(0.0,2)</f>
        <v/>
      </c>
      <c r="EP9" s="3">
        <f>ROUND(31.0,2)</f>
        <v/>
      </c>
      <c r="EQ9" s="3">
        <f>ROUND(0.0,2)</f>
        <v/>
      </c>
      <c r="ER9" s="3">
        <f>ROUND(0.0,2)</f>
        <v/>
      </c>
      <c r="ES9" s="3">
        <f>ROUND(0.0,2)</f>
        <v/>
      </c>
      <c r="ET9" s="3">
        <f>ROUND(0.0,2)</f>
        <v/>
      </c>
      <c r="EU9" s="3">
        <f>ROUND(0.0,2)</f>
        <v/>
      </c>
      <c r="EV9" s="3">
        <f>ROUND(0.0,2)</f>
        <v/>
      </c>
      <c r="EW9" s="4">
        <f>IFERROR((EQ9/EP9),0)</f>
        <v/>
      </c>
      <c r="EX9" s="4">
        <f>IFERROR(((0+EO7+EO8+EO9)/T2),0)</f>
        <v/>
      </c>
      <c r="EY9" s="5">
        <f>IFERROR(ROUND(EO9/EQ9,2),0)</f>
        <v/>
      </c>
      <c r="EZ9" s="5">
        <f>IFERROR(ROUND(EO9/ER9,2),0)</f>
        <v/>
      </c>
      <c r="FA9" s="2" t="inlineStr">
        <is>
          <t>2023-10-25</t>
        </is>
      </c>
      <c r="FB9" s="5">
        <f>ROUND(0.0,2)</f>
        <v/>
      </c>
      <c r="FC9" s="3">
        <f>ROUND(1.0,2)</f>
        <v/>
      </c>
      <c r="FD9" s="3">
        <f>ROUND(0.0,2)</f>
        <v/>
      </c>
      <c r="FE9" s="3">
        <f>ROUND(0.0,2)</f>
        <v/>
      </c>
      <c r="FF9" s="3">
        <f>ROUND(0.0,2)</f>
        <v/>
      </c>
      <c r="FG9" s="3">
        <f>ROUND(0.0,2)</f>
        <v/>
      </c>
      <c r="FH9" s="3">
        <f>ROUND(0.0,2)</f>
        <v/>
      </c>
      <c r="FI9" s="3">
        <f>ROUND(0.0,2)</f>
        <v/>
      </c>
      <c r="FJ9" s="4">
        <f>IFERROR((FD9/FC9),0)</f>
        <v/>
      </c>
      <c r="FK9" s="4">
        <f>IFERROR(((0+FB7+FB8+FB9)/T2),0)</f>
        <v/>
      </c>
      <c r="FL9" s="5">
        <f>IFERROR(ROUND(FB9/FD9,2),0)</f>
        <v/>
      </c>
      <c r="FM9" s="5">
        <f>IFERROR(ROUND(FB9/FE9,2),0)</f>
        <v/>
      </c>
      <c r="FN9" s="2" t="inlineStr">
        <is>
          <t>2023-10-25</t>
        </is>
      </c>
      <c r="FO9" s="5">
        <f>ROUND(0.0,2)</f>
        <v/>
      </c>
      <c r="FP9" s="3">
        <f>ROUND(0.0,2)</f>
        <v/>
      </c>
      <c r="FQ9" s="3">
        <f>ROUND(0.0,2)</f>
        <v/>
      </c>
      <c r="FR9" s="3">
        <f>ROUND(0.0,2)</f>
        <v/>
      </c>
      <c r="FS9" s="3">
        <f>ROUND(0.0,2)</f>
        <v/>
      </c>
      <c r="FT9" s="3">
        <f>ROUND(0.0,2)</f>
        <v/>
      </c>
      <c r="FU9" s="3">
        <f>ROUND(0.0,2)</f>
        <v/>
      </c>
      <c r="FV9" s="3">
        <f>ROUND(0.0,2)</f>
        <v/>
      </c>
      <c r="FW9" s="4">
        <f>IFERROR((FQ9/FP9),0)</f>
        <v/>
      </c>
      <c r="FX9" s="4">
        <f>IFERROR(((0+FO7+FO8+FO9)/T2),0)</f>
        <v/>
      </c>
      <c r="FY9" s="5">
        <f>IFERROR(ROUND(FO9/FQ9,2),0)</f>
        <v/>
      </c>
      <c r="FZ9" s="5">
        <f>IFERROR(ROUND(FO9/FR9,2),0)</f>
        <v/>
      </c>
      <c r="GA9" s="2" t="inlineStr">
        <is>
          <t>2023-10-25</t>
        </is>
      </c>
      <c r="GB9" s="5">
        <f>ROUND(0.0,2)</f>
        <v/>
      </c>
      <c r="GC9" s="3">
        <f>ROUND(6.0,2)</f>
        <v/>
      </c>
      <c r="GD9" s="3">
        <f>ROUND(0.0,2)</f>
        <v/>
      </c>
      <c r="GE9" s="3">
        <f>ROUND(0.0,2)</f>
        <v/>
      </c>
      <c r="GF9" s="3">
        <f>ROUND(0.0,2)</f>
        <v/>
      </c>
      <c r="GG9" s="3">
        <f>ROUND(0.0,2)</f>
        <v/>
      </c>
      <c r="GH9" s="3">
        <f>ROUND(0.0,2)</f>
        <v/>
      </c>
      <c r="GI9" s="3">
        <f>ROUND(0.0,2)</f>
        <v/>
      </c>
      <c r="GJ9" s="4">
        <f>IFERROR((GD9/GC9),0)</f>
        <v/>
      </c>
      <c r="GK9" s="4">
        <f>IFERROR(((0+GB7+GB8+GB9)/T2),0)</f>
        <v/>
      </c>
      <c r="GL9" s="5">
        <f>IFERROR(ROUND(GB9/GD9,2),0)</f>
        <v/>
      </c>
      <c r="GM9" s="5">
        <f>IFERROR(ROUND(GB9/GE9,2),0)</f>
        <v/>
      </c>
    </row>
    <row r="10">
      <c r="A10" s="2" t="inlineStr">
        <is>
          <t>2023-10-26</t>
        </is>
      </c>
      <c r="B10" s="5">
        <f>ROUND(259.09,2)</f>
        <v/>
      </c>
      <c r="C10" s="3">
        <f>ROUND(707924.0,2)</f>
        <v/>
      </c>
      <c r="D10" s="3">
        <f>ROUND(40057.0,2)</f>
        <v/>
      </c>
      <c r="E10" s="3">
        <f>ROUND(56759.0,2)</f>
        <v/>
      </c>
      <c r="F10" s="3">
        <f>ROUND(19325.0,2)</f>
        <v/>
      </c>
      <c r="G10" s="3">
        <f>ROUND(11523.0,2)</f>
        <v/>
      </c>
      <c r="H10" s="3">
        <f>ROUND(9026.0,2)</f>
        <v/>
      </c>
      <c r="I10" s="3">
        <f>ROUND(5504.0,2)</f>
        <v/>
      </c>
      <c r="J10" s="4">
        <f>IFERROR((D10/C10),0)</f>
        <v/>
      </c>
      <c r="K10" s="4">
        <f>IFERROR(((0+B7+B8+B9+B10)/T2),0)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2023-10-26</t>
        </is>
      </c>
      <c r="O10" s="5">
        <f>ROUND(17.3,2)</f>
        <v/>
      </c>
      <c r="P10" s="3">
        <f>ROUND(56380.0,2)</f>
        <v/>
      </c>
      <c r="Q10" s="3">
        <f>ROUND(1141.0,2)</f>
        <v/>
      </c>
      <c r="R10" s="3">
        <f>ROUND(0.0,2)</f>
        <v/>
      </c>
      <c r="S10" s="3">
        <f>ROUND(0.0,2)</f>
        <v/>
      </c>
      <c r="T10" s="3">
        <f>ROUND(0.0,2)</f>
        <v/>
      </c>
      <c r="U10" s="3">
        <f>ROUND(0.0,2)</f>
        <v/>
      </c>
      <c r="V10" s="3">
        <f>ROUND(0.0,2)</f>
        <v/>
      </c>
      <c r="W10" s="4">
        <f>IFERROR((Q10/P10),0)</f>
        <v/>
      </c>
      <c r="X10" s="4">
        <f>IFERROR(((0+O7+O8+O9+O10)/T2),0)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2023-10-26</t>
        </is>
      </c>
      <c r="AB10" s="5">
        <f>ROUND(16.86,2)</f>
        <v/>
      </c>
      <c r="AC10" s="3">
        <f>ROUND(56254.0,2)</f>
        <v/>
      </c>
      <c r="AD10" s="3">
        <f>ROUND(1060.0,2)</f>
        <v/>
      </c>
      <c r="AE10" s="3">
        <f>ROUND(0.0,2)</f>
        <v/>
      </c>
      <c r="AF10" s="3">
        <f>ROUND(0.0,2)</f>
        <v/>
      </c>
      <c r="AG10" s="3">
        <f>ROUND(0.0,2)</f>
        <v/>
      </c>
      <c r="AH10" s="3">
        <f>ROUND(0.0,2)</f>
        <v/>
      </c>
      <c r="AI10" s="3">
        <f>ROUND(0.0,2)</f>
        <v/>
      </c>
      <c r="AJ10" s="4">
        <f>IFERROR((AD10/AC10),0)</f>
        <v/>
      </c>
      <c r="AK10" s="4">
        <f>IFERROR(((0+AB7+AB8+AB9+AB10)/T2),0)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2023-10-26</t>
        </is>
      </c>
      <c r="AO10" s="5">
        <f>ROUND(16.849999999999998,2)</f>
        <v/>
      </c>
      <c r="AP10" s="3">
        <f>ROUND(51880.0,2)</f>
        <v/>
      </c>
      <c r="AQ10" s="3">
        <f>ROUND(1049.0,2)</f>
        <v/>
      </c>
      <c r="AR10" s="3">
        <f>ROUND(0.0,2)</f>
        <v/>
      </c>
      <c r="AS10" s="3">
        <f>ROUND(0.0,2)</f>
        <v/>
      </c>
      <c r="AT10" s="3">
        <f>ROUND(0.0,2)</f>
        <v/>
      </c>
      <c r="AU10" s="3">
        <f>ROUND(0.0,2)</f>
        <v/>
      </c>
      <c r="AV10" s="3">
        <f>ROUND(0.0,2)</f>
        <v/>
      </c>
      <c r="AW10" s="4">
        <f>IFERROR((AQ10/AP10),0)</f>
        <v/>
      </c>
      <c r="AX10" s="4">
        <f>IFERROR(((0+AO7+AO8+AO9+AO10)/T2),0)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2023-10-26</t>
        </is>
      </c>
      <c r="BB10" s="5">
        <f>ROUND(17.18,2)</f>
        <v/>
      </c>
      <c r="BC10" s="3">
        <f>ROUND(59853.0,2)</f>
        <v/>
      </c>
      <c r="BD10" s="3">
        <f>ROUND(994.0,2)</f>
        <v/>
      </c>
      <c r="BE10" s="3">
        <f>ROUND(0.0,2)</f>
        <v/>
      </c>
      <c r="BF10" s="3">
        <f>ROUND(0.0,2)</f>
        <v/>
      </c>
      <c r="BG10" s="3">
        <f>ROUND(0.0,2)</f>
        <v/>
      </c>
      <c r="BH10" s="3">
        <f>ROUND(0.0,2)</f>
        <v/>
      </c>
      <c r="BI10" s="3">
        <f>ROUND(0.0,2)</f>
        <v/>
      </c>
      <c r="BJ10" s="4">
        <f>IFERROR((BD10/BC10),0)</f>
        <v/>
      </c>
      <c r="BK10" s="4">
        <f>IFERROR(((0+BB7+BB8+BB9+BB10)/T2),0)</f>
        <v/>
      </c>
      <c r="BL10" s="5">
        <f>IFERROR(ROUND(BB10/BD10,2),0)</f>
        <v/>
      </c>
      <c r="BM10" s="5">
        <f>IFERROR(ROUND(BB10/BE10,2),0)</f>
        <v/>
      </c>
      <c r="BN10" s="2" t="inlineStr">
        <is>
          <t>2023-10-26</t>
        </is>
      </c>
      <c r="BO10" s="5">
        <f>ROUND(17.369999999999997,2)</f>
        <v/>
      </c>
      <c r="BP10" s="3">
        <f>ROUND(61506.0,2)</f>
        <v/>
      </c>
      <c r="BQ10" s="3">
        <f>ROUND(1098.0,2)</f>
        <v/>
      </c>
      <c r="BR10" s="3">
        <f>ROUND(0.0,2)</f>
        <v/>
      </c>
      <c r="BS10" s="3">
        <f>ROUND(0.0,2)</f>
        <v/>
      </c>
      <c r="BT10" s="3">
        <f>ROUND(0.0,2)</f>
        <v/>
      </c>
      <c r="BU10" s="3">
        <f>ROUND(0.0,2)</f>
        <v/>
      </c>
      <c r="BV10" s="3">
        <f>ROUND(0.0,2)</f>
        <v/>
      </c>
      <c r="BW10" s="4">
        <f>IFERROR((BQ10/BP10),0)</f>
        <v/>
      </c>
      <c r="BX10" s="4">
        <f>IFERROR(((0+BO7+BO8+BO9+BO10)/T2),0)</f>
        <v/>
      </c>
      <c r="BY10" s="5">
        <f>IFERROR(ROUND(BO10/BQ10,2),0)</f>
        <v/>
      </c>
      <c r="BZ10" s="5">
        <f>IFERROR(ROUND(BO10/BR10,2),0)</f>
        <v/>
      </c>
      <c r="CA10" s="2" t="inlineStr">
        <is>
          <t>2023-10-26</t>
        </is>
      </c>
      <c r="CB10" s="5">
        <f>ROUND(43.31,2)</f>
        <v/>
      </c>
      <c r="CC10" s="3">
        <f>ROUND(109011.0,2)</f>
        <v/>
      </c>
      <c r="CD10" s="3">
        <f>ROUND(8848.0,2)</f>
        <v/>
      </c>
      <c r="CE10" s="3">
        <f>ROUND(14631.0,2)</f>
        <v/>
      </c>
      <c r="CF10" s="3">
        <f>ROUND(4562.0,2)</f>
        <v/>
      </c>
      <c r="CG10" s="3">
        <f>ROUND(2605.0,2)</f>
        <v/>
      </c>
      <c r="CH10" s="3">
        <f>ROUND(1841.0,2)</f>
        <v/>
      </c>
      <c r="CI10" s="3">
        <f>ROUND(1380.0,2)</f>
        <v/>
      </c>
      <c r="CJ10" s="4">
        <f>IFERROR((CD10/CC10),0)</f>
        <v/>
      </c>
      <c r="CK10" s="4">
        <f>IFERROR(((0+CB7+CB8+CB9+CB10)/T2),0)</f>
        <v/>
      </c>
      <c r="CL10" s="5">
        <f>IFERROR(ROUND(CB10/CD10,2),0)</f>
        <v/>
      </c>
      <c r="CM10" s="5">
        <f>IFERROR(ROUND(CB10/CE10,2),0)</f>
        <v/>
      </c>
      <c r="CN10" s="2" t="inlineStr">
        <is>
          <t>2023-10-26</t>
        </is>
      </c>
      <c r="CO10" s="5">
        <f>ROUND(43.08,2)</f>
        <v/>
      </c>
      <c r="CP10" s="3">
        <f>ROUND(86946.0,2)</f>
        <v/>
      </c>
      <c r="CQ10" s="3">
        <f>ROUND(9466.0,2)</f>
        <v/>
      </c>
      <c r="CR10" s="3">
        <f>ROUND(9457.0,2)</f>
        <v/>
      </c>
      <c r="CS10" s="3">
        <f>ROUND(3061.0,2)</f>
        <v/>
      </c>
      <c r="CT10" s="3">
        <f>ROUND(1627.0,2)</f>
        <v/>
      </c>
      <c r="CU10" s="3">
        <f>ROUND(1105.0,2)</f>
        <v/>
      </c>
      <c r="CV10" s="3">
        <f>ROUND(729.0,2)</f>
        <v/>
      </c>
      <c r="CW10" s="4">
        <f>IFERROR((CQ10/CP10),0)</f>
        <v/>
      </c>
      <c r="CX10" s="4">
        <f>IFERROR(((0+CO7+CO8+CO9+CO10)/T2),0)</f>
        <v/>
      </c>
      <c r="CY10" s="5">
        <f>IFERROR(ROUND(CO10/CQ10,2),0)</f>
        <v/>
      </c>
      <c r="CZ10" s="5">
        <f>IFERROR(ROUND(CO10/CR10,2),0)</f>
        <v/>
      </c>
      <c r="DA10" s="2" t="inlineStr">
        <is>
          <t>2023-10-26</t>
        </is>
      </c>
      <c r="DB10" s="5">
        <f>ROUND(43.69,2)</f>
        <v/>
      </c>
      <c r="DC10" s="3">
        <f>ROUND(114405.0,2)</f>
        <v/>
      </c>
      <c r="DD10" s="3">
        <f>ROUND(7556.0,2)</f>
        <v/>
      </c>
      <c r="DE10" s="3">
        <f>ROUND(20272.0,2)</f>
        <v/>
      </c>
      <c r="DF10" s="3">
        <f>ROUND(7267.0,2)</f>
        <v/>
      </c>
      <c r="DG10" s="3">
        <f>ROUND(4358.0,2)</f>
        <v/>
      </c>
      <c r="DH10" s="3">
        <f>ROUND(3631.0,2)</f>
        <v/>
      </c>
      <c r="DI10" s="3">
        <f>ROUND(1428.0,2)</f>
        <v/>
      </c>
      <c r="DJ10" s="4">
        <f>IFERROR((DD10/DC10),0)</f>
        <v/>
      </c>
      <c r="DK10" s="4">
        <f>IFERROR(((0+DB7+DB8+DB9+DB10)/T2),0)</f>
        <v/>
      </c>
      <c r="DL10" s="5">
        <f>IFERROR(ROUND(DB10/DD10,2),0)</f>
        <v/>
      </c>
      <c r="DM10" s="5">
        <f>IFERROR(ROUND(DB10/DE10,2),0)</f>
        <v/>
      </c>
      <c r="DN10" s="2" t="inlineStr">
        <is>
          <t>2023-10-26</t>
        </is>
      </c>
      <c r="DO10" s="5">
        <f>ROUND(43.45,2)</f>
        <v/>
      </c>
      <c r="DP10" s="3">
        <f>ROUND(111674.0,2)</f>
        <v/>
      </c>
      <c r="DQ10" s="3">
        <f>ROUND(8845.0,2)</f>
        <v/>
      </c>
      <c r="DR10" s="3">
        <f>ROUND(12399.0,2)</f>
        <v/>
      </c>
      <c r="DS10" s="3">
        <f>ROUND(4435.0,2)</f>
        <v/>
      </c>
      <c r="DT10" s="3">
        <f>ROUND(2933.0,2)</f>
        <v/>
      </c>
      <c r="DU10" s="3">
        <f>ROUND(2449.0,2)</f>
        <v/>
      </c>
      <c r="DV10" s="3">
        <f>ROUND(1967.0,2)</f>
        <v/>
      </c>
      <c r="DW10" s="4">
        <f>IFERROR((DQ10/DP10),0)</f>
        <v/>
      </c>
      <c r="DX10" s="4">
        <f>IFERROR(((0+DO7+DO8+DO9+DO10)/T2),0)</f>
        <v/>
      </c>
      <c r="DY10" s="5">
        <f>IFERROR(ROUND(DO10/DQ10,2),0)</f>
        <v/>
      </c>
      <c r="DZ10" s="5">
        <f>IFERROR(ROUND(DO10/DR10,2),0)</f>
        <v/>
      </c>
      <c r="EA10" s="2" t="inlineStr">
        <is>
          <t>2023-10-26</t>
        </is>
      </c>
      <c r="EB10" s="5">
        <f>ROUND(0.0,2)</f>
        <v/>
      </c>
      <c r="EC10" s="3">
        <f>ROUND(7.0,2)</f>
        <v/>
      </c>
      <c r="ED10" s="3">
        <f>ROUND(0.0,2)</f>
        <v/>
      </c>
      <c r="EE10" s="3">
        <f>ROUND(0.0,2)</f>
        <v/>
      </c>
      <c r="EF10" s="3">
        <f>ROUND(0.0,2)</f>
        <v/>
      </c>
      <c r="EG10" s="3">
        <f>ROUND(0.0,2)</f>
        <v/>
      </c>
      <c r="EH10" s="3">
        <f>ROUND(0.0,2)</f>
        <v/>
      </c>
      <c r="EI10" s="3">
        <f>ROUND(0.0,2)</f>
        <v/>
      </c>
      <c r="EJ10" s="4">
        <f>IFERROR((ED10/EC10),0)</f>
        <v/>
      </c>
      <c r="EK10" s="4">
        <f>IFERROR(((0+EB7+EB8+EB9+EB10)/T2),0)</f>
        <v/>
      </c>
      <c r="EL10" s="5">
        <f>IFERROR(ROUND(EB10/ED10,2),0)</f>
        <v/>
      </c>
      <c r="EM10" s="5">
        <f>IFERROR(ROUND(EB10/EE10,2),0)</f>
        <v/>
      </c>
      <c r="EN10" s="2" t="inlineStr">
        <is>
          <t>2023-10-26</t>
        </is>
      </c>
      <c r="EO10" s="5">
        <f>ROUND(0.0,2)</f>
        <v/>
      </c>
      <c r="EP10" s="3">
        <f>ROUND(1.0,2)</f>
        <v/>
      </c>
      <c r="EQ10" s="3">
        <f>ROUND(0.0,2)</f>
        <v/>
      </c>
      <c r="ER10" s="3">
        <f>ROUND(0.0,2)</f>
        <v/>
      </c>
      <c r="ES10" s="3">
        <f>ROUND(0.0,2)</f>
        <v/>
      </c>
      <c r="ET10" s="3">
        <f>ROUND(0.0,2)</f>
        <v/>
      </c>
      <c r="EU10" s="3">
        <f>ROUND(0.0,2)</f>
        <v/>
      </c>
      <c r="EV10" s="3">
        <f>ROUND(0.0,2)</f>
        <v/>
      </c>
      <c r="EW10" s="4">
        <f>IFERROR((EQ10/EP10),0)</f>
        <v/>
      </c>
      <c r="EX10" s="4">
        <f>IFERROR(((0+EO7+EO8+EO9+EO10)/T2),0)</f>
        <v/>
      </c>
      <c r="EY10" s="5">
        <f>IFERROR(ROUND(EO10/EQ10,2),0)</f>
        <v/>
      </c>
      <c r="EZ10" s="5">
        <f>IFERROR(ROUND(EO10/ER10,2),0)</f>
        <v/>
      </c>
      <c r="FA10" s="2" t="inlineStr">
        <is>
          <t>2023-10-26</t>
        </is>
      </c>
      <c r="FB10" s="5">
        <f>ROUND(0.0,2)</f>
        <v/>
      </c>
      <c r="FC10" s="3">
        <f>ROUND(1.0,2)</f>
        <v/>
      </c>
      <c r="FD10" s="3">
        <f>ROUND(0.0,2)</f>
        <v/>
      </c>
      <c r="FE10" s="3">
        <f>ROUND(0.0,2)</f>
        <v/>
      </c>
      <c r="FF10" s="3">
        <f>ROUND(0.0,2)</f>
        <v/>
      </c>
      <c r="FG10" s="3">
        <f>ROUND(0.0,2)</f>
        <v/>
      </c>
      <c r="FH10" s="3">
        <f>ROUND(0.0,2)</f>
        <v/>
      </c>
      <c r="FI10" s="3">
        <f>ROUND(0.0,2)</f>
        <v/>
      </c>
      <c r="FJ10" s="4">
        <f>IFERROR((FD10/FC10),0)</f>
        <v/>
      </c>
      <c r="FK10" s="4">
        <f>IFERROR(((0+FB7+FB8+FB9+FB10)/T2),0)</f>
        <v/>
      </c>
      <c r="FL10" s="5">
        <f>IFERROR(ROUND(FB10/FD10,2),0)</f>
        <v/>
      </c>
      <c r="FM10" s="5">
        <f>IFERROR(ROUND(FB10/FE10,2),0)</f>
        <v/>
      </c>
      <c r="FN10" s="2" t="inlineStr">
        <is>
          <t>2023-10-26</t>
        </is>
      </c>
      <c r="FO10" s="5">
        <f>ROUND(0.0,2)</f>
        <v/>
      </c>
      <c r="FP10" s="3">
        <f>ROUND(0.0,2)</f>
        <v/>
      </c>
      <c r="FQ10" s="3">
        <f>ROUND(0.0,2)</f>
        <v/>
      </c>
      <c r="FR10" s="3">
        <f>ROUND(0.0,2)</f>
        <v/>
      </c>
      <c r="FS10" s="3">
        <f>ROUND(0.0,2)</f>
        <v/>
      </c>
      <c r="FT10" s="3">
        <f>ROUND(0.0,2)</f>
        <v/>
      </c>
      <c r="FU10" s="3">
        <f>ROUND(0.0,2)</f>
        <v/>
      </c>
      <c r="FV10" s="3">
        <f>ROUND(0.0,2)</f>
        <v/>
      </c>
      <c r="FW10" s="4">
        <f>IFERROR((FQ10/FP10),0)</f>
        <v/>
      </c>
      <c r="FX10" s="4">
        <f>IFERROR(((0+FO7+FO8+FO9+FO10)/T2),0)</f>
        <v/>
      </c>
      <c r="FY10" s="5">
        <f>IFERROR(ROUND(FO10/FQ10,2),0)</f>
        <v/>
      </c>
      <c r="FZ10" s="5">
        <f>IFERROR(ROUND(FO10/FR10,2),0)</f>
        <v/>
      </c>
      <c r="GA10" s="2" t="inlineStr">
        <is>
          <t>2023-10-26</t>
        </is>
      </c>
      <c r="GB10" s="5">
        <f>ROUND(0.0,2)</f>
        <v/>
      </c>
      <c r="GC10" s="3">
        <f>ROUND(6.0,2)</f>
        <v/>
      </c>
      <c r="GD10" s="3">
        <f>ROUND(0.0,2)</f>
        <v/>
      </c>
      <c r="GE10" s="3">
        <f>ROUND(0.0,2)</f>
        <v/>
      </c>
      <c r="GF10" s="3">
        <f>ROUND(0.0,2)</f>
        <v/>
      </c>
      <c r="GG10" s="3">
        <f>ROUND(0.0,2)</f>
        <v/>
      </c>
      <c r="GH10" s="3">
        <f>ROUND(0.0,2)</f>
        <v/>
      </c>
      <c r="GI10" s="3">
        <f>ROUND(0.0,2)</f>
        <v/>
      </c>
      <c r="GJ10" s="4">
        <f>IFERROR((GD10/GC10),0)</f>
        <v/>
      </c>
      <c r="GK10" s="4">
        <f>IFERROR(((0+GB7+GB8+GB9+GB10)/T2),0)</f>
        <v/>
      </c>
      <c r="GL10" s="5">
        <f>IFERROR(ROUND(GB10/GD10,2),0)</f>
        <v/>
      </c>
      <c r="GM10" s="5">
        <f>IFERROR(ROUND(GB10/GE10,2),0)</f>
        <v/>
      </c>
    </row>
    <row r="11">
      <c r="A11" s="2" t="inlineStr">
        <is>
          <t>2023-10-27</t>
        </is>
      </c>
      <c r="B11" s="5">
        <f>ROUND(250.0,2)</f>
        <v/>
      </c>
      <c r="C11" s="3">
        <f>ROUND(690139.0,2)</f>
        <v/>
      </c>
      <c r="D11" s="3">
        <f>ROUND(37005.0,2)</f>
        <v/>
      </c>
      <c r="E11" s="3">
        <f>ROUND(60805.0,2)</f>
        <v/>
      </c>
      <c r="F11" s="3">
        <f>ROUND(18251.0,2)</f>
        <v/>
      </c>
      <c r="G11" s="3">
        <f>ROUND(10961.0,2)</f>
        <v/>
      </c>
      <c r="H11" s="3">
        <f>ROUND(8539.0,2)</f>
        <v/>
      </c>
      <c r="I11" s="3">
        <f>ROUND(5599.0,2)</f>
        <v/>
      </c>
      <c r="J11" s="4">
        <f>IFERROR((D11/C11),0)</f>
        <v/>
      </c>
      <c r="K11" s="4">
        <f>IFERROR(((0+B7+B8+B9+B10+B11)/T2),0)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2023-10-27</t>
        </is>
      </c>
      <c r="O11" s="5">
        <f>ROUND(16.57,2)</f>
        <v/>
      </c>
      <c r="P11" s="3">
        <f>ROUND(56327.0,2)</f>
        <v/>
      </c>
      <c r="Q11" s="3">
        <f>ROUND(1067.0,2)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IFERROR(((0+O7+O8+O9+O10+O11)/T2),0)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2023-10-27</t>
        </is>
      </c>
      <c r="AB11" s="5">
        <f>ROUND(16.47,2)</f>
        <v/>
      </c>
      <c r="AC11" s="3">
        <f>ROUND(62519.0,2)</f>
        <v/>
      </c>
      <c r="AD11" s="3">
        <f>ROUND(1094.0,2)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IFERROR(((0+AB7+AB8+AB9+AB10+AB11)/T2),0)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2023-10-27</t>
        </is>
      </c>
      <c r="AO11" s="5">
        <f>ROUND(16.81,2)</f>
        <v/>
      </c>
      <c r="AP11" s="3">
        <f>ROUND(49586.0,2)</f>
        <v/>
      </c>
      <c r="AQ11" s="3">
        <f>ROUND(1100.0,2)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IFERROR(((0+AO7+AO8+AO9+AO10+AO11)/T2),0)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2023-10-27</t>
        </is>
      </c>
      <c r="BB11" s="5">
        <f>ROUND(16.490000000000002,2)</f>
        <v/>
      </c>
      <c r="BC11" s="3">
        <f>ROUND(57403.0,2)</f>
        <v/>
      </c>
      <c r="BD11" s="3">
        <f>ROUND(990.0,2)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IFERROR(((0+BB7+BB8+BB9+BB10+BB11)/T2),0)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2023-10-27</t>
        </is>
      </c>
      <c r="BO11" s="5">
        <f>ROUND(16.6,2)</f>
        <v/>
      </c>
      <c r="BP11" s="3">
        <f>ROUND(61628.0,2)</f>
        <v/>
      </c>
      <c r="BQ11" s="3">
        <f>ROUND(1026.0,2)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IFERROR(((0+BO7+BO8+BO9+BO10+BO11)/T2),0)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2023-10-27</t>
        </is>
      </c>
      <c r="CB11" s="5">
        <f>ROUND(41.8,2)</f>
        <v/>
      </c>
      <c r="CC11" s="3">
        <f>ROUND(102193.0,2)</f>
        <v/>
      </c>
      <c r="CD11" s="3">
        <f>ROUND(7886.0,2)</f>
        <v/>
      </c>
      <c r="CE11" s="3">
        <f>ROUND(15401.0,2)</f>
        <v/>
      </c>
      <c r="CF11" s="3">
        <f>ROUND(4530.0,2)</f>
        <v/>
      </c>
      <c r="CG11" s="3">
        <f>ROUND(2571.0,2)</f>
        <v/>
      </c>
      <c r="CH11" s="3">
        <f>ROUND(1807.0,2)</f>
        <v/>
      </c>
      <c r="CI11" s="3">
        <f>ROUND(1354.0,2)</f>
        <v/>
      </c>
      <c r="CJ11" s="4">
        <f>IFERROR((CD11/CC11),0)</f>
        <v/>
      </c>
      <c r="CK11" s="4">
        <f>IFERROR(((0+CB7+CB8+CB9+CB10+CB11)/T2),0)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2023-10-27</t>
        </is>
      </c>
      <c r="CO11" s="5">
        <f>ROUND(41.88,2)</f>
        <v/>
      </c>
      <c r="CP11" s="3">
        <f>ROUND(82659.0,2)</f>
        <v/>
      </c>
      <c r="CQ11" s="3">
        <f>ROUND(8330.0,2)</f>
        <v/>
      </c>
      <c r="CR11" s="3">
        <f>ROUND(10943.0,2)</f>
        <v/>
      </c>
      <c r="CS11" s="3">
        <f>ROUND(3056.0,2)</f>
        <v/>
      </c>
      <c r="CT11" s="3">
        <f>ROUND(1623.0,2)</f>
        <v/>
      </c>
      <c r="CU11" s="3">
        <f>ROUND(1092.0,2)</f>
        <v/>
      </c>
      <c r="CV11" s="3">
        <f>ROUND(725.0,2)</f>
        <v/>
      </c>
      <c r="CW11" s="4">
        <f>IFERROR((CQ11/CP11),0)</f>
        <v/>
      </c>
      <c r="CX11" s="4">
        <f>IFERROR(((0+CO7+CO8+CO9+CO10+CO11)/T2),0)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2023-10-27</t>
        </is>
      </c>
      <c r="DB11" s="5">
        <f>ROUND(41.7,2)</f>
        <v/>
      </c>
      <c r="DC11" s="3">
        <f>ROUND(114394.0,2)</f>
        <v/>
      </c>
      <c r="DD11" s="3">
        <f>ROUND(7432.0,2)</f>
        <v/>
      </c>
      <c r="DE11" s="3">
        <f>ROUND(18357.0,2)</f>
        <v/>
      </c>
      <c r="DF11" s="3">
        <f>ROUND(5649.0,2)</f>
        <v/>
      </c>
      <c r="DG11" s="3">
        <f>ROUND(3533.0,2)</f>
        <v/>
      </c>
      <c r="DH11" s="3">
        <f>ROUND(3011.0,2)</f>
        <v/>
      </c>
      <c r="DI11" s="3">
        <f>ROUND(1462.0,2)</f>
        <v/>
      </c>
      <c r="DJ11" s="4">
        <f>IFERROR((DD11/DC11),0)</f>
        <v/>
      </c>
      <c r="DK11" s="4">
        <f>IFERROR(((0+DB7+DB8+DB9+DB10+DB11)/T2),0)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2023-10-27</t>
        </is>
      </c>
      <c r="DO11" s="5">
        <f>ROUND(41.68,2)</f>
        <v/>
      </c>
      <c r="DP11" s="3">
        <f>ROUND(103418.0,2)</f>
        <v/>
      </c>
      <c r="DQ11" s="3">
        <f>ROUND(8080.0,2)</f>
        <v/>
      </c>
      <c r="DR11" s="3">
        <f>ROUND(16104.0,2)</f>
        <v/>
      </c>
      <c r="DS11" s="3">
        <f>ROUND(5016.0,2)</f>
        <v/>
      </c>
      <c r="DT11" s="3">
        <f>ROUND(3234.0,2)</f>
        <v/>
      </c>
      <c r="DU11" s="3">
        <f>ROUND(2629.0,2)</f>
        <v/>
      </c>
      <c r="DV11" s="3">
        <f>ROUND(2058.0,2)</f>
        <v/>
      </c>
      <c r="DW11" s="4">
        <f>IFERROR((DQ11/DP11),0)</f>
        <v/>
      </c>
      <c r="DX11" s="4">
        <f>IFERROR(((0+DO7+DO8+DO9+DO10+DO11)/T2),0)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2023-10-27</t>
        </is>
      </c>
      <c r="EB11" s="5">
        <f>ROUND(0.0,2)</f>
        <v/>
      </c>
      <c r="EC11" s="3">
        <f>ROUND(2.0,2)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IFERROR(((0+EB7+EB8+EB9+EB10+EB11)/T2),0)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2023-10-27</t>
        </is>
      </c>
      <c r="EO11" s="5">
        <f>ROUND(0.0,2)</f>
        <v/>
      </c>
      <c r="EP11" s="3">
        <f>ROUND(3.0,2)</f>
        <v/>
      </c>
      <c r="EQ11" s="3">
        <f>ROUND(0.0,2)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IFERROR(((0+EO7+EO8+EO9+EO10+EO11)/T2),0)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2023-10-27</t>
        </is>
      </c>
      <c r="FB11" s="5">
        <f>ROUND(0.0,2)</f>
        <v/>
      </c>
      <c r="FC11" s="3">
        <f>ROUND(0.0,2)</f>
        <v/>
      </c>
      <c r="FD11" s="3">
        <f>ROUND(0.0,2)</f>
        <v/>
      </c>
      <c r="FE11" s="3">
        <f>ROUND(0.0,2)</f>
        <v/>
      </c>
      <c r="FF11" s="3">
        <f>ROUND(0.0,2)</f>
        <v/>
      </c>
      <c r="FG11" s="3">
        <f>ROUND(0.0,2)</f>
        <v/>
      </c>
      <c r="FH11" s="3">
        <f>ROUND(0.0,2)</f>
        <v/>
      </c>
      <c r="FI11" s="3">
        <f>ROUND(0.0,2)</f>
        <v/>
      </c>
      <c r="FJ11" s="4">
        <f>IFERROR((FD11/FC11),0)</f>
        <v/>
      </c>
      <c r="FK11" s="4">
        <f>IFERROR(((0+FB7+FB8+FB9+FB10+FB11)/T2),0)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2023-10-27</t>
        </is>
      </c>
      <c r="FO11" s="5">
        <f>ROUND(0.0,2)</f>
        <v/>
      </c>
      <c r="FP11" s="3">
        <f>ROUND(0.0,2)</f>
        <v/>
      </c>
      <c r="FQ11" s="3">
        <f>ROUND(0.0,2)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IFERROR(((0+FO7+FO8+FO9+FO10+FO11)/T2),0)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2023-10-27</t>
        </is>
      </c>
      <c r="GB11" s="5">
        <f>ROUND(0.0,2)</f>
        <v/>
      </c>
      <c r="GC11" s="3">
        <f>ROUND(7.0,2)</f>
        <v/>
      </c>
      <c r="GD11" s="3">
        <f>ROUND(0.0,2)</f>
        <v/>
      </c>
      <c r="GE11" s="3">
        <f>ROUND(0.0,2)</f>
        <v/>
      </c>
      <c r="GF11" s="3">
        <f>ROUND(0.0,2)</f>
        <v/>
      </c>
      <c r="GG11" s="3">
        <f>ROUND(0.0,2)</f>
        <v/>
      </c>
      <c r="GH11" s="3">
        <f>ROUND(0.0,2)</f>
        <v/>
      </c>
      <c r="GI11" s="3">
        <f>ROUND(0.0,2)</f>
        <v/>
      </c>
      <c r="GJ11" s="4">
        <f>IFERROR((GD11/GC11),0)</f>
        <v/>
      </c>
      <c r="GK11" s="4">
        <f>IFERROR(((0+GB7+GB8+GB9+GB10+GB11)/T2),0)</f>
        <v/>
      </c>
      <c r="GL11" s="5">
        <f>IFERROR(ROUND(GB11/GD11,2),0)</f>
        <v/>
      </c>
      <c r="GM11" s="5">
        <f>IFERROR(ROUND(GB11/GE11,2),0)</f>
        <v/>
      </c>
    </row>
    <row r="12">
      <c r="A12" s="2" t="inlineStr">
        <is>
          <t>2023-10-28</t>
        </is>
      </c>
      <c r="B12" s="5">
        <f>ROUND(245.53,2)</f>
        <v/>
      </c>
      <c r="C12" s="3">
        <f>ROUND(687846.0,2)</f>
        <v/>
      </c>
      <c r="D12" s="3">
        <f>ROUND(37262.0,2)</f>
        <v/>
      </c>
      <c r="E12" s="3">
        <f>ROUND(65773.0,2)</f>
        <v/>
      </c>
      <c r="F12" s="3">
        <f>ROUND(18321.0,2)</f>
        <v/>
      </c>
      <c r="G12" s="3">
        <f>ROUND(10937.0,2)</f>
        <v/>
      </c>
      <c r="H12" s="3">
        <f>ROUND(8491.0,2)</f>
        <v/>
      </c>
      <c r="I12" s="3">
        <f>ROUND(5583.0,2)</f>
        <v/>
      </c>
      <c r="J12" s="4">
        <f>IFERROR((D12/C12),0)</f>
        <v/>
      </c>
      <c r="K12" s="4">
        <f>IFERROR(((0+B7+B8+B9+B10+B11+B12)/T2),0)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2023-10-28</t>
        </is>
      </c>
      <c r="O12" s="5">
        <f>ROUND(17.02,2)</f>
        <v/>
      </c>
      <c r="P12" s="3">
        <f>ROUND(60297.0,2)</f>
        <v/>
      </c>
      <c r="Q12" s="3">
        <f>ROUND(1122.0,2)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IFERROR(((0+O7+O8+O9+O10+O11+O12)/T2),0)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2023-10-28</t>
        </is>
      </c>
      <c r="AB12" s="5">
        <f>ROUND(16.98,2)</f>
        <v/>
      </c>
      <c r="AC12" s="3">
        <f>ROUND(65627.0,2)</f>
        <v/>
      </c>
      <c r="AD12" s="3">
        <f>ROUND(1112.0,2)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IFERROR(((0+AB7+AB8+AB9+AB10+AB11+AB12)/T2),0)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2023-10-28</t>
        </is>
      </c>
      <c r="AO12" s="5">
        <f>ROUND(16.98,2)</f>
        <v/>
      </c>
      <c r="AP12" s="3">
        <f>ROUND(49778.0,2)</f>
        <v/>
      </c>
      <c r="AQ12" s="3">
        <f>ROUND(1128.0,2)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IFERROR(((0+AO7+AO8+AO9+AO10+AO11+AO12)/T2),0)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2023-10-28</t>
        </is>
      </c>
      <c r="BB12" s="5">
        <f>ROUND(5.61,2)</f>
        <v/>
      </c>
      <c r="BC12" s="3">
        <f>ROUND(19664.0,2)</f>
        <v/>
      </c>
      <c r="BD12" s="3">
        <f>ROUND(334.0,2)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IFERROR(((0+BB7+BB8+BB9+BB10+BB11+BB12)/T2),0)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2023-10-28</t>
        </is>
      </c>
      <c r="BO12" s="5">
        <f>ROUND(16.75,2)</f>
        <v/>
      </c>
      <c r="BP12" s="3">
        <f>ROUND(64075.0,2)</f>
        <v/>
      </c>
      <c r="BQ12" s="3">
        <f>ROUND(1029.0,2)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IFERROR(((0+BO7+BO8+BO9+BO10+BO11+BO12)/T2),0)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2023-10-28</t>
        </is>
      </c>
      <c r="CB12" s="5">
        <f>ROUND(43.24,2)</f>
        <v/>
      </c>
      <c r="CC12" s="3">
        <f>ROUND(108481.0,2)</f>
        <v/>
      </c>
      <c r="CD12" s="3">
        <f>ROUND(8190.0,2)</f>
        <v/>
      </c>
      <c r="CE12" s="3">
        <f>ROUND(16022.0,2)</f>
        <v/>
      </c>
      <c r="CF12" s="3">
        <f>ROUND(4359.0,2)</f>
        <v/>
      </c>
      <c r="CG12" s="3">
        <f>ROUND(2451.0,2)</f>
        <v/>
      </c>
      <c r="CH12" s="3">
        <f>ROUND(1737.0,2)</f>
        <v/>
      </c>
      <c r="CI12" s="3">
        <f>ROUND(1253.0,2)</f>
        <v/>
      </c>
      <c r="CJ12" s="4">
        <f>IFERROR((CD12/CC12),0)</f>
        <v/>
      </c>
      <c r="CK12" s="4">
        <f>IFERROR(((0+CB7+CB8+CB9+CB10+CB11+CB12)/T2),0)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2023-10-28</t>
        </is>
      </c>
      <c r="CO12" s="5">
        <f>ROUND(42.88,2)</f>
        <v/>
      </c>
      <c r="CP12" s="3">
        <f>ROUND(89922.0,2)</f>
        <v/>
      </c>
      <c r="CQ12" s="3">
        <f>ROUND(8706.0,2)</f>
        <v/>
      </c>
      <c r="CR12" s="3">
        <f>ROUND(11460.0,2)</f>
        <v/>
      </c>
      <c r="CS12" s="3">
        <f>ROUND(3136.0,2)</f>
        <v/>
      </c>
      <c r="CT12" s="3">
        <f>ROUND(1671.0,2)</f>
        <v/>
      </c>
      <c r="CU12" s="3">
        <f>ROUND(1140.0,2)</f>
        <v/>
      </c>
      <c r="CV12" s="3">
        <f>ROUND(765.0,2)</f>
        <v/>
      </c>
      <c r="CW12" s="4">
        <f>IFERROR((CQ12/CP12),0)</f>
        <v/>
      </c>
      <c r="CX12" s="4">
        <f>IFERROR(((0+CO7+CO8+CO9+CO10+CO11+CO12)/T2),0)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2023-10-28</t>
        </is>
      </c>
      <c r="DB12" s="5">
        <f>ROUND(42.97,2)</f>
        <v/>
      </c>
      <c r="DC12" s="3">
        <f>ROUND(119572.0,2)</f>
        <v/>
      </c>
      <c r="DD12" s="3">
        <f>ROUND(7409.0,2)</f>
        <v/>
      </c>
      <c r="DE12" s="3">
        <f>ROUND(18233.0,2)</f>
        <v/>
      </c>
      <c r="DF12" s="3">
        <f>ROUND(5400.0,2)</f>
        <v/>
      </c>
      <c r="DG12" s="3">
        <f>ROUND(3502.0,2)</f>
        <v/>
      </c>
      <c r="DH12" s="3">
        <f>ROUND(2979.0,2)</f>
        <v/>
      </c>
      <c r="DI12" s="3">
        <f>ROUND(1568.0,2)</f>
        <v/>
      </c>
      <c r="DJ12" s="4">
        <f>IFERROR((DD12/DC12),0)</f>
        <v/>
      </c>
      <c r="DK12" s="4">
        <f>IFERROR(((0+DB7+DB8+DB9+DB10+DB11+DB12)/T2),0)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2023-10-28</t>
        </is>
      </c>
      <c r="DO12" s="5">
        <f>ROUND(43.1,2)</f>
        <v/>
      </c>
      <c r="DP12" s="3">
        <f>ROUND(110402.0,2)</f>
        <v/>
      </c>
      <c r="DQ12" s="3">
        <f>ROUND(8232.0,2)</f>
        <v/>
      </c>
      <c r="DR12" s="3">
        <f>ROUND(20058.0,2)</f>
        <v/>
      </c>
      <c r="DS12" s="3">
        <f>ROUND(5426.0,2)</f>
        <v/>
      </c>
      <c r="DT12" s="3">
        <f>ROUND(3313.0,2)</f>
        <v/>
      </c>
      <c r="DU12" s="3">
        <f>ROUND(2635.0,2)</f>
        <v/>
      </c>
      <c r="DV12" s="3">
        <f>ROUND(1997.0,2)</f>
        <v/>
      </c>
      <c r="DW12" s="4">
        <f>IFERROR((DQ12/DP12),0)</f>
        <v/>
      </c>
      <c r="DX12" s="4">
        <f>IFERROR(((0+DO7+DO8+DO9+DO10+DO11+DO12)/T2),0)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2023-10-28</t>
        </is>
      </c>
      <c r="EB12" s="5">
        <f>ROUND(0.0,2)</f>
        <v/>
      </c>
      <c r="EC12" s="3">
        <f>ROUND(4.0,2)</f>
        <v/>
      </c>
      <c r="ED12" s="3">
        <f>ROUND(0.0,2)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IFERROR(((0+EB7+EB8+EB9+EB10+EB11+EB12)/T2),0)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2023-10-28</t>
        </is>
      </c>
      <c r="EO12" s="5">
        <f>ROUND(0.0,2)</f>
        <v/>
      </c>
      <c r="EP12" s="3">
        <f>ROUND(15.0,2)</f>
        <v/>
      </c>
      <c r="EQ12" s="3">
        <f>ROUND(0.0,2)</f>
        <v/>
      </c>
      <c r="ER12" s="3">
        <f>ROUND(0.0,2)</f>
        <v/>
      </c>
      <c r="ES12" s="3">
        <f>ROUND(0.0,2)</f>
        <v/>
      </c>
      <c r="ET12" s="3">
        <f>ROUND(0.0,2)</f>
        <v/>
      </c>
      <c r="EU12" s="3">
        <f>ROUND(0.0,2)</f>
        <v/>
      </c>
      <c r="EV12" s="3">
        <f>ROUND(0.0,2)</f>
        <v/>
      </c>
      <c r="EW12" s="4">
        <f>IFERROR((EQ12/EP12),0)</f>
        <v/>
      </c>
      <c r="EX12" s="4">
        <f>IFERROR(((0+EO7+EO8+EO9+EO10+EO11+EO12)/T2),0)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2023-10-28</t>
        </is>
      </c>
      <c r="FB12" s="5">
        <f>ROUND(0.0,2)</f>
        <v/>
      </c>
      <c r="FC12" s="3">
        <f>ROUND(2.0,2)</f>
        <v/>
      </c>
      <c r="FD12" s="3">
        <f>ROUND(0.0,2)</f>
        <v/>
      </c>
      <c r="FE12" s="3">
        <f>ROUND(0.0,2)</f>
        <v/>
      </c>
      <c r="FF12" s="3">
        <f>ROUND(0.0,2)</f>
        <v/>
      </c>
      <c r="FG12" s="3">
        <f>ROUND(0.0,2)</f>
        <v/>
      </c>
      <c r="FH12" s="3">
        <f>ROUND(0.0,2)</f>
        <v/>
      </c>
      <c r="FI12" s="3">
        <f>ROUND(0.0,2)</f>
        <v/>
      </c>
      <c r="FJ12" s="4">
        <f>IFERROR((FD12/FC12),0)</f>
        <v/>
      </c>
      <c r="FK12" s="4">
        <f>IFERROR(((0+FB7+FB8+FB9+FB10+FB11+FB12)/T2),0)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2023-10-28</t>
        </is>
      </c>
      <c r="FO12" s="5">
        <f>ROUND(0.0,2)</f>
        <v/>
      </c>
      <c r="FP12" s="3">
        <f>ROUND(2.0,2)</f>
        <v/>
      </c>
      <c r="FQ12" s="3">
        <f>ROUND(0.0,2)</f>
        <v/>
      </c>
      <c r="FR12" s="3">
        <f>ROUND(0.0,2)</f>
        <v/>
      </c>
      <c r="FS12" s="3">
        <f>ROUND(0.0,2)</f>
        <v/>
      </c>
      <c r="FT12" s="3">
        <f>ROUND(0.0,2)</f>
        <v/>
      </c>
      <c r="FU12" s="3">
        <f>ROUND(0.0,2)</f>
        <v/>
      </c>
      <c r="FV12" s="3">
        <f>ROUND(0.0,2)</f>
        <v/>
      </c>
      <c r="FW12" s="4">
        <f>IFERROR((FQ12/FP12),0)</f>
        <v/>
      </c>
      <c r="FX12" s="4">
        <f>IFERROR(((0+FO7+FO8+FO9+FO10+FO11+FO12)/T2),0)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2023-10-28</t>
        </is>
      </c>
      <c r="GB12" s="5">
        <f>ROUND(0.0,2)</f>
        <v/>
      </c>
      <c r="GC12" s="3">
        <f>ROUND(5.0,2)</f>
        <v/>
      </c>
      <c r="GD12" s="3">
        <f>ROUND(0.0,2)</f>
        <v/>
      </c>
      <c r="GE12" s="3">
        <f>ROUND(0.0,2)</f>
        <v/>
      </c>
      <c r="GF12" s="3">
        <f>ROUND(0.0,2)</f>
        <v/>
      </c>
      <c r="GG12" s="3">
        <f>ROUND(0.0,2)</f>
        <v/>
      </c>
      <c r="GH12" s="3">
        <f>ROUND(0.0,2)</f>
        <v/>
      </c>
      <c r="GI12" s="3">
        <f>ROUND(0.0,2)</f>
        <v/>
      </c>
      <c r="GJ12" s="4">
        <f>IFERROR((GD12/GC12),0)</f>
        <v/>
      </c>
      <c r="GK12" s="4">
        <f>IFERROR(((0+GB7+GB8+GB9+GB10+GB11+GB12)/T2),0)</f>
        <v/>
      </c>
      <c r="GL12" s="5">
        <f>IFERROR(ROUND(GB12/GD12,2),0)</f>
        <v/>
      </c>
      <c r="GM12" s="5">
        <f>IFERROR(ROUND(GB12/GE12,2),0)</f>
        <v/>
      </c>
    </row>
    <row r="13">
      <c r="A13" s="2" t="inlineStr">
        <is>
          <t>2023-10-29</t>
        </is>
      </c>
      <c r="B13" s="5">
        <f>ROUND(236.23,2)</f>
        <v/>
      </c>
      <c r="C13" s="3">
        <f>ROUND(711305.0,2)</f>
        <v/>
      </c>
      <c r="D13" s="3">
        <f>ROUND(36952.0,2)</f>
        <v/>
      </c>
      <c r="E13" s="3">
        <f>ROUND(76707.0,2)</f>
        <v/>
      </c>
      <c r="F13" s="3">
        <f>ROUND(20114.0,2)</f>
        <v/>
      </c>
      <c r="G13" s="3">
        <f>ROUND(12048.0,2)</f>
        <v/>
      </c>
      <c r="H13" s="3">
        <f>ROUND(9367.0,2)</f>
        <v/>
      </c>
      <c r="I13" s="3">
        <f>ROUND(6081.0,2)</f>
        <v/>
      </c>
      <c r="J13" s="4">
        <f>IFERROR((D13/C13),0)</f>
        <v/>
      </c>
      <c r="K13" s="4">
        <f>IFERROR(((0+B7+B8+B9+B10+B11+B12+B13)/T2),0)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2023-10-29</t>
        </is>
      </c>
      <c r="O13" s="5">
        <f>ROUND(16.36,2)</f>
        <v/>
      </c>
      <c r="P13" s="3">
        <f>ROUND(67298.0,2)</f>
        <v/>
      </c>
      <c r="Q13" s="3">
        <f>ROUND(1198.0,2)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IFERROR(((0+O7+O8+O9+O10+O11+O12+O13)/T2),0)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2023-10-29</t>
        </is>
      </c>
      <c r="AB13" s="5">
        <f>ROUND(17.0,2)</f>
        <v/>
      </c>
      <c r="AC13" s="3">
        <f>ROUND(68412.0,2)</f>
        <v/>
      </c>
      <c r="AD13" s="3">
        <f>ROUND(1210.0,2)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IFERROR(((0+AB7+AB8+AB9+AB10+AB11+AB12+AB13)/T2),0)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2023-10-29</t>
        </is>
      </c>
      <c r="AO13" s="5">
        <f>ROUND(16.509999999999998,2)</f>
        <v/>
      </c>
      <c r="AP13" s="3">
        <f>ROUND(55600.0,2)</f>
        <v/>
      </c>
      <c r="AQ13" s="3">
        <f>ROUND(1236.0,2)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IFERROR(((0+AO7+AO8+AO9+AO10+AO11+AO12+AO13)/T2),0)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2023-10-29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IFERROR(((0+BB7+BB8+BB9+BB10+BB11+BB12+BB13)/T2),0)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2023-10-29</t>
        </is>
      </c>
      <c r="BO13" s="5">
        <f>ROUND(16.8,2)</f>
        <v/>
      </c>
      <c r="BP13" s="3">
        <f>ROUND(73612.0,2)</f>
        <v/>
      </c>
      <c r="BQ13" s="3">
        <f>ROUND(1042.0,2)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IFERROR(((0+BO7+BO8+BO9+BO10+BO11+BO12+BO13)/T2),0)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2023-10-29</t>
        </is>
      </c>
      <c r="CB13" s="5">
        <f>ROUND(42.339999999999996,2)</f>
        <v/>
      </c>
      <c r="CC13" s="3">
        <f>ROUND(113241.0,2)</f>
        <v/>
      </c>
      <c r="CD13" s="3">
        <f>ROUND(8266.0,2)</f>
        <v/>
      </c>
      <c r="CE13" s="3">
        <f>ROUND(17792.0,2)</f>
        <v/>
      </c>
      <c r="CF13" s="3">
        <f>ROUND(4497.0,2)</f>
        <v/>
      </c>
      <c r="CG13" s="3">
        <f>ROUND(2511.0,2)</f>
        <v/>
      </c>
      <c r="CH13" s="3">
        <f>ROUND(1762.0,2)</f>
        <v/>
      </c>
      <c r="CI13" s="3">
        <f>ROUND(1275.0,2)</f>
        <v/>
      </c>
      <c r="CJ13" s="4">
        <f>IFERROR((CD13/CC13),0)</f>
        <v/>
      </c>
      <c r="CK13" s="4">
        <f>IFERROR(((0+CB7+CB8+CB9+CB10+CB11+CB12+CB13)/T2),0)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2023-10-29</t>
        </is>
      </c>
      <c r="CO13" s="5">
        <f>ROUND(42.629999999999995,2)</f>
        <v/>
      </c>
      <c r="CP13" s="3">
        <f>ROUND(90692.0,2)</f>
        <v/>
      </c>
      <c r="CQ13" s="3">
        <f>ROUND(8283.0,2)</f>
        <v/>
      </c>
      <c r="CR13" s="3">
        <f>ROUND(12678.0,2)</f>
        <v/>
      </c>
      <c r="CS13" s="3">
        <f>ROUND(3255.0,2)</f>
        <v/>
      </c>
      <c r="CT13" s="3">
        <f>ROUND(1726.0,2)</f>
        <v/>
      </c>
      <c r="CU13" s="3">
        <f>ROUND(1201.0,2)</f>
        <v/>
      </c>
      <c r="CV13" s="3">
        <f>ROUND(759.0,2)</f>
        <v/>
      </c>
      <c r="CW13" s="4">
        <f>IFERROR((CQ13/CP13),0)</f>
        <v/>
      </c>
      <c r="CX13" s="4">
        <f>IFERROR(((0+CO7+CO8+CO9+CO10+CO11+CO12+CO13)/T2),0)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2023-10-29</t>
        </is>
      </c>
      <c r="DB13" s="5">
        <f>ROUND(42.54,2)</f>
        <v/>
      </c>
      <c r="DC13" s="3">
        <f>ROUND(128321.0,2)</f>
        <v/>
      </c>
      <c r="DD13" s="3">
        <f>ROUND(7533.0,2)</f>
        <v/>
      </c>
      <c r="DE13" s="3">
        <f>ROUND(21019.0,2)</f>
        <v/>
      </c>
      <c r="DF13" s="3">
        <f>ROUND(5787.0,2)</f>
        <v/>
      </c>
      <c r="DG13" s="3">
        <f>ROUND(3775.0,2)</f>
        <v/>
      </c>
      <c r="DH13" s="3">
        <f>ROUND(3222.0,2)</f>
        <v/>
      </c>
      <c r="DI13" s="3">
        <f>ROUND(1693.0,2)</f>
        <v/>
      </c>
      <c r="DJ13" s="4">
        <f>IFERROR((DD13/DC13),0)</f>
        <v/>
      </c>
      <c r="DK13" s="4">
        <f>IFERROR(((0+DB7+DB8+DB9+DB10+DB11+DB12+DB13)/T2),0)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2023-10-29</t>
        </is>
      </c>
      <c r="DO13" s="5">
        <f>ROUND(42.05,2)</f>
        <v/>
      </c>
      <c r="DP13" s="3">
        <f>ROUND(114094.0,2)</f>
        <v/>
      </c>
      <c r="DQ13" s="3">
        <f>ROUND(8184.0,2)</f>
        <v/>
      </c>
      <c r="DR13" s="3">
        <f>ROUND(25218.0,2)</f>
        <v/>
      </c>
      <c r="DS13" s="3">
        <f>ROUND(6575.0,2)</f>
        <v/>
      </c>
      <c r="DT13" s="3">
        <f>ROUND(4036.0,2)</f>
        <v/>
      </c>
      <c r="DU13" s="3">
        <f>ROUND(3182.0,2)</f>
        <v/>
      </c>
      <c r="DV13" s="3">
        <f>ROUND(2354.0,2)</f>
        <v/>
      </c>
      <c r="DW13" s="4">
        <f>IFERROR((DQ13/DP13),0)</f>
        <v/>
      </c>
      <c r="DX13" s="4">
        <f>IFERROR(((0+DO7+DO8+DO9+DO10+DO11+DO12+DO13)/T2),0)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2023-10-29</t>
        </is>
      </c>
      <c r="EB13" s="5">
        <f>ROUND(0.0,2)</f>
        <v/>
      </c>
      <c r="EC13" s="3">
        <f>ROUND(9.0,2)</f>
        <v/>
      </c>
      <c r="ED13" s="3">
        <f>ROUND(0.0,2)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IFERROR(((0+EB7+EB8+EB9+EB10+EB11+EB12+EB13)/T2),0)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2023-10-29</t>
        </is>
      </c>
      <c r="EO13" s="5">
        <f>ROUND(0.0,2)</f>
        <v/>
      </c>
      <c r="EP13" s="3">
        <f>ROUND(13.0,2)</f>
        <v/>
      </c>
      <c r="EQ13" s="3">
        <f>ROUND(0.0,2)</f>
        <v/>
      </c>
      <c r="ER13" s="3">
        <f>ROUND(0.0,2)</f>
        <v/>
      </c>
      <c r="ES13" s="3">
        <f>ROUND(0.0,2)</f>
        <v/>
      </c>
      <c r="ET13" s="3">
        <f>ROUND(0.0,2)</f>
        <v/>
      </c>
      <c r="EU13" s="3">
        <f>ROUND(0.0,2)</f>
        <v/>
      </c>
      <c r="EV13" s="3">
        <f>ROUND(0.0,2)</f>
        <v/>
      </c>
      <c r="EW13" s="4">
        <f>IFERROR((EQ13/EP13),0)</f>
        <v/>
      </c>
      <c r="EX13" s="4">
        <f>IFERROR(((0+EO7+EO8+EO9+EO10+EO11+EO12+EO13)/T2),0)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2023-10-29</t>
        </is>
      </c>
      <c r="FB13" s="5">
        <f>ROUND(0.0,2)</f>
        <v/>
      </c>
      <c r="FC13" s="3">
        <f>ROUND(2.0,2)</f>
        <v/>
      </c>
      <c r="FD13" s="3">
        <f>ROUND(0.0,2)</f>
        <v/>
      </c>
      <c r="FE13" s="3">
        <f>ROUND(0.0,2)</f>
        <v/>
      </c>
      <c r="FF13" s="3">
        <f>ROUND(0.0,2)</f>
        <v/>
      </c>
      <c r="FG13" s="3">
        <f>ROUND(0.0,2)</f>
        <v/>
      </c>
      <c r="FH13" s="3">
        <f>ROUND(0.0,2)</f>
        <v/>
      </c>
      <c r="FI13" s="3">
        <f>ROUND(0.0,2)</f>
        <v/>
      </c>
      <c r="FJ13" s="4">
        <f>IFERROR((FD13/FC13),0)</f>
        <v/>
      </c>
      <c r="FK13" s="4">
        <f>IFERROR(((0+FB7+FB8+FB9+FB10+FB11+FB12+FB13)/T2),0)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2023-10-29</t>
        </is>
      </c>
      <c r="FO13" s="5">
        <f>ROUND(0.0,2)</f>
        <v/>
      </c>
      <c r="FP13" s="3">
        <f>ROUND(1.0,2)</f>
        <v/>
      </c>
      <c r="FQ13" s="3">
        <f>ROUND(0.0,2)</f>
        <v/>
      </c>
      <c r="FR13" s="3">
        <f>ROUND(0.0,2)</f>
        <v/>
      </c>
      <c r="FS13" s="3">
        <f>ROUND(0.0,2)</f>
        <v/>
      </c>
      <c r="FT13" s="3">
        <f>ROUND(0.0,2)</f>
        <v/>
      </c>
      <c r="FU13" s="3">
        <f>ROUND(0.0,2)</f>
        <v/>
      </c>
      <c r="FV13" s="3">
        <f>ROUND(0.0,2)</f>
        <v/>
      </c>
      <c r="FW13" s="4">
        <f>IFERROR((FQ13/FP13),0)</f>
        <v/>
      </c>
      <c r="FX13" s="4">
        <f>IFERROR(((0+FO7+FO8+FO9+FO10+FO11+FO12+FO13)/T2),0)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2023-10-29</t>
        </is>
      </c>
      <c r="GB13" s="5">
        <f>ROUND(0.0,2)</f>
        <v/>
      </c>
      <c r="GC13" s="3">
        <f>ROUND(10.0,2)</f>
        <v/>
      </c>
      <c r="GD13" s="3">
        <f>ROUND(0.0,2)</f>
        <v/>
      </c>
      <c r="GE13" s="3">
        <f>ROUND(0.0,2)</f>
        <v/>
      </c>
      <c r="GF13" s="3">
        <f>ROUND(0.0,2)</f>
        <v/>
      </c>
      <c r="GG13" s="3">
        <f>ROUND(0.0,2)</f>
        <v/>
      </c>
      <c r="GH13" s="3">
        <f>ROUND(0.0,2)</f>
        <v/>
      </c>
      <c r="GI13" s="3">
        <f>ROUND(0.0,2)</f>
        <v/>
      </c>
      <c r="GJ13" s="4">
        <f>IFERROR((GD13/GC13),0)</f>
        <v/>
      </c>
      <c r="GK13" s="4">
        <f>IFERROR(((0+GB7+GB8+GB9+GB10+GB11+GB12+GB13)/T2),0)</f>
        <v/>
      </c>
      <c r="GL13" s="5">
        <f>IFERROR(ROUND(GB13/GD13,2),0)</f>
        <v/>
      </c>
      <c r="GM13" s="5">
        <f>IFERROR(ROUND(GB13/GE13,2),0)</f>
        <v/>
      </c>
    </row>
    <row r="14">
      <c r="A14" s="2" t="inlineStr">
        <is>
          <t>1 Weekly Total</t>
        </is>
      </c>
      <c r="B14" s="5">
        <f>ROUND(1340.21,2)</f>
        <v/>
      </c>
      <c r="C14" s="3">
        <f>ROUND(3679378.0,2)</f>
        <v/>
      </c>
      <c r="D14" s="3">
        <f>ROUND(203842.0,2)</f>
        <v/>
      </c>
      <c r="E14" s="3">
        <f>ROUND(370983.0,2)</f>
        <v/>
      </c>
      <c r="F14" s="3">
        <f>ROUND(126278.0,2)</f>
        <v/>
      </c>
      <c r="G14" s="3">
        <f>ROUND(77563.0,2)</f>
        <v/>
      </c>
      <c r="H14" s="3">
        <f>ROUND(61963.0,2)</f>
        <v/>
      </c>
      <c r="I14" s="3">
        <f>ROUND(34275.0,2)</f>
        <v/>
      </c>
      <c r="J14" s="4">
        <f>IFERROR((D14/C14),0)</f>
        <v/>
      </c>
      <c r="K14" s="4">
        <f>IFERROR(((0+B7+B8+B9+B10+B11+B12+B13)/T2),0)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1 Weekly Total</t>
        </is>
      </c>
      <c r="O14" s="5">
        <f>ROUND(90.38,2)</f>
        <v/>
      </c>
      <c r="P14" s="3">
        <f>ROUND(314172.0,2)</f>
        <v/>
      </c>
      <c r="Q14" s="3">
        <f>ROUND(6103.0,2)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IFERROR(((0+O7+O8+O9+O10+O11+O12+O13)/T2),0)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1 Weekly Total</t>
        </is>
      </c>
      <c r="AB14" s="5">
        <f>ROUND(90.48,2)</f>
        <v/>
      </c>
      <c r="AC14" s="3">
        <f>ROUND(329682.0,2)</f>
        <v/>
      </c>
      <c r="AD14" s="3">
        <f>ROUND(6018.0,2)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IFERROR(((0+AB7+AB8+AB9+AB10+AB11+AB12+AB13)/T2),0)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1 Weekly Total</t>
        </is>
      </c>
      <c r="AO14" s="5">
        <f>ROUND(89.93,2)</f>
        <v/>
      </c>
      <c r="AP14" s="3">
        <f>ROUND(276275.0,2)</f>
        <v/>
      </c>
      <c r="AQ14" s="3">
        <f>ROUND(5902.0,2)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IFERROR(((0+AO7+AO8+AO9+AO10+AO11+AO12+AO13)/T2),0)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1 Weekly Total</t>
        </is>
      </c>
      <c r="BB14" s="5">
        <f>ROUND(62.31,2)</f>
        <v/>
      </c>
      <c r="BC14" s="3">
        <f>ROUND(206293.0,2)</f>
        <v/>
      </c>
      <c r="BD14" s="3">
        <f>ROUND(3741.0,2)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IFERROR(((0+BB7+BB8+BB9+BB10+BB11+BB12+BB13)/T2),0)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1 Weekly Total</t>
        </is>
      </c>
      <c r="BO14" s="5">
        <f>ROUND(90.57,2)</f>
        <v/>
      </c>
      <c r="BP14" s="3">
        <f>ROUND(334458.0,2)</f>
        <v/>
      </c>
      <c r="BQ14" s="3">
        <f>ROUND(5483.0,2)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IFERROR(((0+BO7+BO8+BO9+BO10+BO11+BO12+BO13)/T2),0)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1 Weekly Total</t>
        </is>
      </c>
      <c r="CB14" s="5">
        <f>ROUND(229.46,2)</f>
        <v/>
      </c>
      <c r="CC14" s="3">
        <f>ROUND(567420.0,2)</f>
        <v/>
      </c>
      <c r="CD14" s="3">
        <f>ROUND(44783.0,2)</f>
        <v/>
      </c>
      <c r="CE14" s="3">
        <f>ROUND(93995.0,2)</f>
        <v/>
      </c>
      <c r="CF14" s="3">
        <f>ROUND(31749.0,2)</f>
        <v/>
      </c>
      <c r="CG14" s="3">
        <f>ROUND(18689.0,2)</f>
        <v/>
      </c>
      <c r="CH14" s="3">
        <f>ROUND(13851.0,2)</f>
        <v/>
      </c>
      <c r="CI14" s="3">
        <f>ROUND(7491.0,2)</f>
        <v/>
      </c>
      <c r="CJ14" s="4">
        <f>IFERROR((CD14/CC14),0)</f>
        <v/>
      </c>
      <c r="CK14" s="4">
        <f>IFERROR(((0+CB7+CB8+CB9+CB10+CB11+CB12+CB13)/T2),0)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1 Weekly Total</t>
        </is>
      </c>
      <c r="CO14" s="5">
        <f>ROUND(229.19,2)</f>
        <v/>
      </c>
      <c r="CP14" s="3">
        <f>ROUND(460882.0,2)</f>
        <v/>
      </c>
      <c r="CQ14" s="3">
        <f>ROUND(47159.0,2)</f>
        <v/>
      </c>
      <c r="CR14" s="3">
        <f>ROUND(65733.0,2)</f>
        <v/>
      </c>
      <c r="CS14" s="3">
        <f>ROUND(22267.0,2)</f>
        <v/>
      </c>
      <c r="CT14" s="3">
        <f>ROUND(12344.0,2)</f>
        <v/>
      </c>
      <c r="CU14" s="3">
        <f>ROUND(9039.0,2)</f>
        <v/>
      </c>
      <c r="CV14" s="3">
        <f>ROUND(4262.0,2)</f>
        <v/>
      </c>
      <c r="CW14" s="4">
        <f>IFERROR((CQ14/CP14),0)</f>
        <v/>
      </c>
      <c r="CX14" s="4">
        <f>IFERROR(((0+CO7+CO8+CO9+CO10+CO11+CO12+CO13)/T2),0)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1 Weekly Total</t>
        </is>
      </c>
      <c r="DB14" s="5">
        <f>ROUND(228.85,2)</f>
        <v/>
      </c>
      <c r="DC14" s="3">
        <f>ROUND(613111.0,2)</f>
        <v/>
      </c>
      <c r="DD14" s="3">
        <f>ROUND(39601.0,2)</f>
        <v/>
      </c>
      <c r="DE14" s="3">
        <f>ROUND(111686.0,2)</f>
        <v/>
      </c>
      <c r="DF14" s="3">
        <f>ROUND(38979.0,2)</f>
        <v/>
      </c>
      <c r="DG14" s="3">
        <f>ROUND(24807.0,2)</f>
        <v/>
      </c>
      <c r="DH14" s="3">
        <f>ROUND(21303.0,2)</f>
        <v/>
      </c>
      <c r="DI14" s="3">
        <f>ROUND(8297.0,2)</f>
        <v/>
      </c>
      <c r="DJ14" s="4">
        <f>IFERROR((DD14/DC14),0)</f>
        <v/>
      </c>
      <c r="DK14" s="4">
        <f>IFERROR(((0+DB7+DB8+DB9+DB10+DB11+DB12+DB13)/T2),0)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1 Weekly Total</t>
        </is>
      </c>
      <c r="DO14" s="5">
        <f>ROUND(229.04,2)</f>
        <v/>
      </c>
      <c r="DP14" s="3">
        <f>ROUND(576824.0,2)</f>
        <v/>
      </c>
      <c r="DQ14" s="3">
        <f>ROUND(45048.0,2)</f>
        <v/>
      </c>
      <c r="DR14" s="3">
        <f>ROUND(99569.0,2)</f>
        <v/>
      </c>
      <c r="DS14" s="3">
        <f>ROUND(33283.0,2)</f>
        <v/>
      </c>
      <c r="DT14" s="3">
        <f>ROUND(21723.0,2)</f>
        <v/>
      </c>
      <c r="DU14" s="3">
        <f>ROUND(17770.0,2)</f>
        <v/>
      </c>
      <c r="DV14" s="3">
        <f>ROUND(14225.0,2)</f>
        <v/>
      </c>
      <c r="DW14" s="4">
        <f>IFERROR((DQ14/DP14),0)</f>
        <v/>
      </c>
      <c r="DX14" s="4">
        <f>IFERROR(((0+DO7+DO8+DO9+DO10+DO11+DO12+DO13)/T2),0)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1 Weekly Total</t>
        </is>
      </c>
      <c r="EB14" s="5">
        <f>ROUND(0.0,2)</f>
        <v/>
      </c>
      <c r="EC14" s="3">
        <f>ROUND(25.0,2)</f>
        <v/>
      </c>
      <c r="ED14" s="3">
        <f>ROUND(0.0,2)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IFERROR(((0+EB7+EB8+EB9+EB10+EB11+EB12+EB13)/T2),0)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1 Weekly Total</t>
        </is>
      </c>
      <c r="EO14" s="5">
        <f>ROUND(0.0,2)</f>
        <v/>
      </c>
      <c r="EP14" s="3">
        <f>ROUND(85.0,2)</f>
        <v/>
      </c>
      <c r="EQ14" s="3">
        <f>ROUND(0.0,2)</f>
        <v/>
      </c>
      <c r="ER14" s="3">
        <f>ROUND(0.0,2)</f>
        <v/>
      </c>
      <c r="ES14" s="3">
        <f>ROUND(0.0,2)</f>
        <v/>
      </c>
      <c r="ET14" s="3">
        <f>ROUND(0.0,2)</f>
        <v/>
      </c>
      <c r="EU14" s="3">
        <f>ROUND(0.0,2)</f>
        <v/>
      </c>
      <c r="EV14" s="3">
        <f>ROUND(0.0,2)</f>
        <v/>
      </c>
      <c r="EW14" s="4">
        <f>IFERROR((EQ14/EP14),0)</f>
        <v/>
      </c>
      <c r="EX14" s="4">
        <f>IFERROR(((0+EO7+EO8+EO9+EO10+EO11+EO12+EO13)/T2),0)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1 Weekly Total</t>
        </is>
      </c>
      <c r="FB14" s="5">
        <f>ROUND(0.0,2)</f>
        <v/>
      </c>
      <c r="FC14" s="3">
        <f>ROUND(91.0,2)</f>
        <v/>
      </c>
      <c r="FD14" s="3">
        <f>ROUND(2.0,2)</f>
        <v/>
      </c>
      <c r="FE14" s="3">
        <f>ROUND(0.0,2)</f>
        <v/>
      </c>
      <c r="FF14" s="3">
        <f>ROUND(0.0,2)</f>
        <v/>
      </c>
      <c r="FG14" s="3">
        <f>ROUND(0.0,2)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IFERROR(((0+FB7+FB8+FB9+FB10+FB11+FB12+FB13)/T2),0)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1 Weekly Total</t>
        </is>
      </c>
      <c r="FO14" s="5">
        <f>ROUND(0.0,2)</f>
        <v/>
      </c>
      <c r="FP14" s="3">
        <f>ROUND(5.0,2)</f>
        <v/>
      </c>
      <c r="FQ14" s="3">
        <f>ROUND(0.0,2)</f>
        <v/>
      </c>
      <c r="FR14" s="3">
        <f>ROUND(0.0,2)</f>
        <v/>
      </c>
      <c r="FS14" s="3">
        <f>ROUND(0.0,2)</f>
        <v/>
      </c>
      <c r="FT14" s="3">
        <f>ROUND(0.0,2)</f>
        <v/>
      </c>
      <c r="FU14" s="3">
        <f>ROUND(0.0,2)</f>
        <v/>
      </c>
      <c r="FV14" s="3">
        <f>ROUND(0.0,2)</f>
        <v/>
      </c>
      <c r="FW14" s="4">
        <f>IFERROR((FQ14/FP14),0)</f>
        <v/>
      </c>
      <c r="FX14" s="4">
        <f>IFERROR(((0+FO7+FO8+FO9+FO10+FO11+FO12+FO13)/T2),0)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1 Weekly Total</t>
        </is>
      </c>
      <c r="GB14" s="5">
        <f>ROUND(0.0,2)</f>
        <v/>
      </c>
      <c r="GC14" s="3">
        <f>ROUND(55.0,2)</f>
        <v/>
      </c>
      <c r="GD14" s="3">
        <f>ROUND(2.0,2)</f>
        <v/>
      </c>
      <c r="GE14" s="3">
        <f>ROUND(0.0,2)</f>
        <v/>
      </c>
      <c r="GF14" s="3">
        <f>ROUND(0.0,2)</f>
        <v/>
      </c>
      <c r="GG14" s="3">
        <f>ROUND(0.0,2)</f>
        <v/>
      </c>
      <c r="GH14" s="3">
        <f>ROUND(0.0,2)</f>
        <v/>
      </c>
      <c r="GI14" s="3">
        <f>ROUND(0.0,2)</f>
        <v/>
      </c>
      <c r="GJ14" s="4">
        <f>IFERROR((GD14/GC14),0)</f>
        <v/>
      </c>
      <c r="GK14" s="4">
        <f>IFERROR(((0+GB7+GB8+GB9+GB10+GB11+GB12+GB13)/T2),0)</f>
        <v/>
      </c>
      <c r="GL14" s="5">
        <f>IFERROR(ROUND(GB14/GD14,2),0)</f>
        <v/>
      </c>
      <c r="GM14" s="5">
        <f>IFERROR(ROUND(GB14/GE14,2),0)</f>
        <v/>
      </c>
    </row>
    <row r="15">
      <c r="A15" s="2" t="inlineStr">
        <is>
          <t>2023-10-30</t>
        </is>
      </c>
      <c r="B15" s="5">
        <f>ROUND(216.92001451,2)</f>
        <v/>
      </c>
      <c r="C15" s="3">
        <f>ROUND(705019.0,2)</f>
        <v/>
      </c>
      <c r="D15" s="3">
        <f>ROUND(34683.0,2)</f>
        <v/>
      </c>
      <c r="E15" s="3">
        <f>ROUND(77480.0,2)</f>
        <v/>
      </c>
      <c r="F15" s="3">
        <f>ROUND(17587.0,2)</f>
        <v/>
      </c>
      <c r="G15" s="3">
        <f>ROUND(10564.0,2)</f>
        <v/>
      </c>
      <c r="H15" s="3">
        <f>ROUND(8183.0,2)</f>
        <v/>
      </c>
      <c r="I15" s="3">
        <f>ROUND(5500.0,2)</f>
        <v/>
      </c>
      <c r="J15" s="4">
        <f>IFERROR((D15/C15),0)</f>
        <v/>
      </c>
      <c r="K15" s="4">
        <f>IFERROR(((0+B7+B8+B9+B10+B11+B12+B13+B15)/T2),0)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2023-10-30</t>
        </is>
      </c>
      <c r="O15" s="5">
        <f>ROUND(15.02,2)</f>
        <v/>
      </c>
      <c r="P15" s="3">
        <f>ROUND(69020.0,2)</f>
        <v/>
      </c>
      <c r="Q15" s="3">
        <f>ROUND(1080.0,2)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IFERROR(((0+O7+O8+O9+O10+O11+O12+O13+O15)/T2),0)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2023-10-30</t>
        </is>
      </c>
      <c r="AB15" s="5">
        <f>ROUND(14.78,2)</f>
        <v/>
      </c>
      <c r="AC15" s="3">
        <f>ROUND(63177.0,2)</f>
        <v/>
      </c>
      <c r="AD15" s="3">
        <f>ROUND(1101.0,2)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IFERROR(((0+AB7+AB8+AB9+AB10+AB11+AB12+AB13+AB15)/T2),0)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2023-10-30</t>
        </is>
      </c>
      <c r="AO15" s="5">
        <f>ROUND(14.8,2)</f>
        <v/>
      </c>
      <c r="AP15" s="3">
        <f>ROUND(57895.0,2)</f>
        <v/>
      </c>
      <c r="AQ15" s="3">
        <f>ROUND(1053.0,2)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IFERROR(((0+AO7+AO8+AO9+AO10+AO11+AO12+AO13+AO15)/T2),0)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2023-10-30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IFERROR(((0+BB7+BB8+BB9+BB10+BB11+BB12+BB13+BB15)/T2),0)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2023-10-30</t>
        </is>
      </c>
      <c r="BO15" s="5">
        <f>ROUND(14.91,2)</f>
        <v/>
      </c>
      <c r="BP15" s="3">
        <f>ROUND(74603.0,2)</f>
        <v/>
      </c>
      <c r="BQ15" s="3">
        <f>ROUND(963.0,2)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IFERROR(((0+BO7+BO8+BO9+BO10+BO11+BO12+BO13+BO15)/T2),0)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2023-10-30</t>
        </is>
      </c>
      <c r="CB15" s="5">
        <f>ROUND(39.47,2)</f>
        <v/>
      </c>
      <c r="CC15" s="3">
        <f>ROUND(113671.0,2)</f>
        <v/>
      </c>
      <c r="CD15" s="3">
        <f>ROUND(7707.0,2)</f>
        <v/>
      </c>
      <c r="CE15" s="3">
        <f>ROUND(18426.0,2)</f>
        <v/>
      </c>
      <c r="CF15" s="3">
        <f>ROUND(3918.0,2)</f>
        <v/>
      </c>
      <c r="CG15" s="3">
        <f>ROUND(2143.0,2)</f>
        <v/>
      </c>
      <c r="CH15" s="3">
        <f>ROUND(1487.0,2)</f>
        <v/>
      </c>
      <c r="CI15" s="3">
        <f>ROUND(1087.0,2)</f>
        <v/>
      </c>
      <c r="CJ15" s="4">
        <f>IFERROR((CD15/CC15),0)</f>
        <v/>
      </c>
      <c r="CK15" s="4">
        <f>IFERROR(((0+CB7+CB8+CB9+CB10+CB11+CB12+CB13+CB15)/T2),0)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2023-10-30</t>
        </is>
      </c>
      <c r="CO15" s="5">
        <f>ROUND(39.35,2)</f>
        <v/>
      </c>
      <c r="CP15" s="3">
        <f>ROUND(88622.0,2)</f>
        <v/>
      </c>
      <c r="CQ15" s="3">
        <f>ROUND(8024.0,2)</f>
        <v/>
      </c>
      <c r="CR15" s="3">
        <f>ROUND(13691.0,2)</f>
        <v/>
      </c>
      <c r="CS15" s="3">
        <f>ROUND(3080.0,2)</f>
        <v/>
      </c>
      <c r="CT15" s="3">
        <f>ROUND(1702.0,2)</f>
        <v/>
      </c>
      <c r="CU15" s="3">
        <f>ROUND(1185.0,2)</f>
        <v/>
      </c>
      <c r="CV15" s="3">
        <f>ROUND(719.0,2)</f>
        <v/>
      </c>
      <c r="CW15" s="4">
        <f>IFERROR((CQ15/CP15),0)</f>
        <v/>
      </c>
      <c r="CX15" s="4">
        <f>IFERROR(((0+CO7+CO8+CO9+CO10+CO11+CO12+CO13+CO15)/T2),0)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2023-10-30</t>
        </is>
      </c>
      <c r="DB15" s="5">
        <f>ROUND(39.57,2)</f>
        <v/>
      </c>
      <c r="DC15" s="3">
        <f>ROUND(124154.0,2)</f>
        <v/>
      </c>
      <c r="DD15" s="3">
        <f>ROUND(7037.0,2)</f>
        <v/>
      </c>
      <c r="DE15" s="3">
        <f>ROUND(20871.0,2)</f>
        <v/>
      </c>
      <c r="DF15" s="3">
        <f>ROUND(4840.0,2)</f>
        <v/>
      </c>
      <c r="DG15" s="3">
        <f>ROUND(3173.0,2)</f>
        <v/>
      </c>
      <c r="DH15" s="3">
        <f>ROUND(2723.0,2)</f>
        <v/>
      </c>
      <c r="DI15" s="3">
        <f>ROUND(1603.0,2)</f>
        <v/>
      </c>
      <c r="DJ15" s="4">
        <f>IFERROR((DD15/DC15),0)</f>
        <v/>
      </c>
      <c r="DK15" s="4">
        <f>IFERROR(((0+DB7+DB8+DB9+DB10+DB11+DB12+DB13+DB15)/T2),0)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2023-10-30</t>
        </is>
      </c>
      <c r="DO15" s="5">
        <f>ROUND(39.020014509999996,2)</f>
        <v/>
      </c>
      <c r="DP15" s="3">
        <f>ROUND(113837.0,2)</f>
        <v/>
      </c>
      <c r="DQ15" s="3">
        <f>ROUND(7718.0,2)</f>
        <v/>
      </c>
      <c r="DR15" s="3">
        <f>ROUND(24492.0,2)</f>
        <v/>
      </c>
      <c r="DS15" s="3">
        <f>ROUND(5749.0,2)</f>
        <v/>
      </c>
      <c r="DT15" s="3">
        <f>ROUND(3546.0,2)</f>
        <v/>
      </c>
      <c r="DU15" s="3">
        <f>ROUND(2788.0,2)</f>
        <v/>
      </c>
      <c r="DV15" s="3">
        <f>ROUND(2091.0,2)</f>
        <v/>
      </c>
      <c r="DW15" s="4">
        <f>IFERROR((DQ15/DP15),0)</f>
        <v/>
      </c>
      <c r="DX15" s="4">
        <f>IFERROR(((0+DO7+DO8+DO9+DO10+DO11+DO12+DO13+DO15)/T2),0)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2023-10-30</t>
        </is>
      </c>
      <c r="EB15" s="5">
        <f>ROUND(0.0,2)</f>
        <v/>
      </c>
      <c r="EC15" s="3">
        <f>ROUND(3.0,2)</f>
        <v/>
      </c>
      <c r="ED15" s="3">
        <f>ROUND(0.0,2)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IFERROR(((0+EB7+EB8+EB9+EB10+EB11+EB12+EB13+EB15)/T2),0)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2023-10-30</t>
        </is>
      </c>
      <c r="EO15" s="5">
        <f>ROUND(0.0,2)</f>
        <v/>
      </c>
      <c r="EP15" s="3">
        <f>ROUND(25.0,2)</f>
        <v/>
      </c>
      <c r="EQ15" s="3">
        <f>ROUND(0.0,2)</f>
        <v/>
      </c>
      <c r="ER15" s="3">
        <f>ROUND(0.0,2)</f>
        <v/>
      </c>
      <c r="ES15" s="3">
        <f>ROUND(0.0,2)</f>
        <v/>
      </c>
      <c r="ET15" s="3">
        <f>ROUND(0.0,2)</f>
        <v/>
      </c>
      <c r="EU15" s="3">
        <f>ROUND(0.0,2)</f>
        <v/>
      </c>
      <c r="EV15" s="3">
        <f>ROUND(0.0,2)</f>
        <v/>
      </c>
      <c r="EW15" s="4">
        <f>IFERROR((EQ15/EP15),0)</f>
        <v/>
      </c>
      <c r="EX15" s="4">
        <f>IFERROR(((0+EO7+EO8+EO9+EO10+EO11+EO12+EO13+EO15)/T2),0)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2023-10-30</t>
        </is>
      </c>
      <c r="FB15" s="5">
        <f>ROUND(0.0,2)</f>
        <v/>
      </c>
      <c r="FC15" s="3">
        <f>ROUND(3.0,2)</f>
        <v/>
      </c>
      <c r="FD15" s="3">
        <f>ROUND(0.0,2)</f>
        <v/>
      </c>
      <c r="FE15" s="3">
        <f>ROUND(0.0,2)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IFERROR(((0+FB7+FB8+FB9+FB10+FB11+FB12+FB13+FB15)/T2),0)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2023-10-30</t>
        </is>
      </c>
      <c r="FO15" s="5">
        <f>ROUND(0.0,2)</f>
        <v/>
      </c>
      <c r="FP15" s="3">
        <f>ROUND(0.0,2)</f>
        <v/>
      </c>
      <c r="FQ15" s="3">
        <f>ROUND(0.0,2)</f>
        <v/>
      </c>
      <c r="FR15" s="3">
        <f>ROUND(0.0,2)</f>
        <v/>
      </c>
      <c r="FS15" s="3">
        <f>ROUND(0.0,2)</f>
        <v/>
      </c>
      <c r="FT15" s="3">
        <f>ROUND(0.0,2)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IFERROR(((0+FO7+FO8+FO9+FO10+FO11+FO12+FO13+FO15)/T2),0)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2023-10-30</t>
        </is>
      </c>
      <c r="GB15" s="5">
        <f>ROUND(0.0,2)</f>
        <v/>
      </c>
      <c r="GC15" s="3">
        <f>ROUND(9.0,2)</f>
        <v/>
      </c>
      <c r="GD15" s="3">
        <f>ROUND(0.0,2)</f>
        <v/>
      </c>
      <c r="GE15" s="3">
        <f>ROUND(0.0,2)</f>
        <v/>
      </c>
      <c r="GF15" s="3">
        <f>ROUND(0.0,2)</f>
        <v/>
      </c>
      <c r="GG15" s="3">
        <f>ROUND(0.0,2)</f>
        <v/>
      </c>
      <c r="GH15" s="3">
        <f>ROUND(0.0,2)</f>
        <v/>
      </c>
      <c r="GI15" s="3">
        <f>ROUND(0.0,2)</f>
        <v/>
      </c>
      <c r="GJ15" s="4">
        <f>IFERROR((GD15/GC15),0)</f>
        <v/>
      </c>
      <c r="GK15" s="4">
        <f>IFERROR(((0+GB7+GB8+GB9+GB10+GB11+GB12+GB13+GB15)/T2),0)</f>
        <v/>
      </c>
      <c r="GL15" s="5">
        <f>IFERROR(ROUND(GB15/GD15,2),0)</f>
        <v/>
      </c>
      <c r="GM15" s="5">
        <f>IFERROR(ROUND(GB15/GE15,2),0)</f>
        <v/>
      </c>
    </row>
    <row r="16">
      <c r="A16" s="2" t="inlineStr">
        <is>
          <t>2023-10-31</t>
        </is>
      </c>
      <c r="B16" s="5">
        <f>ROUND(238.31,2)</f>
        <v/>
      </c>
      <c r="C16" s="3">
        <f>ROUND(744161.0,2)</f>
        <v/>
      </c>
      <c r="D16" s="3">
        <f>ROUND(35173.0,2)</f>
        <v/>
      </c>
      <c r="E16" s="3">
        <f>ROUND(68615.0,2)</f>
        <v/>
      </c>
      <c r="F16" s="3">
        <f>ROUND(17510.0,2)</f>
        <v/>
      </c>
      <c r="G16" s="3">
        <f>ROUND(10565.0,2)</f>
        <v/>
      </c>
      <c r="H16" s="3">
        <f>ROUND(8153.0,2)</f>
        <v/>
      </c>
      <c r="I16" s="3">
        <f>ROUND(5610.0,2)</f>
        <v/>
      </c>
      <c r="J16" s="4">
        <f>IFERROR((D16/C16),0)</f>
        <v/>
      </c>
      <c r="K16" s="4">
        <f>IFERROR(((0+B7+B8+B9+B10+B11+B12+B13+B15+B16)/T2),0)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2023-10-31</t>
        </is>
      </c>
      <c r="O16" s="5">
        <f>ROUND(15.97,2)</f>
        <v/>
      </c>
      <c r="P16" s="3">
        <f>ROUND(72090.0,2)</f>
        <v/>
      </c>
      <c r="Q16" s="3">
        <f>ROUND(1110.0,2)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IFERROR(((0+O7+O8+O9+O10+O11+O12+O13+O15+O16)/T2),0)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2023-10-31</t>
        </is>
      </c>
      <c r="AB16" s="5">
        <f>ROUND(14.69,2)</f>
        <v/>
      </c>
      <c r="AC16" s="3">
        <f>ROUND(60977.0,2)</f>
        <v/>
      </c>
      <c r="AD16" s="3">
        <f>ROUND(1068.0,2)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IFERROR(((0+AB7+AB8+AB9+AB10+AB11+AB12+AB13+AB15+AB16)/T2),0)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2023-10-31</t>
        </is>
      </c>
      <c r="AO16" s="5">
        <f>ROUND(15.0,2)</f>
        <v/>
      </c>
      <c r="AP16" s="3">
        <f>ROUND(56554.0,2)</f>
        <v/>
      </c>
      <c r="AQ16" s="3">
        <f>ROUND(975.0,2)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IFERROR(((0+AO7+AO8+AO9+AO10+AO11+AO12+AO13+AO15+AO16)/T2),0)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2023-10-31</t>
        </is>
      </c>
      <c r="BB16" s="5">
        <f>ROUND(21.240000000000002,2)</f>
        <v/>
      </c>
      <c r="BC16" s="3">
        <f>ROUND(64221.0,2)</f>
        <v/>
      </c>
      <c r="BD16" s="3">
        <f>ROUND(1387.0,2)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IFERROR(((0+BB7+BB8+BB9+BB10+BB11+BB12+BB13+BB15+BB16)/T2),0)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2023-10-31</t>
        </is>
      </c>
      <c r="BO16" s="5">
        <f>ROUND(14.52,2)</f>
        <v/>
      </c>
      <c r="BP16" s="3">
        <f>ROUND(66835.0,2)</f>
        <v/>
      </c>
      <c r="BQ16" s="3">
        <f>ROUND(938.0,2)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IFERROR(((0+BO7+BO8+BO9+BO10+BO11+BO12+BO13+BO15+BO16)/T2),0)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2023-10-31</t>
        </is>
      </c>
      <c r="CB16" s="5">
        <f>ROUND(36.29,2)</f>
        <v/>
      </c>
      <c r="CC16" s="3">
        <f>ROUND(102164.0,2)</f>
        <v/>
      </c>
      <c r="CD16" s="3">
        <f>ROUND(7091.0,2)</f>
        <v/>
      </c>
      <c r="CE16" s="3">
        <f>ROUND(18383.0,2)</f>
        <v/>
      </c>
      <c r="CF16" s="3">
        <f>ROUND(4436.0,2)</f>
        <v/>
      </c>
      <c r="CG16" s="3">
        <f>ROUND(2353.0,2)</f>
        <v/>
      </c>
      <c r="CH16" s="3">
        <f>ROUND(1615.0,2)</f>
        <v/>
      </c>
      <c r="CI16" s="3">
        <f>ROUND(1128.0,2)</f>
        <v/>
      </c>
      <c r="CJ16" s="4">
        <f>IFERROR((CD16/CC16),0)</f>
        <v/>
      </c>
      <c r="CK16" s="4">
        <f>IFERROR(((0+CB7+CB8+CB9+CB10+CB11+CB12+CB13+CB15+CB16)/T2),0)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2023-10-31</t>
        </is>
      </c>
      <c r="CO16" s="5">
        <f>ROUND(35.87,2)</f>
        <v/>
      </c>
      <c r="CP16" s="3">
        <f>ROUND(76995.0,2)</f>
        <v/>
      </c>
      <c r="CQ16" s="3">
        <f>ROUND(7173.0,2)</f>
        <v/>
      </c>
      <c r="CR16" s="3">
        <f>ROUND(11283.0,2)</f>
        <v/>
      </c>
      <c r="CS16" s="3">
        <f>ROUND(2869.0,2)</f>
        <v/>
      </c>
      <c r="CT16" s="3">
        <f>ROUND(1553.0,2)</f>
        <v/>
      </c>
      <c r="CU16" s="3">
        <f>ROUND(1077.0,2)</f>
        <v/>
      </c>
      <c r="CV16" s="3">
        <f>ROUND(618.0,2)</f>
        <v/>
      </c>
      <c r="CW16" s="4">
        <f>IFERROR((CQ16/CP16),0)</f>
        <v/>
      </c>
      <c r="CX16" s="4">
        <f>IFERROR(((0+CO7+CO8+CO9+CO10+CO11+CO12+CO13+CO15+CO16)/T2),0)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2023-10-31</t>
        </is>
      </c>
      <c r="DB16" s="5">
        <f>ROUND(39.77,2)</f>
        <v/>
      </c>
      <c r="DC16" s="3">
        <f>ROUND(120050.0,2)</f>
        <v/>
      </c>
      <c r="DD16" s="3">
        <f>ROUND(7624.0,2)</f>
        <v/>
      </c>
      <c r="DE16" s="3">
        <f>ROUND(17193.0,2)</f>
        <v/>
      </c>
      <c r="DF16" s="3">
        <f>ROUND(4586.0,2)</f>
        <v/>
      </c>
      <c r="DG16" s="3">
        <f>ROUND(3148.0,2)</f>
        <v/>
      </c>
      <c r="DH16" s="3">
        <f>ROUND(2696.0,2)</f>
        <v/>
      </c>
      <c r="DI16" s="3">
        <f>ROUND(1777.0,2)</f>
        <v/>
      </c>
      <c r="DJ16" s="4">
        <f>IFERROR((DD16/DC16),0)</f>
        <v/>
      </c>
      <c r="DK16" s="4">
        <f>IFERROR(((0+DB7+DB8+DB9+DB10+DB11+DB12+DB13+DB15+DB16)/T2),0)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2023-10-31</t>
        </is>
      </c>
      <c r="DO16" s="5">
        <f>ROUND(36.38,2)</f>
        <v/>
      </c>
      <c r="DP16" s="3">
        <f>ROUND(99022.0,2)</f>
        <v/>
      </c>
      <c r="DQ16" s="3">
        <f>ROUND(7129.0,2)</f>
        <v/>
      </c>
      <c r="DR16" s="3">
        <f>ROUND(21756.0,2)</f>
        <v/>
      </c>
      <c r="DS16" s="3">
        <f>ROUND(5619.0,2)</f>
        <v/>
      </c>
      <c r="DT16" s="3">
        <f>ROUND(3511.0,2)</f>
        <v/>
      </c>
      <c r="DU16" s="3">
        <f>ROUND(2765.0,2)</f>
        <v/>
      </c>
      <c r="DV16" s="3">
        <f>ROUND(2087.0,2)</f>
        <v/>
      </c>
      <c r="DW16" s="4">
        <f>IFERROR((DQ16/DP16),0)</f>
        <v/>
      </c>
      <c r="DX16" s="4">
        <f>IFERROR(((0+DO7+DO8+DO9+DO10+DO11+DO12+DO13+DO15+DO16)/T2),0)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2023-10-31</t>
        </is>
      </c>
      <c r="EB16" s="5">
        <f>ROUND(2.98,2)</f>
        <v/>
      </c>
      <c r="EC16" s="3">
        <f>ROUND(8662.0,2)</f>
        <v/>
      </c>
      <c r="ED16" s="3">
        <f>ROUND(226.0,2)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IFERROR(((0+EB7+EB8+EB9+EB10+EB11+EB12+EB13+EB15+EB16)/T2),0)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2023-10-31</t>
        </is>
      </c>
      <c r="EO16" s="5">
        <f>ROUND(2.5,2)</f>
        <v/>
      </c>
      <c r="EP16" s="3">
        <f>ROUND(6597.0,2)</f>
        <v/>
      </c>
      <c r="EQ16" s="3">
        <f>ROUND(230.0,2)</f>
        <v/>
      </c>
      <c r="ER16" s="3">
        <f>ROUND(0.0,2)</f>
        <v/>
      </c>
      <c r="ES16" s="3">
        <f>ROUND(0.0,2)</f>
        <v/>
      </c>
      <c r="ET16" s="3">
        <f>ROUND(0.0,2)</f>
        <v/>
      </c>
      <c r="EU16" s="3">
        <f>ROUND(0.0,2)</f>
        <v/>
      </c>
      <c r="EV16" s="3">
        <f>ROUND(0.0,2)</f>
        <v/>
      </c>
      <c r="EW16" s="4">
        <f>IFERROR((EQ16/EP16),0)</f>
        <v/>
      </c>
      <c r="EX16" s="4">
        <f>IFERROR(((0+EO7+EO8+EO9+EO10+EO11+EO12+EO13+EO15+EO16)/T2),0)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2023-10-31</t>
        </is>
      </c>
      <c r="FB16" s="5">
        <f>ROUND(0.0,2)</f>
        <v/>
      </c>
      <c r="FC16" s="3">
        <f>ROUND(0.0,2)</f>
        <v/>
      </c>
      <c r="FD16" s="3">
        <f>ROUND(0.0,2)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IFERROR(((0+FB7+FB8+FB9+FB10+FB11+FB12+FB13+FB15+FB16)/T2),0)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2023-10-31</t>
        </is>
      </c>
      <c r="FO16" s="5">
        <f>ROUND(0.41,2)</f>
        <v/>
      </c>
      <c r="FP16" s="3">
        <f>ROUND(1395.0,2)</f>
        <v/>
      </c>
      <c r="FQ16" s="3">
        <f>ROUND(24.0,2)</f>
        <v/>
      </c>
      <c r="FR16" s="3">
        <f>ROUND(0.0,2)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IFERROR(((0+FO7+FO8+FO9+FO10+FO11+FO12+FO13+FO15+FO16)/T2),0)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2023-10-31</t>
        </is>
      </c>
      <c r="GB16" s="5">
        <f>ROUND(2.69,2)</f>
        <v/>
      </c>
      <c r="GC16" s="3">
        <f>ROUND(8599.0,2)</f>
        <v/>
      </c>
      <c r="GD16" s="3">
        <f>ROUND(198.0,2)</f>
        <v/>
      </c>
      <c r="GE16" s="3">
        <f>ROUND(0.0,2)</f>
        <v/>
      </c>
      <c r="GF16" s="3">
        <f>ROUND(0.0,2)</f>
        <v/>
      </c>
      <c r="GG16" s="3">
        <f>ROUND(0.0,2)</f>
        <v/>
      </c>
      <c r="GH16" s="3">
        <f>ROUND(0.0,2)</f>
        <v/>
      </c>
      <c r="GI16" s="3">
        <f>ROUND(0.0,2)</f>
        <v/>
      </c>
      <c r="GJ16" s="4">
        <f>IFERROR((GD16/GC16),0)</f>
        <v/>
      </c>
      <c r="GK16" s="4">
        <f>IFERROR(((0+GB7+GB8+GB9+GB10+GB11+GB12+GB13+GB15+GB16)/T2),0)</f>
        <v/>
      </c>
      <c r="GL16" s="5">
        <f>IFERROR(ROUND(GB16/GD16,2),0)</f>
        <v/>
      </c>
      <c r="GM16" s="5">
        <f>IFERROR(ROUND(GB16/GE16,2),0)</f>
        <v/>
      </c>
    </row>
    <row r="17">
      <c r="A17" s="2" t="inlineStr">
        <is>
          <t>2023-11-01</t>
        </is>
      </c>
      <c r="B17" s="5">
        <f>ROUND(232.53,2)</f>
        <v/>
      </c>
      <c r="C17" s="3">
        <f>ROUND(735118.0,2)</f>
        <v/>
      </c>
      <c r="D17" s="3">
        <f>ROUND(35019.0,2)</f>
        <v/>
      </c>
      <c r="E17" s="3">
        <f>ROUND(74180.0,2)</f>
        <v/>
      </c>
      <c r="F17" s="3">
        <f>ROUND(20464.0,2)</f>
        <v/>
      </c>
      <c r="G17" s="3">
        <f>ROUND(12170.0,2)</f>
        <v/>
      </c>
      <c r="H17" s="3">
        <f>ROUND(9390.0,2)</f>
        <v/>
      </c>
      <c r="I17" s="3">
        <f>ROUND(6227.0,2)</f>
        <v/>
      </c>
      <c r="J17" s="4">
        <f>IFERROR((D17/C17),0)</f>
        <v/>
      </c>
      <c r="K17" s="4">
        <f>IFERROR(((0+B7+B8+B9+B10+B11+B12+B13+B15+B16+B17)/T2),0)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2023-11-01</t>
        </is>
      </c>
      <c r="O17" s="5">
        <f>ROUND(15.46,2)</f>
        <v/>
      </c>
      <c r="P17" s="3">
        <f>ROUND(69242.0,2)</f>
        <v/>
      </c>
      <c r="Q17" s="3">
        <f>ROUND(1192.0,2)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IFERROR(((0+O7+O8+O9+O10+O11+O12+O13+O15+O16+O17)/T2),0)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2023-11-01</t>
        </is>
      </c>
      <c r="AB17" s="5">
        <f>ROUND(16.080000000000002,2)</f>
        <v/>
      </c>
      <c r="AC17" s="3">
        <f>ROUND(66601.0,2)</f>
        <v/>
      </c>
      <c r="AD17" s="3">
        <f>ROUND(1116.0,2)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IFERROR(((0+AB7+AB8+AB9+AB10+AB11+AB12+AB13+AB15+AB16+AB17)/T2),0)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2023-11-01</t>
        </is>
      </c>
      <c r="AO17" s="5">
        <f>ROUND(15.7,2)</f>
        <v/>
      </c>
      <c r="AP17" s="3">
        <f>ROUND(62232.0,2)</f>
        <v/>
      </c>
      <c r="AQ17" s="3">
        <f>ROUND(1140.0,2)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IFERROR(((0+AO7+AO8+AO9+AO10+AO11+AO12+AO13+AO15+AO16+AO17)/T2),0)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2023-11-01</t>
        </is>
      </c>
      <c r="BB17" s="5">
        <f>ROUND(19.62,2)</f>
        <v/>
      </c>
      <c r="BC17" s="3">
        <f>ROUND(65795.0,2)</f>
        <v/>
      </c>
      <c r="BD17" s="3">
        <f>ROUND(1375.0,2)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IFERROR(((0+BB7+BB8+BB9+BB10+BB11+BB12+BB13+BB15+BB16+BB17)/T2),0)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2023-11-01</t>
        </is>
      </c>
      <c r="BO17" s="5">
        <f>ROUND(15.33,2)</f>
        <v/>
      </c>
      <c r="BP17" s="3">
        <f>ROUND(70454.0,2)</f>
        <v/>
      </c>
      <c r="BQ17" s="3">
        <f>ROUND(1034.0,2)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IFERROR(((0+BO7+BO8+BO9+BO10+BO11+BO12+BO13+BO15+BO16+BO17)/T2),0)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2023-11-01</t>
        </is>
      </c>
      <c r="CB17" s="5">
        <f>ROUND(36.64,2)</f>
        <v/>
      </c>
      <c r="CC17" s="3">
        <f>ROUND(102267.0,2)</f>
        <v/>
      </c>
      <c r="CD17" s="3">
        <f>ROUND(7189.0,2)</f>
        <v/>
      </c>
      <c r="CE17" s="3">
        <f>ROUND(23077.0,2)</f>
        <v/>
      </c>
      <c r="CF17" s="3">
        <f>ROUND(5941.0,2)</f>
        <v/>
      </c>
      <c r="CG17" s="3">
        <f>ROUND(3074.0,2)</f>
        <v/>
      </c>
      <c r="CH17" s="3">
        <f>ROUND(2064.0,2)</f>
        <v/>
      </c>
      <c r="CI17" s="3">
        <f>ROUND(1356.0,2)</f>
        <v/>
      </c>
      <c r="CJ17" s="4">
        <f>IFERROR((CD17/CC17),0)</f>
        <v/>
      </c>
      <c r="CK17" s="4">
        <f>IFERROR(((0+CB7+CB8+CB9+CB10+CB11+CB12+CB13+CB15+CB16+CB17)/T2),0)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2023-11-01</t>
        </is>
      </c>
      <c r="CO17" s="5">
        <f>ROUND(37.06,2)</f>
        <v/>
      </c>
      <c r="CP17" s="3">
        <f>ROUND(73665.0,2)</f>
        <v/>
      </c>
      <c r="CQ17" s="3">
        <f>ROUND(7320.0,2)</f>
        <v/>
      </c>
      <c r="CR17" s="3">
        <f>ROUND(11395.0,2)</f>
        <v/>
      </c>
      <c r="CS17" s="3">
        <f>ROUND(3502.0,2)</f>
        <v/>
      </c>
      <c r="CT17" s="3">
        <f>ROUND(1985.0,2)</f>
        <v/>
      </c>
      <c r="CU17" s="3">
        <f>ROUND(1465.0,2)</f>
        <v/>
      </c>
      <c r="CV17" s="3">
        <f>ROUND(656.0,2)</f>
        <v/>
      </c>
      <c r="CW17" s="4">
        <f>IFERROR((CQ17/CP17),0)</f>
        <v/>
      </c>
      <c r="CX17" s="4">
        <f>IFERROR(((0+CO7+CO8+CO9+CO10+CO11+CO12+CO13+CO15+CO16+CO17)/T2),0)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2023-11-01</t>
        </is>
      </c>
      <c r="DB17" s="5">
        <f>ROUND(35.57,2)</f>
        <v/>
      </c>
      <c r="DC17" s="3">
        <f>ROUND(111314.0,2)</f>
        <v/>
      </c>
      <c r="DD17" s="3">
        <f>ROUND(7068.0,2)</f>
        <v/>
      </c>
      <c r="DE17" s="3">
        <f>ROUND(15173.0,2)</f>
        <v/>
      </c>
      <c r="DF17" s="3">
        <f>ROUND(4308.0,2)</f>
        <v/>
      </c>
      <c r="DG17" s="3">
        <f>ROUND(2994.0,2)</f>
        <v/>
      </c>
      <c r="DH17" s="3">
        <f>ROUND(2606.0,2)</f>
        <v/>
      </c>
      <c r="DI17" s="3">
        <f>ROUND(1760.0,2)</f>
        <v/>
      </c>
      <c r="DJ17" s="4">
        <f>IFERROR((DD17/DC17),0)</f>
        <v/>
      </c>
      <c r="DK17" s="4">
        <f>IFERROR(((0+DB7+DB8+DB9+DB10+DB11+DB12+DB13+DB15+DB16+DB17)/T2),0)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2023-11-01</t>
        </is>
      </c>
      <c r="DO17" s="5">
        <f>ROUND(36.66,2)</f>
        <v/>
      </c>
      <c r="DP17" s="3">
        <f>ROUND(98015.0,2)</f>
        <v/>
      </c>
      <c r="DQ17" s="3">
        <f>ROUND(7256.0,2)</f>
        <v/>
      </c>
      <c r="DR17" s="3">
        <f>ROUND(24535.0,2)</f>
        <v/>
      </c>
      <c r="DS17" s="3">
        <f>ROUND(6713.0,2)</f>
        <v/>
      </c>
      <c r="DT17" s="3">
        <f>ROUND(4117.0,2)</f>
        <v/>
      </c>
      <c r="DU17" s="3">
        <f>ROUND(3255.0,2)</f>
        <v/>
      </c>
      <c r="DV17" s="3">
        <f>ROUND(2455.0,2)</f>
        <v/>
      </c>
      <c r="DW17" s="4">
        <f>IFERROR((DQ17/DP17),0)</f>
        <v/>
      </c>
      <c r="DX17" s="4">
        <f>IFERROR(((0+DO7+DO8+DO9+DO10+DO11+DO12+DO13+DO15+DO16+DO17)/T2),0)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2023-11-01</t>
        </is>
      </c>
      <c r="EB17" s="5">
        <f>ROUND(0.7,2)</f>
        <v/>
      </c>
      <c r="EC17" s="3">
        <f>ROUND(2470.0,2)</f>
        <v/>
      </c>
      <c r="ED17" s="3">
        <f>ROUND(48.0,2)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IFERROR(((0+EB7+EB8+EB9+EB10+EB11+EB12+EB13+EB15+EB16+EB17)/T2),0)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2023-11-01</t>
        </is>
      </c>
      <c r="EO17" s="5">
        <f>ROUND(1.01,2)</f>
        <v/>
      </c>
      <c r="EP17" s="3">
        <f>ROUND(2630.0,2)</f>
        <v/>
      </c>
      <c r="EQ17" s="3">
        <f>ROUND(110.0,2)</f>
        <v/>
      </c>
      <c r="ER17" s="3">
        <f>ROUND(0.0,2)</f>
        <v/>
      </c>
      <c r="ES17" s="3">
        <f>ROUND(0.0,2)</f>
        <v/>
      </c>
      <c r="ET17" s="3">
        <f>ROUND(0.0,2)</f>
        <v/>
      </c>
      <c r="EU17" s="3">
        <f>ROUND(0.0,2)</f>
        <v/>
      </c>
      <c r="EV17" s="3">
        <f>ROUND(0.0,2)</f>
        <v/>
      </c>
      <c r="EW17" s="4">
        <f>IFERROR((EQ17/EP17),0)</f>
        <v/>
      </c>
      <c r="EX17" s="4">
        <f>IFERROR(((0+EO7+EO8+EO9+EO10+EO11+EO12+EO13+EO15+EO16+EO17)/T2),0)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2023-11-01</t>
        </is>
      </c>
      <c r="FB17" s="5">
        <f>ROUND(1.8,2)</f>
        <v/>
      </c>
      <c r="FC17" s="3">
        <f>ROUND(7136.0,2)</f>
        <v/>
      </c>
      <c r="FD17" s="3">
        <f>ROUND(121.0,2)</f>
        <v/>
      </c>
      <c r="FE17" s="3">
        <f>ROUND(0.0,2)</f>
        <v/>
      </c>
      <c r="FF17" s="3">
        <f>ROUND(0.0,2)</f>
        <v/>
      </c>
      <c r="FG17" s="3">
        <f>ROUND(0.0,2)</f>
        <v/>
      </c>
      <c r="FH17" s="3">
        <f>ROUND(0.0,2)</f>
        <v/>
      </c>
      <c r="FI17" s="3">
        <f>ROUND(0.0,2)</f>
        <v/>
      </c>
      <c r="FJ17" s="4">
        <f>IFERROR((FD17/FC17),0)</f>
        <v/>
      </c>
      <c r="FK17" s="4">
        <f>IFERROR(((0+FB7+FB8+FB9+FB10+FB11+FB12+FB13+FB15+FB16+FB17)/T2),0)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2023-11-01</t>
        </is>
      </c>
      <c r="FO17" s="5">
        <f>ROUND(0.03,2)</f>
        <v/>
      </c>
      <c r="FP17" s="3">
        <f>ROUND(94.0,2)</f>
        <v/>
      </c>
      <c r="FQ17" s="3">
        <f>ROUND(2.0,2)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IFERROR(((0+FO7+FO8+FO9+FO10+FO11+FO12+FO13+FO15+FO16+FO17)/T2),0)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2023-11-01</t>
        </is>
      </c>
      <c r="GB17" s="5">
        <f>ROUND(0.87,2)</f>
        <v/>
      </c>
      <c r="GC17" s="3">
        <f>ROUND(3203.0,2)</f>
        <v/>
      </c>
      <c r="GD17" s="3">
        <f>ROUND(48.0,2)</f>
        <v/>
      </c>
      <c r="GE17" s="3">
        <f>ROUND(0.0,2)</f>
        <v/>
      </c>
      <c r="GF17" s="3">
        <f>ROUND(0.0,2)</f>
        <v/>
      </c>
      <c r="GG17" s="3">
        <f>ROUND(0.0,2)</f>
        <v/>
      </c>
      <c r="GH17" s="3">
        <f>ROUND(0.0,2)</f>
        <v/>
      </c>
      <c r="GI17" s="3">
        <f>ROUND(0.0,2)</f>
        <v/>
      </c>
      <c r="GJ17" s="4">
        <f>IFERROR((GD17/GC17),0)</f>
        <v/>
      </c>
      <c r="GK17" s="4">
        <f>IFERROR(((0+GB7+GB8+GB9+GB10+GB11+GB12+GB13+GB15+GB16+GB17)/T2),0)</f>
        <v/>
      </c>
      <c r="GL17" s="5">
        <f>IFERROR(ROUND(GB17/GD17,2),0)</f>
        <v/>
      </c>
      <c r="GM17" s="5">
        <f>IFERROR(ROUND(GB17/GE17,2),0)</f>
        <v/>
      </c>
    </row>
    <row r="18">
      <c r="A18" s="2" t="inlineStr">
        <is>
          <t>2023-11-02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IFERROR(((0+B7+B8+B9+B10+B11+B12+B13+B15+B16+B17+B18)/T2),0)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2023-11-02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IFERROR(((0+O7+O8+O9+O10+O11+O12+O13+O15+O16+O17+O18)/T2),0)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2023-11-02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IFERROR(((0+AB7+AB8+AB9+AB10+AB11+AB12+AB13+AB15+AB16+AB17+AB18)/T2),0)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2023-11-02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IFERROR(((0+AO7+AO8+AO9+AO10+AO11+AO12+AO13+AO15+AO16+AO17+AO18)/T2),0)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2023-11-02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IFERROR(((0+BB7+BB8+BB9+BB10+BB11+BB12+BB13+BB15+BB16+BB17+BB18)/T2),0)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2023-11-02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IFERROR(((0+BO7+BO8+BO9+BO10+BO11+BO12+BO13+BO15+BO16+BO17+BO18)/T2),0)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2023-11-02</t>
        </is>
      </c>
      <c r="CB18" s="5">
        <f>ROUND(0.0,2)</f>
        <v/>
      </c>
      <c r="CC18" s="3">
        <f>ROUND(0.0,2)</f>
        <v/>
      </c>
      <c r="CD18" s="3">
        <f>ROUND(0.0,2)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IFERROR(((0+CB7+CB8+CB9+CB10+CB11+CB12+CB13+CB15+CB16+CB17+CB18)/T2),0)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2023-11-02</t>
        </is>
      </c>
      <c r="CO18" s="5">
        <f>ROUND(0.0,2)</f>
        <v/>
      </c>
      <c r="CP18" s="3">
        <f>ROUND(0.0,2)</f>
        <v/>
      </c>
      <c r="CQ18" s="3">
        <f>ROUND(0.0,2)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IFERROR(((0+CO7+CO8+CO9+CO10+CO11+CO12+CO13+CO15+CO16+CO17+CO18)/T2),0)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2023-11-02</t>
        </is>
      </c>
      <c r="DB18" s="5">
        <f>ROUND(0.0,2)</f>
        <v/>
      </c>
      <c r="DC18" s="3">
        <f>ROUND(0.0,2)</f>
        <v/>
      </c>
      <c r="DD18" s="3">
        <f>ROUND(0.0,2)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IFERROR(((0+DB7+DB8+DB9+DB10+DB11+DB12+DB13+DB15+DB16+DB17+DB18)/T2),0)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2023-11-02</t>
        </is>
      </c>
      <c r="DO18" s="5">
        <f>ROUND(0.0,2)</f>
        <v/>
      </c>
      <c r="DP18" s="3">
        <f>ROUND(0.0,2)</f>
        <v/>
      </c>
      <c r="DQ18" s="3">
        <f>ROUND(0.0,2)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IFERROR(((0+DO7+DO8+DO9+DO10+DO11+DO12+DO13+DO15+DO16+DO17+DO18)/T2),0)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2023-11-02</t>
        </is>
      </c>
      <c r="EB18" s="5">
        <f>ROUND(0.0,2)</f>
        <v/>
      </c>
      <c r="EC18" s="3">
        <f>ROUND(0.0,2)</f>
        <v/>
      </c>
      <c r="ED18" s="3">
        <f>ROUND(0.0,2)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IFERROR(((0+EB7+EB8+EB9+EB10+EB11+EB12+EB13+EB15+EB16+EB17+EB18)/T2),0)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2023-11-02</t>
        </is>
      </c>
      <c r="EO18" s="5">
        <f>ROUND(0.0,2)</f>
        <v/>
      </c>
      <c r="EP18" s="3">
        <f>ROUND(0.0,2)</f>
        <v/>
      </c>
      <c r="EQ18" s="3">
        <f>ROUND(0.0,2)</f>
        <v/>
      </c>
      <c r="ER18" s="3">
        <f>ROUND(0.0,2)</f>
        <v/>
      </c>
      <c r="ES18" s="3">
        <f>ROUND(0.0,2)</f>
        <v/>
      </c>
      <c r="ET18" s="3">
        <f>ROUND(0.0,2)</f>
        <v/>
      </c>
      <c r="EU18" s="3">
        <f>ROUND(0.0,2)</f>
        <v/>
      </c>
      <c r="EV18" s="3">
        <f>ROUND(0.0,2)</f>
        <v/>
      </c>
      <c r="EW18" s="4">
        <f>IFERROR((EQ18/EP18),0)</f>
        <v/>
      </c>
      <c r="EX18" s="4">
        <f>IFERROR(((0+EO7+EO8+EO9+EO10+EO11+EO12+EO13+EO15+EO16+EO17+EO18)/T2),0)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2023-11-02</t>
        </is>
      </c>
      <c r="FB18" s="5">
        <f>ROUND(0.0,2)</f>
        <v/>
      </c>
      <c r="FC18" s="3">
        <f>ROUND(0.0,2)</f>
        <v/>
      </c>
      <c r="FD18" s="3">
        <f>ROUND(0.0,2)</f>
        <v/>
      </c>
      <c r="FE18" s="3">
        <f>ROUND(0.0,2)</f>
        <v/>
      </c>
      <c r="FF18" s="3">
        <f>ROUND(0.0,2)</f>
        <v/>
      </c>
      <c r="FG18" s="3">
        <f>ROUND(0.0,2)</f>
        <v/>
      </c>
      <c r="FH18" s="3">
        <f>ROUND(0.0,2)</f>
        <v/>
      </c>
      <c r="FI18" s="3">
        <f>ROUND(0.0,2)</f>
        <v/>
      </c>
      <c r="FJ18" s="4">
        <f>IFERROR((FD18/FC18),0)</f>
        <v/>
      </c>
      <c r="FK18" s="4">
        <f>IFERROR(((0+FB7+FB8+FB9+FB10+FB11+FB12+FB13+FB15+FB16+FB17+FB18)/T2),0)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2023-11-02</t>
        </is>
      </c>
      <c r="FO18" s="5">
        <f>ROUND(0.0,2)</f>
        <v/>
      </c>
      <c r="FP18" s="3">
        <f>ROUND(0.0,2)</f>
        <v/>
      </c>
      <c r="FQ18" s="3">
        <f>ROUND(0.0,2)</f>
        <v/>
      </c>
      <c r="FR18" s="3">
        <f>ROUND(0.0,2)</f>
        <v/>
      </c>
      <c r="FS18" s="3">
        <f>ROUND(0.0,2)</f>
        <v/>
      </c>
      <c r="FT18" s="3">
        <f>ROUND(0.0,2)</f>
        <v/>
      </c>
      <c r="FU18" s="3">
        <f>ROUND(0.0,2)</f>
        <v/>
      </c>
      <c r="FV18" s="3">
        <f>ROUND(0.0,2)</f>
        <v/>
      </c>
      <c r="FW18" s="4">
        <f>IFERROR((FQ18/FP18),0)</f>
        <v/>
      </c>
      <c r="FX18" s="4">
        <f>IFERROR(((0+FO7+FO8+FO9+FO10+FO11+FO12+FO13+FO15+FO16+FO17+FO18)/T2),0)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2023-11-02</t>
        </is>
      </c>
      <c r="GB18" s="5">
        <f>ROUND(0.0,2)</f>
        <v/>
      </c>
      <c r="GC18" s="3">
        <f>ROUND(0.0,2)</f>
        <v/>
      </c>
      <c r="GD18" s="3">
        <f>ROUND(0.0,2)</f>
        <v/>
      </c>
      <c r="GE18" s="3">
        <f>ROUND(0.0,2)</f>
        <v/>
      </c>
      <c r="GF18" s="3">
        <f>ROUND(0.0,2)</f>
        <v/>
      </c>
      <c r="GG18" s="3">
        <f>ROUND(0.0,2)</f>
        <v/>
      </c>
      <c r="GH18" s="3">
        <f>ROUND(0.0,2)</f>
        <v/>
      </c>
      <c r="GI18" s="3">
        <f>ROUND(0.0,2)</f>
        <v/>
      </c>
      <c r="GJ18" s="4">
        <f>IFERROR((GD18/GC18),0)</f>
        <v/>
      </c>
      <c r="GK18" s="4">
        <f>IFERROR(((0+GB7+GB8+GB9+GB10+GB11+GB12+GB13+GB15+GB16+GB17+GB18)/T2),0)</f>
        <v/>
      </c>
      <c r="GL18" s="5">
        <f>IFERROR(ROUND(GB18/GD18,2),0)</f>
        <v/>
      </c>
      <c r="GM18" s="5">
        <f>IFERROR(ROUND(GB18/GE18,2),0)</f>
        <v/>
      </c>
    </row>
    <row r="19">
      <c r="A19" s="6" t="inlineStr">
        <is>
          <t>Total</t>
        </is>
      </c>
      <c r="B19" s="7">
        <f>ROUND(2027.97,2)</f>
        <v/>
      </c>
      <c r="C19" s="8">
        <f>ROUND(5863676.0,2)</f>
        <v/>
      </c>
      <c r="D19" s="8">
        <f>ROUND(308717.0,2)</f>
        <v/>
      </c>
      <c r="E19" s="8">
        <f>ROUND(591258.0,2)</f>
        <v/>
      </c>
      <c r="F19" s="8">
        <f>ROUND(181839.0,2)</f>
        <v/>
      </c>
      <c r="G19" s="8">
        <f>ROUND(110862.0,2)</f>
        <v/>
      </c>
      <c r="H19" s="8">
        <f>ROUND(87689.0,2)</f>
        <v/>
      </c>
      <c r="I19" s="8">
        <f>ROUND(51612.0,2)</f>
        <v/>
      </c>
      <c r="J19" s="9">
        <f>IFERROR((D19/C19),0)</f>
        <v/>
      </c>
      <c r="K19" s="9">
        <f>IFERROR(((0+B19)/T2),0)</f>
        <v/>
      </c>
      <c r="L19" s="7">
        <f>IFERROR(B19/D19,0)</f>
        <v/>
      </c>
      <c r="M19" s="7">
        <f>IFERROR(ROUND(B19/E19,2),0)</f>
        <v/>
      </c>
      <c r="N19" s="6" t="inlineStr">
        <is>
          <t>Total</t>
        </is>
      </c>
      <c r="O19" s="7">
        <f>ROUND(136.82999999999998,2)</f>
        <v/>
      </c>
      <c r="P19" s="8">
        <f>ROUND(524524.0,2)</f>
        <v/>
      </c>
      <c r="Q19" s="8">
        <f>ROUND(9485.0,2)</f>
        <v/>
      </c>
      <c r="R19" s="8">
        <f>ROUND(0.0,2)</f>
        <v/>
      </c>
      <c r="S19" s="8">
        <f>ROUND(0.0,2)</f>
        <v/>
      </c>
      <c r="T19" s="8">
        <f>ROUND(0.0,2)</f>
        <v/>
      </c>
      <c r="U19" s="8">
        <f>ROUND(0.0,2)</f>
        <v/>
      </c>
      <c r="V19" s="8">
        <f>ROUND(0.0,2)</f>
        <v/>
      </c>
      <c r="W19" s="9">
        <f>IFERROR((Q19/P19),0)</f>
        <v/>
      </c>
      <c r="X19" s="9">
        <f>IFERROR(((0+O19)/T2),0)</f>
        <v/>
      </c>
      <c r="Y19" s="7">
        <f>IFERROR(O19/Q19,0)</f>
        <v/>
      </c>
      <c r="Z19" s="7">
        <f>IFERROR(ROUND(O19/R19,2),0)</f>
        <v/>
      </c>
      <c r="AA19" s="6" t="inlineStr">
        <is>
          <t>Total</t>
        </is>
      </c>
      <c r="AB19" s="7">
        <f>ROUND(136.03,2)</f>
        <v/>
      </c>
      <c r="AC19" s="8">
        <f>ROUND(520437.0,2)</f>
        <v/>
      </c>
      <c r="AD19" s="8">
        <f>ROUND(9303.0,2)</f>
        <v/>
      </c>
      <c r="AE19" s="8">
        <f>ROUND(0.0,2)</f>
        <v/>
      </c>
      <c r="AF19" s="8">
        <f>ROUND(0.0,2)</f>
        <v/>
      </c>
      <c r="AG19" s="8">
        <f>ROUND(0.0,2)</f>
        <v/>
      </c>
      <c r="AH19" s="8">
        <f>ROUND(0.0,2)</f>
        <v/>
      </c>
      <c r="AI19" s="8">
        <f>ROUND(0.0,2)</f>
        <v/>
      </c>
      <c r="AJ19" s="9">
        <f>IFERROR((AD19/AC19),0)</f>
        <v/>
      </c>
      <c r="AK19" s="9">
        <f>IFERROR(((0+AB19)/T2),0)</f>
        <v/>
      </c>
      <c r="AL19" s="7">
        <f>IFERROR(AB19/AD19,0)</f>
        <v/>
      </c>
      <c r="AM19" s="7">
        <f>IFERROR(ROUND(AB19/AE19,2),0)</f>
        <v/>
      </c>
      <c r="AN19" s="6" t="inlineStr">
        <is>
          <t>Total</t>
        </is>
      </c>
      <c r="AO19" s="7">
        <f>ROUND(135.43,2)</f>
        <v/>
      </c>
      <c r="AP19" s="8">
        <f>ROUND(452956.0,2)</f>
        <v/>
      </c>
      <c r="AQ19" s="8">
        <f>ROUND(9070.0,2)</f>
        <v/>
      </c>
      <c r="AR19" s="8">
        <f>ROUND(0.0,2)</f>
        <v/>
      </c>
      <c r="AS19" s="8">
        <f>ROUND(0.0,2)</f>
        <v/>
      </c>
      <c r="AT19" s="8">
        <f>ROUND(0.0,2)</f>
        <v/>
      </c>
      <c r="AU19" s="8">
        <f>ROUND(0.0,2)</f>
        <v/>
      </c>
      <c r="AV19" s="8">
        <f>ROUND(0.0,2)</f>
        <v/>
      </c>
      <c r="AW19" s="9">
        <f>IFERROR((AQ19/AP19),0)</f>
        <v/>
      </c>
      <c r="AX19" s="9">
        <f>IFERROR(((0+AO19)/T2),0)</f>
        <v/>
      </c>
      <c r="AY19" s="7">
        <f>IFERROR(AO19/AQ19,0)</f>
        <v/>
      </c>
      <c r="AZ19" s="7">
        <f>IFERROR(ROUND(AO19/AR19,2),0)</f>
        <v/>
      </c>
      <c r="BA19" s="6" t="inlineStr">
        <is>
          <t>Total</t>
        </is>
      </c>
      <c r="BB19" s="7">
        <f>ROUND(103.17,2)</f>
        <v/>
      </c>
      <c r="BC19" s="8">
        <f>ROUND(336309.0,2)</f>
        <v/>
      </c>
      <c r="BD19" s="8">
        <f>ROUND(6503.0,2)</f>
        <v/>
      </c>
      <c r="BE19" s="8">
        <f>ROUND(0.0,2)</f>
        <v/>
      </c>
      <c r="BF19" s="8">
        <f>ROUND(0.0,2)</f>
        <v/>
      </c>
      <c r="BG19" s="8">
        <f>ROUND(0.0,2)</f>
        <v/>
      </c>
      <c r="BH19" s="8">
        <f>ROUND(0.0,2)</f>
        <v/>
      </c>
      <c r="BI19" s="8">
        <f>ROUND(0.0,2)</f>
        <v/>
      </c>
      <c r="BJ19" s="9">
        <f>IFERROR((BD19/BC19),0)</f>
        <v/>
      </c>
      <c r="BK19" s="9">
        <f>IFERROR(((0+BB19)/T2),0)</f>
        <v/>
      </c>
      <c r="BL19" s="7">
        <f>IFERROR(BB19/BD19,0)</f>
        <v/>
      </c>
      <c r="BM19" s="7">
        <f>IFERROR(ROUND(BB19/BE19,2),0)</f>
        <v/>
      </c>
      <c r="BN19" s="6" t="inlineStr">
        <is>
          <t>Total</t>
        </is>
      </c>
      <c r="BO19" s="7">
        <f>ROUND(135.32999999999998,2)</f>
        <v/>
      </c>
      <c r="BP19" s="8">
        <f>ROUND(546350.0,2)</f>
        <v/>
      </c>
      <c r="BQ19" s="8">
        <f>ROUND(8418.0,2)</f>
        <v/>
      </c>
      <c r="BR19" s="8">
        <f>ROUND(0.0,2)</f>
        <v/>
      </c>
      <c r="BS19" s="8">
        <f>ROUND(0.0,2)</f>
        <v/>
      </c>
      <c r="BT19" s="8">
        <f>ROUND(0.0,2)</f>
        <v/>
      </c>
      <c r="BU19" s="8">
        <f>ROUND(0.0,2)</f>
        <v/>
      </c>
      <c r="BV19" s="8">
        <f>ROUND(0.0,2)</f>
        <v/>
      </c>
      <c r="BW19" s="9">
        <f>IFERROR((BQ19/BP19),0)</f>
        <v/>
      </c>
      <c r="BX19" s="9">
        <f>IFERROR(((0+BO19)/T2),0)</f>
        <v/>
      </c>
      <c r="BY19" s="7">
        <f>IFERROR(BO19/BQ19,0)</f>
        <v/>
      </c>
      <c r="BZ19" s="7">
        <f>IFERROR(ROUND(BO19/BR19,2),0)</f>
        <v/>
      </c>
      <c r="CA19" s="6" t="inlineStr">
        <is>
          <t>Total</t>
        </is>
      </c>
      <c r="CB19" s="7">
        <f>ROUND(341.86,2)</f>
        <v/>
      </c>
      <c r="CC19" s="8">
        <f>ROUND(885522.0,2)</f>
        <v/>
      </c>
      <c r="CD19" s="8">
        <f>ROUND(66770.0,2)</f>
        <v/>
      </c>
      <c r="CE19" s="8">
        <f>ROUND(153881.0,2)</f>
        <v/>
      </c>
      <c r="CF19" s="8">
        <f>ROUND(46044.0,2)</f>
        <v/>
      </c>
      <c r="CG19" s="8">
        <f>ROUND(26259.0,2)</f>
        <v/>
      </c>
      <c r="CH19" s="8">
        <f>ROUND(19017.0,2)</f>
        <v/>
      </c>
      <c r="CI19" s="8">
        <f>ROUND(11062.0,2)</f>
        <v/>
      </c>
      <c r="CJ19" s="9">
        <f>IFERROR((CD19/CC19),0)</f>
        <v/>
      </c>
      <c r="CK19" s="9">
        <f>IFERROR(((0+CB19)/T2),0)</f>
        <v/>
      </c>
      <c r="CL19" s="7">
        <f>IFERROR(CB19/CD19,0)</f>
        <v/>
      </c>
      <c r="CM19" s="7">
        <f>IFERROR(ROUND(CB19/CE19,2),0)</f>
        <v/>
      </c>
      <c r="CN19" s="6" t="inlineStr">
        <is>
          <t>Total</t>
        </is>
      </c>
      <c r="CO19" s="7">
        <f>ROUND(341.47,2)</f>
        <v/>
      </c>
      <c r="CP19" s="8">
        <f>ROUND(700164.0,2)</f>
        <v/>
      </c>
      <c r="CQ19" s="8">
        <f>ROUND(69676.0,2)</f>
        <v/>
      </c>
      <c r="CR19" s="8">
        <f>ROUND(102102.0,2)</f>
        <v/>
      </c>
      <c r="CS19" s="8">
        <f>ROUND(31718.0,2)</f>
        <v/>
      </c>
      <c r="CT19" s="8">
        <f>ROUND(17584.0,2)</f>
        <v/>
      </c>
      <c r="CU19" s="8">
        <f>ROUND(12766.0,2)</f>
        <v/>
      </c>
      <c r="CV19" s="8">
        <f>ROUND(6255.0,2)</f>
        <v/>
      </c>
      <c r="CW19" s="9">
        <f>IFERROR((CQ19/CP19),0)</f>
        <v/>
      </c>
      <c r="CX19" s="9">
        <f>IFERROR(((0+CO19)/T2),0)</f>
        <v/>
      </c>
      <c r="CY19" s="7">
        <f>IFERROR(CO19/CQ19,0)</f>
        <v/>
      </c>
      <c r="CZ19" s="7">
        <f>IFERROR(ROUND(CO19/CR19,2),0)</f>
        <v/>
      </c>
      <c r="DA19" s="6" t="inlineStr">
        <is>
          <t>Total</t>
        </is>
      </c>
      <c r="DB19" s="7">
        <f>ROUND(343.76,2)</f>
        <v/>
      </c>
      <c r="DC19" s="8">
        <f>ROUND(968629.0,2)</f>
        <v/>
      </c>
      <c r="DD19" s="8">
        <f>ROUND(61330.0,2)</f>
        <v/>
      </c>
      <c r="DE19" s="8">
        <f>ROUND(164923.0,2)</f>
        <v/>
      </c>
      <c r="DF19" s="8">
        <f>ROUND(52713.0,2)</f>
        <v/>
      </c>
      <c r="DG19" s="8">
        <f>ROUND(34122.0,2)</f>
        <v/>
      </c>
      <c r="DH19" s="8">
        <f>ROUND(29328.0,2)</f>
        <v/>
      </c>
      <c r="DI19" s="8">
        <f>ROUND(13437.0,2)</f>
        <v/>
      </c>
      <c r="DJ19" s="9">
        <f>IFERROR((DD19/DC19),0)</f>
        <v/>
      </c>
      <c r="DK19" s="9">
        <f>IFERROR(((0+DB19)/T2),0)</f>
        <v/>
      </c>
      <c r="DL19" s="7">
        <f>IFERROR(DB19/DD19,0)</f>
        <v/>
      </c>
      <c r="DM19" s="7">
        <f>IFERROR(ROUND(DB19/DE19,2),0)</f>
        <v/>
      </c>
      <c r="DN19" s="6" t="inlineStr">
        <is>
          <t>Total</t>
        </is>
      </c>
      <c r="DO19" s="7">
        <f>ROUND(341.1,2)</f>
        <v/>
      </c>
      <c r="DP19" s="8">
        <f>ROUND(887698.0,2)</f>
        <v/>
      </c>
      <c r="DQ19" s="8">
        <f>ROUND(67151.0,2)</f>
        <v/>
      </c>
      <c r="DR19" s="8">
        <f>ROUND(170352.0,2)</f>
        <v/>
      </c>
      <c r="DS19" s="8">
        <f>ROUND(51364.0,2)</f>
        <v/>
      </c>
      <c r="DT19" s="8">
        <f>ROUND(32897.0,2)</f>
        <v/>
      </c>
      <c r="DU19" s="8">
        <f>ROUND(26578.0,2)</f>
        <v/>
      </c>
      <c r="DV19" s="8">
        <f>ROUND(20858.0,2)</f>
        <v/>
      </c>
      <c r="DW19" s="9">
        <f>IFERROR((DQ19/DP19),0)</f>
        <v/>
      </c>
      <c r="DX19" s="9">
        <f>IFERROR(((0+DO19)/T2),0)</f>
        <v/>
      </c>
      <c r="DY19" s="7">
        <f>IFERROR(DO19/DQ19,0)</f>
        <v/>
      </c>
      <c r="DZ19" s="7">
        <f>IFERROR(ROUND(DO19/DR19,2),0)</f>
        <v/>
      </c>
      <c r="EA19" s="6" t="inlineStr">
        <is>
          <t>Total</t>
        </is>
      </c>
      <c r="EB19" s="7">
        <f>ROUND(3.68,2)</f>
        <v/>
      </c>
      <c r="EC19" s="8">
        <f>ROUND(11160.0,2)</f>
        <v/>
      </c>
      <c r="ED19" s="8">
        <f>ROUND(274.0,2)</f>
        <v/>
      </c>
      <c r="EE19" s="8">
        <f>ROUND(0.0,2)</f>
        <v/>
      </c>
      <c r="EF19" s="8">
        <f>ROUND(0.0,2)</f>
        <v/>
      </c>
      <c r="EG19" s="8">
        <f>ROUND(0.0,2)</f>
        <v/>
      </c>
      <c r="EH19" s="8">
        <f>ROUND(0.0,2)</f>
        <v/>
      </c>
      <c r="EI19" s="8">
        <f>ROUND(0.0,2)</f>
        <v/>
      </c>
      <c r="EJ19" s="9">
        <f>IFERROR((ED19/EC19),0)</f>
        <v/>
      </c>
      <c r="EK19" s="9">
        <f>IFERROR(((0+EB19)/T2),0)</f>
        <v/>
      </c>
      <c r="EL19" s="7">
        <f>IFERROR(EB19/ED19,0)</f>
        <v/>
      </c>
      <c r="EM19" s="7">
        <f>IFERROR(ROUND(EB19/EE19,2),0)</f>
        <v/>
      </c>
      <c r="EN19" s="6" t="inlineStr">
        <is>
          <t>Total</t>
        </is>
      </c>
      <c r="EO19" s="7">
        <f>ROUND(3.51,2)</f>
        <v/>
      </c>
      <c r="EP19" s="8">
        <f>ROUND(9337.0,2)</f>
        <v/>
      </c>
      <c r="EQ19" s="8">
        <f>ROUND(340.0,2)</f>
        <v/>
      </c>
      <c r="ER19" s="8">
        <f>ROUND(0.0,2)</f>
        <v/>
      </c>
      <c r="ES19" s="8">
        <f>ROUND(0.0,2)</f>
        <v/>
      </c>
      <c r="ET19" s="8">
        <f>ROUND(0.0,2)</f>
        <v/>
      </c>
      <c r="EU19" s="8">
        <f>ROUND(0.0,2)</f>
        <v/>
      </c>
      <c r="EV19" s="8">
        <f>ROUND(0.0,2)</f>
        <v/>
      </c>
      <c r="EW19" s="9">
        <f>IFERROR((EQ19/EP19),0)</f>
        <v/>
      </c>
      <c r="EX19" s="9">
        <f>IFERROR(((0+EO19)/T2),0)</f>
        <v/>
      </c>
      <c r="EY19" s="7">
        <f>IFERROR(EO19/EQ19,0)</f>
        <v/>
      </c>
      <c r="EZ19" s="7">
        <f>IFERROR(ROUND(EO19/ER19,2),0)</f>
        <v/>
      </c>
      <c r="FA19" s="6" t="inlineStr">
        <is>
          <t>Total</t>
        </is>
      </c>
      <c r="FB19" s="7">
        <f>ROUND(1.8,2)</f>
        <v/>
      </c>
      <c r="FC19" s="8">
        <f>ROUND(7230.0,2)</f>
        <v/>
      </c>
      <c r="FD19" s="8">
        <f>ROUND(123.0,2)</f>
        <v/>
      </c>
      <c r="FE19" s="8">
        <f>ROUND(0.0,2)</f>
        <v/>
      </c>
      <c r="FF19" s="8">
        <f>ROUND(0.0,2)</f>
        <v/>
      </c>
      <c r="FG19" s="8">
        <f>ROUND(0.0,2)</f>
        <v/>
      </c>
      <c r="FH19" s="8">
        <f>ROUND(0.0,2)</f>
        <v/>
      </c>
      <c r="FI19" s="8">
        <f>ROUND(0.0,2)</f>
        <v/>
      </c>
      <c r="FJ19" s="9">
        <f>IFERROR((FD19/FC19),0)</f>
        <v/>
      </c>
      <c r="FK19" s="9">
        <f>IFERROR(((0+FB19)/T2),0)</f>
        <v/>
      </c>
      <c r="FL19" s="7">
        <f>IFERROR(FB19/FD19,0)</f>
        <v/>
      </c>
      <c r="FM19" s="7">
        <f>IFERROR(ROUND(FB19/FE19,2),0)</f>
        <v/>
      </c>
      <c r="FN19" s="6" t="inlineStr">
        <is>
          <t>Total</t>
        </is>
      </c>
      <c r="FO19" s="7">
        <f>ROUND(0.44,2)</f>
        <v/>
      </c>
      <c r="FP19" s="8">
        <f>ROUND(1494.0,2)</f>
        <v/>
      </c>
      <c r="FQ19" s="8">
        <f>ROUND(26.0,2)</f>
        <v/>
      </c>
      <c r="FR19" s="8">
        <f>ROUND(0.0,2)</f>
        <v/>
      </c>
      <c r="FS19" s="8">
        <f>ROUND(0.0,2)</f>
        <v/>
      </c>
      <c r="FT19" s="8">
        <f>ROUND(0.0,2)</f>
        <v/>
      </c>
      <c r="FU19" s="8">
        <f>ROUND(0.0,2)</f>
        <v/>
      </c>
      <c r="FV19" s="8">
        <f>ROUND(0.0,2)</f>
        <v/>
      </c>
      <c r="FW19" s="9">
        <f>IFERROR((FQ19/FP19),0)</f>
        <v/>
      </c>
      <c r="FX19" s="9">
        <f>IFERROR(((0+FO19)/T2),0)</f>
        <v/>
      </c>
      <c r="FY19" s="7">
        <f>IFERROR(FO19/FQ19,0)</f>
        <v/>
      </c>
      <c r="FZ19" s="7">
        <f>IFERROR(ROUND(FO19/FR19,2),0)</f>
        <v/>
      </c>
      <c r="GA19" s="6" t="inlineStr">
        <is>
          <t>Total</t>
        </is>
      </c>
      <c r="GB19" s="7">
        <f>ROUND(3.56,2)</f>
        <v/>
      </c>
      <c r="GC19" s="8">
        <f>ROUND(11866.0,2)</f>
        <v/>
      </c>
      <c r="GD19" s="8">
        <f>ROUND(248.0,2)</f>
        <v/>
      </c>
      <c r="GE19" s="8">
        <f>ROUND(0.0,2)</f>
        <v/>
      </c>
      <c r="GF19" s="8">
        <f>ROUND(0.0,2)</f>
        <v/>
      </c>
      <c r="GG19" s="8">
        <f>ROUND(0.0,2)</f>
        <v/>
      </c>
      <c r="GH19" s="8">
        <f>ROUND(0.0,2)</f>
        <v/>
      </c>
      <c r="GI19" s="8">
        <f>ROUND(0.0,2)</f>
        <v/>
      </c>
      <c r="GJ19" s="9">
        <f>IFERROR((GD19/GC19),0)</f>
        <v/>
      </c>
      <c r="GK19" s="9">
        <f>IFERROR(((0+GB19)/T2),0)</f>
        <v/>
      </c>
      <c r="GL19" s="7">
        <f>IFERROR(GB19/GD19,0)</f>
        <v/>
      </c>
      <c r="GM19" s="7">
        <f>IFERROR(ROUND(GB19/GE19,2),0)</f>
        <v/>
      </c>
    </row>
  </sheetData>
  <mergeCells count="14">
    <mergeCell ref="AA5:AM5"/>
    <mergeCell ref="N5:Z5"/>
    <mergeCell ref="BA5:BM5"/>
    <mergeCell ref="CA5:CM5"/>
    <mergeCell ref="AN5:AZ5"/>
    <mergeCell ref="BN5:BZ5"/>
    <mergeCell ref="GA5:GM5"/>
    <mergeCell ref="DA5:DM5"/>
    <mergeCell ref="CN5:CZ5"/>
    <mergeCell ref="FA5:FM5"/>
    <mergeCell ref="EN5:EZ5"/>
    <mergeCell ref="EA5:EM5"/>
    <mergeCell ref="DN5:DZ5"/>
    <mergeCell ref="FN5:FZ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Z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ROUND(146.48,2)</f>
        <v/>
      </c>
      <c r="C2" s="3">
        <f>ROUND(466619.0,2)</f>
        <v/>
      </c>
      <c r="D2" s="3">
        <f>ROUND(1005.0,2)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ROUND(105.3,2)</f>
        <v/>
      </c>
      <c r="C3" s="3">
        <f>ROUND(342622.0,2)</f>
        <v/>
      </c>
      <c r="D3" s="3">
        <f>ROUND(791.0,2)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6" t="inlineStr">
        <is>
          <t>Total</t>
        </is>
      </c>
      <c r="B4" s="7">
        <f>ROUND(251.77999999999997,2)</f>
        <v/>
      </c>
      <c r="C4" s="8">
        <f>ROUND(809241.0,2)</f>
        <v/>
      </c>
      <c r="D4" s="8">
        <f>ROUND(1796.0,2)</f>
        <v/>
      </c>
      <c r="E4" s="8">
        <f>ROUND(0.0,2)</f>
        <v/>
      </c>
      <c r="F4" s="8">
        <f>ROUND(0.0,2)</f>
        <v/>
      </c>
      <c r="G4" s="8">
        <f>ROUND(0.0,2)</f>
        <v/>
      </c>
      <c r="H4" s="8">
        <f>ROUND(0.0,2)</f>
        <v/>
      </c>
      <c r="I4" s="8">
        <f>ROUND(0.0,2)</f>
        <v/>
      </c>
      <c r="J4" s="9">
        <f>IFERROR((D4/C4),0)</f>
        <v/>
      </c>
      <c r="K4" s="9">
        <f>IFERROR(((0+B4)/T2),0)</f>
        <v/>
      </c>
      <c r="L4" s="7">
        <f>IFERROR(B4/D4,0)</f>
        <v/>
      </c>
      <c r="M4" s="7">
        <f>IFERROR(ROUND(B4/E4,2),0)</f>
        <v/>
      </c>
      <c r="N4" s="1" t="inlineStr">
        <is>
          <t>Carousel</t>
        </is>
      </c>
      <c r="AA4" s="1" t="inlineStr">
        <is>
          <t>Carousel</t>
        </is>
      </c>
      <c r="AN4" s="1" t="inlineStr">
        <is>
          <t>Carousel</t>
        </is>
      </c>
      <c r="BA4" s="1" t="inlineStr">
        <is>
          <t>Carousel</t>
        </is>
      </c>
      <c r="BN4" s="1" t="inlineStr">
        <is>
          <t>Carousel</t>
        </is>
      </c>
    </row>
    <row r="5">
      <c r="N5" s="1" t="inlineStr">
        <is>
          <t>Oled</t>
        </is>
      </c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1" t="n"/>
      <c r="AA5" s="1" t="inlineStr">
        <is>
          <t>Ref_ThinQ</t>
        </is>
      </c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1" t="n"/>
      <c r="AN5" s="1" t="inlineStr">
        <is>
          <t>DW</t>
        </is>
      </c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1" t="n"/>
      <c r="BA5" s="1" t="inlineStr">
        <is>
          <t>WM</t>
        </is>
      </c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 t="n"/>
      <c r="BK5" s="10" t="n"/>
      <c r="BL5" s="10" t="n"/>
      <c r="BM5" s="11" t="n"/>
      <c r="BN5" s="1" t="inlineStr">
        <is>
          <t>Ref_Knock</t>
        </is>
      </c>
      <c r="BO5" s="10" t="n"/>
      <c r="BP5" s="10" t="n"/>
      <c r="BQ5" s="10" t="n"/>
      <c r="BR5" s="10" t="n"/>
      <c r="BS5" s="10" t="n"/>
      <c r="BT5" s="10" t="n"/>
      <c r="BU5" s="10" t="n"/>
      <c r="BV5" s="10" t="n"/>
      <c r="BW5" s="10" t="n"/>
      <c r="BX5" s="10" t="n"/>
      <c r="BY5" s="10" t="n"/>
      <c r="BZ5" s="11" t="n"/>
    </row>
    <row r="6">
      <c r="A6" s="1" t="inlineStr">
        <is>
          <t>date</t>
        </is>
      </c>
      <c r="B6" s="1" t="inlineStr">
        <is>
          <t>budget</t>
        </is>
      </c>
      <c r="C6" s="1" t="inlineStr">
        <is>
          <t>impressions</t>
        </is>
      </c>
      <c r="D6" s="1" t="inlineStr">
        <is>
          <t>clicks</t>
        </is>
      </c>
      <c r="E6" s="1" t="inlineStr">
        <is>
          <t>view</t>
        </is>
      </c>
      <c r="F6" s="1" t="inlineStr">
        <is>
          <t>percent_25</t>
        </is>
      </c>
      <c r="G6" s="1" t="inlineStr">
        <is>
          <t>percent_50</t>
        </is>
      </c>
      <c r="H6" s="1" t="inlineStr">
        <is>
          <t>percent_75</t>
        </is>
      </c>
      <c r="I6" s="1" t="inlineStr">
        <is>
          <t>percent_100</t>
        </is>
      </c>
      <c r="J6" s="1" t="inlineStr">
        <is>
          <t>CTR</t>
        </is>
      </c>
      <c r="K6" s="1" t="inlineStr">
        <is>
          <t>Spent Budget %</t>
        </is>
      </c>
      <c r="L6" s="1" t="inlineStr">
        <is>
          <t>CPC</t>
        </is>
      </c>
      <c r="M6" s="1" t="inlineStr">
        <is>
          <t>CPV</t>
        </is>
      </c>
      <c r="N6" s="1" t="inlineStr">
        <is>
          <t>date</t>
        </is>
      </c>
      <c r="O6" s="1" t="inlineStr">
        <is>
          <t>budget</t>
        </is>
      </c>
      <c r="P6" s="1" t="inlineStr">
        <is>
          <t>impressions</t>
        </is>
      </c>
      <c r="Q6" s="1" t="inlineStr">
        <is>
          <t>clicks</t>
        </is>
      </c>
      <c r="R6" s="1" t="inlineStr">
        <is>
          <t>view</t>
        </is>
      </c>
      <c r="S6" s="1" t="inlineStr">
        <is>
          <t>percent_25</t>
        </is>
      </c>
      <c r="T6" s="1" t="inlineStr">
        <is>
          <t>percent_50</t>
        </is>
      </c>
      <c r="U6" s="1" t="inlineStr">
        <is>
          <t>percent_75</t>
        </is>
      </c>
      <c r="V6" s="1" t="inlineStr">
        <is>
          <t>percent_100</t>
        </is>
      </c>
      <c r="W6" s="1" t="inlineStr">
        <is>
          <t>CTR</t>
        </is>
      </c>
      <c r="X6" s="1" t="inlineStr">
        <is>
          <t>Spent Budget %</t>
        </is>
      </c>
      <c r="Y6" s="1" t="inlineStr">
        <is>
          <t>CPC</t>
        </is>
      </c>
      <c r="Z6" s="1" t="inlineStr">
        <is>
          <t>CPV</t>
        </is>
      </c>
      <c r="AA6" s="1" t="inlineStr">
        <is>
          <t>date</t>
        </is>
      </c>
      <c r="AB6" s="1" t="inlineStr">
        <is>
          <t>budget</t>
        </is>
      </c>
      <c r="AC6" s="1" t="inlineStr">
        <is>
          <t>impressions</t>
        </is>
      </c>
      <c r="AD6" s="1" t="inlineStr">
        <is>
          <t>clicks</t>
        </is>
      </c>
      <c r="AE6" s="1" t="inlineStr">
        <is>
          <t>view</t>
        </is>
      </c>
      <c r="AF6" s="1" t="inlineStr">
        <is>
          <t>percent_25</t>
        </is>
      </c>
      <c r="AG6" s="1" t="inlineStr">
        <is>
          <t>percent_50</t>
        </is>
      </c>
      <c r="AH6" s="1" t="inlineStr">
        <is>
          <t>percent_75</t>
        </is>
      </c>
      <c r="AI6" s="1" t="inlineStr">
        <is>
          <t>percent_100</t>
        </is>
      </c>
      <c r="AJ6" s="1" t="inlineStr">
        <is>
          <t>CTR</t>
        </is>
      </c>
      <c r="AK6" s="1" t="inlineStr">
        <is>
          <t>Spent Budget %</t>
        </is>
      </c>
      <c r="AL6" s="1" t="inlineStr">
        <is>
          <t>CPC</t>
        </is>
      </c>
      <c r="AM6" s="1" t="inlineStr">
        <is>
          <t>CPV</t>
        </is>
      </c>
      <c r="AN6" s="1" t="inlineStr">
        <is>
          <t>date</t>
        </is>
      </c>
      <c r="AO6" s="1" t="inlineStr">
        <is>
          <t>budget</t>
        </is>
      </c>
      <c r="AP6" s="1" t="inlineStr">
        <is>
          <t>impressions</t>
        </is>
      </c>
      <c r="AQ6" s="1" t="inlineStr">
        <is>
          <t>clicks</t>
        </is>
      </c>
      <c r="AR6" s="1" t="inlineStr">
        <is>
          <t>view</t>
        </is>
      </c>
      <c r="AS6" s="1" t="inlineStr">
        <is>
          <t>percent_25</t>
        </is>
      </c>
      <c r="AT6" s="1" t="inlineStr">
        <is>
          <t>percent_50</t>
        </is>
      </c>
      <c r="AU6" s="1" t="inlineStr">
        <is>
          <t>percent_75</t>
        </is>
      </c>
      <c r="AV6" s="1" t="inlineStr">
        <is>
          <t>percent_100</t>
        </is>
      </c>
      <c r="AW6" s="1" t="inlineStr">
        <is>
          <t>CTR</t>
        </is>
      </c>
      <c r="AX6" s="1" t="inlineStr">
        <is>
          <t>Spent Budget %</t>
        </is>
      </c>
      <c r="AY6" s="1" t="inlineStr">
        <is>
          <t>CPC</t>
        </is>
      </c>
      <c r="AZ6" s="1" t="inlineStr">
        <is>
          <t>CPV</t>
        </is>
      </c>
      <c r="BA6" s="1" t="inlineStr">
        <is>
          <t>date</t>
        </is>
      </c>
      <c r="BB6" s="1" t="inlineStr">
        <is>
          <t>budget</t>
        </is>
      </c>
      <c r="BC6" s="1" t="inlineStr">
        <is>
          <t>impressions</t>
        </is>
      </c>
      <c r="BD6" s="1" t="inlineStr">
        <is>
          <t>clicks</t>
        </is>
      </c>
      <c r="BE6" s="1" t="inlineStr">
        <is>
          <t>view</t>
        </is>
      </c>
      <c r="BF6" s="1" t="inlineStr">
        <is>
          <t>percent_25</t>
        </is>
      </c>
      <c r="BG6" s="1" t="inlineStr">
        <is>
          <t>percent_50</t>
        </is>
      </c>
      <c r="BH6" s="1" t="inlineStr">
        <is>
          <t>percent_75</t>
        </is>
      </c>
      <c r="BI6" s="1" t="inlineStr">
        <is>
          <t>percent_100</t>
        </is>
      </c>
      <c r="BJ6" s="1" t="inlineStr">
        <is>
          <t>CTR</t>
        </is>
      </c>
      <c r="BK6" s="1" t="inlineStr">
        <is>
          <t>Spent Budget %</t>
        </is>
      </c>
      <c r="BL6" s="1" t="inlineStr">
        <is>
          <t>CPC</t>
        </is>
      </c>
      <c r="BM6" s="1" t="inlineStr">
        <is>
          <t>CPV</t>
        </is>
      </c>
      <c r="BN6" s="1" t="inlineStr">
        <is>
          <t>date</t>
        </is>
      </c>
      <c r="BO6" s="1" t="inlineStr">
        <is>
          <t>budget</t>
        </is>
      </c>
      <c r="BP6" s="1" t="inlineStr">
        <is>
          <t>impressions</t>
        </is>
      </c>
      <c r="BQ6" s="1" t="inlineStr">
        <is>
          <t>clicks</t>
        </is>
      </c>
      <c r="BR6" s="1" t="inlineStr">
        <is>
          <t>view</t>
        </is>
      </c>
      <c r="BS6" s="1" t="inlineStr">
        <is>
          <t>percent_25</t>
        </is>
      </c>
      <c r="BT6" s="1" t="inlineStr">
        <is>
          <t>percent_50</t>
        </is>
      </c>
      <c r="BU6" s="1" t="inlineStr">
        <is>
          <t>percent_75</t>
        </is>
      </c>
      <c r="BV6" s="1" t="inlineStr">
        <is>
          <t>percent_100</t>
        </is>
      </c>
      <c r="BW6" s="1" t="inlineStr">
        <is>
          <t>CTR</t>
        </is>
      </c>
      <c r="BX6" s="1" t="inlineStr">
        <is>
          <t>Spent Budget %</t>
        </is>
      </c>
      <c r="BY6" s="1" t="inlineStr">
        <is>
          <t>CPC</t>
        </is>
      </c>
      <c r="BZ6" s="1" t="inlineStr">
        <is>
          <t>CPV</t>
        </is>
      </c>
    </row>
    <row r="7">
      <c r="A7" s="2" t="inlineStr">
        <is>
          <t>2023-10-23</t>
        </is>
      </c>
      <c r="B7" s="5">
        <f>ROUND(0.0,2)</f>
        <v/>
      </c>
      <c r="C7" s="3">
        <f>ROUND(0.0,2)</f>
        <v/>
      </c>
      <c r="D7" s="3">
        <f>ROUND(0.0,2)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IFERROR(((0+B7)/T2),0)</f>
        <v/>
      </c>
      <c r="L7" s="5">
        <f>IFERROR(ROUND(B7/D7,2),0)</f>
        <v/>
      </c>
      <c r="M7" s="5">
        <f>IFERROR(ROUND(B7/E7,2),0)</f>
        <v/>
      </c>
      <c r="N7" s="2" t="inlineStr">
        <is>
          <t>2023-10-23</t>
        </is>
      </c>
      <c r="O7" s="5">
        <f>ROUND(0.0,2)</f>
        <v/>
      </c>
      <c r="P7" s="3">
        <f>ROUND(0.0,2)</f>
        <v/>
      </c>
      <c r="Q7" s="3">
        <f>ROUND(0.0,2)</f>
        <v/>
      </c>
      <c r="R7" s="3">
        <f>ROUND(0.0,2)</f>
        <v/>
      </c>
      <c r="S7" s="3">
        <f>ROUND(0.0,2)</f>
        <v/>
      </c>
      <c r="T7" s="3">
        <f>ROUND(0.0,2)</f>
        <v/>
      </c>
      <c r="U7" s="3">
        <f>ROUND(0.0,2)</f>
        <v/>
      </c>
      <c r="V7" s="3">
        <f>ROUND(0.0,2)</f>
        <v/>
      </c>
      <c r="W7" s="4">
        <f>IFERROR((Q7/P7),0)</f>
        <v/>
      </c>
      <c r="X7" s="4">
        <f>IFERROR(((0+O7)/T2),0)</f>
        <v/>
      </c>
      <c r="Y7" s="5">
        <f>IFERROR(ROUND(O7/Q7,2),0)</f>
        <v/>
      </c>
      <c r="Z7" s="5">
        <f>IFERROR(ROUND(O7/R7,2),0)</f>
        <v/>
      </c>
      <c r="AA7" s="2" t="inlineStr">
        <is>
          <t>2023-10-23</t>
        </is>
      </c>
      <c r="AB7" s="5">
        <f>ROUND(0.0,2)</f>
        <v/>
      </c>
      <c r="AC7" s="3">
        <f>ROUND(0.0,2)</f>
        <v/>
      </c>
      <c r="AD7" s="3">
        <f>ROUND(0.0,2)</f>
        <v/>
      </c>
      <c r="AE7" s="3">
        <f>ROUND(0.0,2)</f>
        <v/>
      </c>
      <c r="AF7" s="3">
        <f>ROUND(0.0,2)</f>
        <v/>
      </c>
      <c r="AG7" s="3">
        <f>ROUND(0.0,2)</f>
        <v/>
      </c>
      <c r="AH7" s="3">
        <f>ROUND(0.0,2)</f>
        <v/>
      </c>
      <c r="AI7" s="3">
        <f>ROUND(0.0,2)</f>
        <v/>
      </c>
      <c r="AJ7" s="4">
        <f>IFERROR((AD7/AC7),0)</f>
        <v/>
      </c>
      <c r="AK7" s="4">
        <f>IFERROR(((0+AB7)/T2),0)</f>
        <v/>
      </c>
      <c r="AL7" s="5">
        <f>IFERROR(ROUND(AB7/AD7,2),0)</f>
        <v/>
      </c>
      <c r="AM7" s="5">
        <f>IFERROR(ROUND(AB7/AE7,2),0)</f>
        <v/>
      </c>
      <c r="AN7" s="2" t="inlineStr">
        <is>
          <t>2023-10-23</t>
        </is>
      </c>
      <c r="AO7" s="5">
        <f>ROUND(0.0,2)</f>
        <v/>
      </c>
      <c r="AP7" s="3">
        <f>ROUND(0.0,2)</f>
        <v/>
      </c>
      <c r="AQ7" s="3">
        <f>ROUND(0.0,2)</f>
        <v/>
      </c>
      <c r="AR7" s="3">
        <f>ROUND(0.0,2)</f>
        <v/>
      </c>
      <c r="AS7" s="3">
        <f>ROUND(0.0,2)</f>
        <v/>
      </c>
      <c r="AT7" s="3">
        <f>ROUND(0.0,2)</f>
        <v/>
      </c>
      <c r="AU7" s="3">
        <f>ROUND(0.0,2)</f>
        <v/>
      </c>
      <c r="AV7" s="3">
        <f>ROUND(0.0,2)</f>
        <v/>
      </c>
      <c r="AW7" s="4">
        <f>IFERROR((AQ7/AP7),0)</f>
        <v/>
      </c>
      <c r="AX7" s="4">
        <f>IFERROR(((0+AO7)/T2),0)</f>
        <v/>
      </c>
      <c r="AY7" s="5">
        <f>IFERROR(ROUND(AO7/AQ7,2),0)</f>
        <v/>
      </c>
      <c r="AZ7" s="5">
        <f>IFERROR(ROUND(AO7/AR7,2),0)</f>
        <v/>
      </c>
      <c r="BA7" s="2" t="inlineStr">
        <is>
          <t>2023-10-23</t>
        </is>
      </c>
      <c r="BB7" s="5">
        <f>ROUND(0.0,2)</f>
        <v/>
      </c>
      <c r="BC7" s="3">
        <f>ROUND(0.0,2)</f>
        <v/>
      </c>
      <c r="BD7" s="3">
        <f>ROUND(0.0,2)</f>
        <v/>
      </c>
      <c r="BE7" s="3">
        <f>ROUND(0.0,2)</f>
        <v/>
      </c>
      <c r="BF7" s="3">
        <f>ROUND(0.0,2)</f>
        <v/>
      </c>
      <c r="BG7" s="3">
        <f>ROUND(0.0,2)</f>
        <v/>
      </c>
      <c r="BH7" s="3">
        <f>ROUND(0.0,2)</f>
        <v/>
      </c>
      <c r="BI7" s="3">
        <f>ROUND(0.0,2)</f>
        <v/>
      </c>
      <c r="BJ7" s="4">
        <f>IFERROR((BD7/BC7),0)</f>
        <v/>
      </c>
      <c r="BK7" s="4">
        <f>IFERROR(((0+BB7)/T2),0)</f>
        <v/>
      </c>
      <c r="BL7" s="5">
        <f>IFERROR(ROUND(BB7/BD7,2),0)</f>
        <v/>
      </c>
      <c r="BM7" s="5">
        <f>IFERROR(ROUND(BB7/BE7,2),0)</f>
        <v/>
      </c>
      <c r="BN7" s="2" t="inlineStr">
        <is>
          <t>2023-10-23</t>
        </is>
      </c>
      <c r="BO7" s="5">
        <f>ROUND(0.0,2)</f>
        <v/>
      </c>
      <c r="BP7" s="3">
        <f>ROUND(0.0,2)</f>
        <v/>
      </c>
      <c r="BQ7" s="3">
        <f>ROUND(0.0,2)</f>
        <v/>
      </c>
      <c r="BR7" s="3">
        <f>ROUND(0.0,2)</f>
        <v/>
      </c>
      <c r="BS7" s="3">
        <f>ROUND(0.0,2)</f>
        <v/>
      </c>
      <c r="BT7" s="3">
        <f>ROUND(0.0,2)</f>
        <v/>
      </c>
      <c r="BU7" s="3">
        <f>ROUND(0.0,2)</f>
        <v/>
      </c>
      <c r="BV7" s="3">
        <f>ROUND(0.0,2)</f>
        <v/>
      </c>
      <c r="BW7" s="4">
        <f>IFERROR((BQ7/BP7),0)</f>
        <v/>
      </c>
      <c r="BX7" s="4">
        <f>IFERROR(((0+BO7)/T2),0)</f>
        <v/>
      </c>
      <c r="BY7" s="5">
        <f>IFERROR(ROUND(BO7/BQ7,2),0)</f>
        <v/>
      </c>
      <c r="BZ7" s="5">
        <f>IFERROR(ROUND(BO7/BR7,2),0)</f>
        <v/>
      </c>
    </row>
    <row r="8">
      <c r="A8" s="2" t="inlineStr">
        <is>
          <t>2023-10-24</t>
        </is>
      </c>
      <c r="B8" s="5">
        <f>ROUND(9.530000000000001,2)</f>
        <v/>
      </c>
      <c r="C8" s="3">
        <f>ROUND(39113.0,2)</f>
        <v/>
      </c>
      <c r="D8" s="3">
        <f>ROUND(62.0,2)</f>
        <v/>
      </c>
      <c r="E8" s="3">
        <f>ROUND(0.0,2)</f>
        <v/>
      </c>
      <c r="F8" s="3">
        <f>ROUND(0.0,2)</f>
        <v/>
      </c>
      <c r="G8" s="3">
        <f>ROUND(0.0,2)</f>
        <v/>
      </c>
      <c r="H8" s="3">
        <f>ROUND(0.0,2)</f>
        <v/>
      </c>
      <c r="I8" s="3">
        <f>ROUND(0.0,2)</f>
        <v/>
      </c>
      <c r="J8" s="4">
        <f>IFERROR((D8/C8),0)</f>
        <v/>
      </c>
      <c r="K8" s="4">
        <f>IFERROR(((0+B7+B8)/T2),0)</f>
        <v/>
      </c>
      <c r="L8" s="5">
        <f>IFERROR(ROUND(B8/D8,2),0)</f>
        <v/>
      </c>
      <c r="M8" s="5">
        <f>IFERROR(ROUND(B8/E8,2),0)</f>
        <v/>
      </c>
      <c r="N8" s="2" t="inlineStr">
        <is>
          <t>2023-10-24</t>
        </is>
      </c>
      <c r="O8" s="5">
        <f>ROUND(1.85,2)</f>
        <v/>
      </c>
      <c r="P8" s="3">
        <f>ROUND(6268.0,2)</f>
        <v/>
      </c>
      <c r="Q8" s="3">
        <f>ROUND(8.0,2)</f>
        <v/>
      </c>
      <c r="R8" s="3">
        <f>ROUND(0.0,2)</f>
        <v/>
      </c>
      <c r="S8" s="3">
        <f>ROUND(0.0,2)</f>
        <v/>
      </c>
      <c r="T8" s="3">
        <f>ROUND(0.0,2)</f>
        <v/>
      </c>
      <c r="U8" s="3">
        <f>ROUND(0.0,2)</f>
        <v/>
      </c>
      <c r="V8" s="3">
        <f>ROUND(0.0,2)</f>
        <v/>
      </c>
      <c r="W8" s="4">
        <f>IFERROR((Q8/P8),0)</f>
        <v/>
      </c>
      <c r="X8" s="4">
        <f>IFERROR(((0+O7+O8)/T2),0)</f>
        <v/>
      </c>
      <c r="Y8" s="5">
        <f>IFERROR(ROUND(O8/Q8,2),0)</f>
        <v/>
      </c>
      <c r="Z8" s="5">
        <f>IFERROR(ROUND(O8/R8,2),0)</f>
        <v/>
      </c>
      <c r="AA8" s="2" t="inlineStr">
        <is>
          <t>2023-10-24</t>
        </is>
      </c>
      <c r="AB8" s="5">
        <f>ROUND(1.98,2)</f>
        <v/>
      </c>
      <c r="AC8" s="3">
        <f>ROUND(6945.0,2)</f>
        <v/>
      </c>
      <c r="AD8" s="3">
        <f>ROUND(12.0,2)</f>
        <v/>
      </c>
      <c r="AE8" s="3">
        <f>ROUND(0.0,2)</f>
        <v/>
      </c>
      <c r="AF8" s="3">
        <f>ROUND(0.0,2)</f>
        <v/>
      </c>
      <c r="AG8" s="3">
        <f>ROUND(0.0,2)</f>
        <v/>
      </c>
      <c r="AH8" s="3">
        <f>ROUND(0.0,2)</f>
        <v/>
      </c>
      <c r="AI8" s="3">
        <f>ROUND(0.0,2)</f>
        <v/>
      </c>
      <c r="AJ8" s="4">
        <f>IFERROR((AD8/AC8),0)</f>
        <v/>
      </c>
      <c r="AK8" s="4">
        <f>IFERROR(((0+AB7+AB8)/T2),0)</f>
        <v/>
      </c>
      <c r="AL8" s="5">
        <f>IFERROR(ROUND(AB8/AD8,2),0)</f>
        <v/>
      </c>
      <c r="AM8" s="5">
        <f>IFERROR(ROUND(AB8/AE8,2),0)</f>
        <v/>
      </c>
      <c r="AN8" s="2" t="inlineStr">
        <is>
          <t>2023-10-24</t>
        </is>
      </c>
      <c r="AO8" s="5">
        <f>ROUND(1.9700000000000002,2)</f>
        <v/>
      </c>
      <c r="AP8" s="3">
        <f>ROUND(11547.0,2)</f>
        <v/>
      </c>
      <c r="AQ8" s="3">
        <f>ROUND(21.0,2)</f>
        <v/>
      </c>
      <c r="AR8" s="3">
        <f>ROUND(0.0,2)</f>
        <v/>
      </c>
      <c r="AS8" s="3">
        <f>ROUND(0.0,2)</f>
        <v/>
      </c>
      <c r="AT8" s="3">
        <f>ROUND(0.0,2)</f>
        <v/>
      </c>
      <c r="AU8" s="3">
        <f>ROUND(0.0,2)</f>
        <v/>
      </c>
      <c r="AV8" s="3">
        <f>ROUND(0.0,2)</f>
        <v/>
      </c>
      <c r="AW8" s="4">
        <f>IFERROR((AQ8/AP8),0)</f>
        <v/>
      </c>
      <c r="AX8" s="4">
        <f>IFERROR(((0+AO7+AO8)/T2),0)</f>
        <v/>
      </c>
      <c r="AY8" s="5">
        <f>IFERROR(ROUND(AO8/AQ8,2),0)</f>
        <v/>
      </c>
      <c r="AZ8" s="5">
        <f>IFERROR(ROUND(AO8/AR8,2),0)</f>
        <v/>
      </c>
      <c r="BA8" s="2" t="inlineStr">
        <is>
          <t>2023-10-24</t>
        </is>
      </c>
      <c r="BB8" s="5">
        <f>ROUND(1.79,2)</f>
        <v/>
      </c>
      <c r="BC8" s="3">
        <f>ROUND(7292.0,2)</f>
        <v/>
      </c>
      <c r="BD8" s="3">
        <f>ROUND(11.0,2)</f>
        <v/>
      </c>
      <c r="BE8" s="3">
        <f>ROUND(0.0,2)</f>
        <v/>
      </c>
      <c r="BF8" s="3">
        <f>ROUND(0.0,2)</f>
        <v/>
      </c>
      <c r="BG8" s="3">
        <f>ROUND(0.0,2)</f>
        <v/>
      </c>
      <c r="BH8" s="3">
        <f>ROUND(0.0,2)</f>
        <v/>
      </c>
      <c r="BI8" s="3">
        <f>ROUND(0.0,2)</f>
        <v/>
      </c>
      <c r="BJ8" s="4">
        <f>IFERROR((BD8/BC8),0)</f>
        <v/>
      </c>
      <c r="BK8" s="4">
        <f>IFERROR(((0+BB7+BB8)/T2),0)</f>
        <v/>
      </c>
      <c r="BL8" s="5">
        <f>IFERROR(ROUND(BB8/BD8,2),0)</f>
        <v/>
      </c>
      <c r="BM8" s="5">
        <f>IFERROR(ROUND(BB8/BE8,2),0)</f>
        <v/>
      </c>
      <c r="BN8" s="2" t="inlineStr">
        <is>
          <t>2023-10-24</t>
        </is>
      </c>
      <c r="BO8" s="5">
        <f>ROUND(1.94,2)</f>
        <v/>
      </c>
      <c r="BP8" s="3">
        <f>ROUND(7061.0,2)</f>
        <v/>
      </c>
      <c r="BQ8" s="3">
        <f>ROUND(10.0,2)</f>
        <v/>
      </c>
      <c r="BR8" s="3">
        <f>ROUND(0.0,2)</f>
        <v/>
      </c>
      <c r="BS8" s="3">
        <f>ROUND(0.0,2)</f>
        <v/>
      </c>
      <c r="BT8" s="3">
        <f>ROUND(0.0,2)</f>
        <v/>
      </c>
      <c r="BU8" s="3">
        <f>ROUND(0.0,2)</f>
        <v/>
      </c>
      <c r="BV8" s="3">
        <f>ROUND(0.0,2)</f>
        <v/>
      </c>
      <c r="BW8" s="4">
        <f>IFERROR((BQ8/BP8),0)</f>
        <v/>
      </c>
      <c r="BX8" s="4">
        <f>IFERROR(((0+BO7+BO8)/T2),0)</f>
        <v/>
      </c>
      <c r="BY8" s="5">
        <f>IFERROR(ROUND(BO8/BQ8,2),0)</f>
        <v/>
      </c>
      <c r="BZ8" s="5">
        <f>IFERROR(ROUND(BO8/BR8,2),0)</f>
        <v/>
      </c>
    </row>
    <row r="9">
      <c r="A9" s="2" t="inlineStr">
        <is>
          <t>2023-10-25</t>
        </is>
      </c>
      <c r="B9" s="5">
        <f>ROUND(30.20003968,2)</f>
        <v/>
      </c>
      <c r="C9" s="3">
        <f>ROUND(93133.0,2)</f>
        <v/>
      </c>
      <c r="D9" s="3">
        <f>ROUND(206.0,2)</f>
        <v/>
      </c>
      <c r="E9" s="3">
        <f>ROUND(0.0,2)</f>
        <v/>
      </c>
      <c r="F9" s="3">
        <f>ROUND(0.0,2)</f>
        <v/>
      </c>
      <c r="G9" s="3">
        <f>ROUND(0.0,2)</f>
        <v/>
      </c>
      <c r="H9" s="3">
        <f>ROUND(0.0,2)</f>
        <v/>
      </c>
      <c r="I9" s="3">
        <f>ROUND(0.0,2)</f>
        <v/>
      </c>
      <c r="J9" s="4">
        <f>IFERROR((D9/C9),0)</f>
        <v/>
      </c>
      <c r="K9" s="4">
        <f>IFERROR(((0+B7+B8+B9)/T2),0)</f>
        <v/>
      </c>
      <c r="L9" s="5">
        <f>IFERROR(ROUND(B9/D9,2),0)</f>
        <v/>
      </c>
      <c r="M9" s="5">
        <f>IFERROR(ROUND(B9/E9,2),0)</f>
        <v/>
      </c>
      <c r="N9" s="2" t="inlineStr">
        <is>
          <t>2023-10-25</t>
        </is>
      </c>
      <c r="O9" s="5">
        <f>ROUND(6.28003968,2)</f>
        <v/>
      </c>
      <c r="P9" s="3">
        <f>ROUND(16910.0,2)</f>
        <v/>
      </c>
      <c r="Q9" s="3">
        <f>ROUND(52.0,2)</f>
        <v/>
      </c>
      <c r="R9" s="3">
        <f>ROUND(0.0,2)</f>
        <v/>
      </c>
      <c r="S9" s="3">
        <f>ROUND(0.0,2)</f>
        <v/>
      </c>
      <c r="T9" s="3">
        <f>ROUND(0.0,2)</f>
        <v/>
      </c>
      <c r="U9" s="3">
        <f>ROUND(0.0,2)</f>
        <v/>
      </c>
      <c r="V9" s="3">
        <f>ROUND(0.0,2)</f>
        <v/>
      </c>
      <c r="W9" s="4">
        <f>IFERROR((Q9/P9),0)</f>
        <v/>
      </c>
      <c r="X9" s="4">
        <f>IFERROR(((0+O7+O8+O9)/T2),0)</f>
        <v/>
      </c>
      <c r="Y9" s="5">
        <f>IFERROR(ROUND(O9/Q9,2),0)</f>
        <v/>
      </c>
      <c r="Z9" s="5">
        <f>IFERROR(ROUND(O9/R9,2),0)</f>
        <v/>
      </c>
      <c r="AA9" s="2" t="inlineStr">
        <is>
          <t>2023-10-25</t>
        </is>
      </c>
      <c r="AB9" s="5">
        <f>ROUND(5.57,2)</f>
        <v/>
      </c>
      <c r="AC9" s="3">
        <f>ROUND(13239.0,2)</f>
        <v/>
      </c>
      <c r="AD9" s="3">
        <f>ROUND(25.0,2)</f>
        <v/>
      </c>
      <c r="AE9" s="3">
        <f>ROUND(0.0,2)</f>
        <v/>
      </c>
      <c r="AF9" s="3">
        <f>ROUND(0.0,2)</f>
        <v/>
      </c>
      <c r="AG9" s="3">
        <f>ROUND(0.0,2)</f>
        <v/>
      </c>
      <c r="AH9" s="3">
        <f>ROUND(0.0,2)</f>
        <v/>
      </c>
      <c r="AI9" s="3">
        <f>ROUND(0.0,2)</f>
        <v/>
      </c>
      <c r="AJ9" s="4">
        <f>IFERROR((AD9/AC9),0)</f>
        <v/>
      </c>
      <c r="AK9" s="4">
        <f>IFERROR(((0+AB7+AB8+AB9)/T2),0)</f>
        <v/>
      </c>
      <c r="AL9" s="5">
        <f>IFERROR(ROUND(AB9/AD9,2),0)</f>
        <v/>
      </c>
      <c r="AM9" s="5">
        <f>IFERROR(ROUND(AB9/AE9,2),0)</f>
        <v/>
      </c>
      <c r="AN9" s="2" t="inlineStr">
        <is>
          <t>2023-10-25</t>
        </is>
      </c>
      <c r="AO9" s="5">
        <f>ROUND(6.2,2)</f>
        <v/>
      </c>
      <c r="AP9" s="3">
        <f>ROUND(29310.0,2)</f>
        <v/>
      </c>
      <c r="AQ9" s="3">
        <f>ROUND(50.0,2)</f>
        <v/>
      </c>
      <c r="AR9" s="3">
        <f>ROUND(0.0,2)</f>
        <v/>
      </c>
      <c r="AS9" s="3">
        <f>ROUND(0.0,2)</f>
        <v/>
      </c>
      <c r="AT9" s="3">
        <f>ROUND(0.0,2)</f>
        <v/>
      </c>
      <c r="AU9" s="3">
        <f>ROUND(0.0,2)</f>
        <v/>
      </c>
      <c r="AV9" s="3">
        <f>ROUND(0.0,2)</f>
        <v/>
      </c>
      <c r="AW9" s="4">
        <f>IFERROR((AQ9/AP9),0)</f>
        <v/>
      </c>
      <c r="AX9" s="4">
        <f>IFERROR(((0+AO7+AO8+AO9)/T2),0)</f>
        <v/>
      </c>
      <c r="AY9" s="5">
        <f>IFERROR(ROUND(AO9/AQ9,2),0)</f>
        <v/>
      </c>
      <c r="AZ9" s="5">
        <f>IFERROR(ROUND(AO9/AR9,2),0)</f>
        <v/>
      </c>
      <c r="BA9" s="2" t="inlineStr">
        <is>
          <t>2023-10-25</t>
        </is>
      </c>
      <c r="BB9" s="5">
        <f>ROUND(5.630000000000001,2)</f>
        <v/>
      </c>
      <c r="BC9" s="3">
        <f>ROUND(15052.0,2)</f>
        <v/>
      </c>
      <c r="BD9" s="3">
        <f>ROUND(40.0,2)</f>
        <v/>
      </c>
      <c r="BE9" s="3">
        <f>ROUND(0.0,2)</f>
        <v/>
      </c>
      <c r="BF9" s="3">
        <f>ROUND(0.0,2)</f>
        <v/>
      </c>
      <c r="BG9" s="3">
        <f>ROUND(0.0,2)</f>
        <v/>
      </c>
      <c r="BH9" s="3">
        <f>ROUND(0.0,2)</f>
        <v/>
      </c>
      <c r="BI9" s="3">
        <f>ROUND(0.0,2)</f>
        <v/>
      </c>
      <c r="BJ9" s="4">
        <f>IFERROR((BD9/BC9),0)</f>
        <v/>
      </c>
      <c r="BK9" s="4">
        <f>IFERROR(((0+BB7+BB8+BB9)/T2),0)</f>
        <v/>
      </c>
      <c r="BL9" s="5">
        <f>IFERROR(ROUND(BB9/BD9,2),0)</f>
        <v/>
      </c>
      <c r="BM9" s="5">
        <f>IFERROR(ROUND(BB9/BE9,2),0)</f>
        <v/>
      </c>
      <c r="BN9" s="2" t="inlineStr">
        <is>
          <t>2023-10-25</t>
        </is>
      </c>
      <c r="BO9" s="5">
        <f>ROUND(6.52,2)</f>
        <v/>
      </c>
      <c r="BP9" s="3">
        <f>ROUND(18622.0,2)</f>
        <v/>
      </c>
      <c r="BQ9" s="3">
        <f>ROUND(39.0,2)</f>
        <v/>
      </c>
      <c r="BR9" s="3">
        <f>ROUND(0.0,2)</f>
        <v/>
      </c>
      <c r="BS9" s="3">
        <f>ROUND(0.0,2)</f>
        <v/>
      </c>
      <c r="BT9" s="3">
        <f>ROUND(0.0,2)</f>
        <v/>
      </c>
      <c r="BU9" s="3">
        <f>ROUND(0.0,2)</f>
        <v/>
      </c>
      <c r="BV9" s="3">
        <f>ROUND(0.0,2)</f>
        <v/>
      </c>
      <c r="BW9" s="4">
        <f>IFERROR((BQ9/BP9),0)</f>
        <v/>
      </c>
      <c r="BX9" s="4">
        <f>IFERROR(((0+BO7+BO8+BO9)/T2),0)</f>
        <v/>
      </c>
      <c r="BY9" s="5">
        <f>IFERROR(ROUND(BO9/BQ9,2),0)</f>
        <v/>
      </c>
      <c r="BZ9" s="5">
        <f>IFERROR(ROUND(BO9/BR9,2),0)</f>
        <v/>
      </c>
    </row>
    <row r="10">
      <c r="A10" s="2" t="inlineStr">
        <is>
          <t>2023-10-26</t>
        </is>
      </c>
      <c r="B10" s="5">
        <f>ROUND(30.57,2)</f>
        <v/>
      </c>
      <c r="C10" s="3">
        <f>ROUND(92383.0,2)</f>
        <v/>
      </c>
      <c r="D10" s="3">
        <f>ROUND(223.0,2)</f>
        <v/>
      </c>
      <c r="E10" s="3">
        <f>ROUND(0.0,2)</f>
        <v/>
      </c>
      <c r="F10" s="3">
        <f>ROUND(0.0,2)</f>
        <v/>
      </c>
      <c r="G10" s="3">
        <f>ROUND(0.0,2)</f>
        <v/>
      </c>
      <c r="H10" s="3">
        <f>ROUND(0.0,2)</f>
        <v/>
      </c>
      <c r="I10" s="3">
        <f>ROUND(0.0,2)</f>
        <v/>
      </c>
      <c r="J10" s="4">
        <f>IFERROR((D10/C10),0)</f>
        <v/>
      </c>
      <c r="K10" s="4">
        <f>IFERROR(((0+B7+B8+B9+B10)/T2),0)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2023-10-26</t>
        </is>
      </c>
      <c r="O10" s="5">
        <f>ROUND(7.29,2)</f>
        <v/>
      </c>
      <c r="P10" s="3">
        <f>ROUND(19316.0,2)</f>
        <v/>
      </c>
      <c r="Q10" s="3">
        <f>ROUND(62.0,2)</f>
        <v/>
      </c>
      <c r="R10" s="3">
        <f>ROUND(0.0,2)</f>
        <v/>
      </c>
      <c r="S10" s="3">
        <f>ROUND(0.0,2)</f>
        <v/>
      </c>
      <c r="T10" s="3">
        <f>ROUND(0.0,2)</f>
        <v/>
      </c>
      <c r="U10" s="3">
        <f>ROUND(0.0,2)</f>
        <v/>
      </c>
      <c r="V10" s="3">
        <f>ROUND(0.0,2)</f>
        <v/>
      </c>
      <c r="W10" s="4">
        <f>IFERROR((Q10/P10),0)</f>
        <v/>
      </c>
      <c r="X10" s="4">
        <f>IFERROR(((0+O7+O8+O9+O10)/T2),0)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2023-10-26</t>
        </is>
      </c>
      <c r="AB10" s="5">
        <f>ROUND(5.79,2)</f>
        <v/>
      </c>
      <c r="AC10" s="3">
        <f>ROUND(13848.0,2)</f>
        <v/>
      </c>
      <c r="AD10" s="3">
        <f>ROUND(26.0,2)</f>
        <v/>
      </c>
      <c r="AE10" s="3">
        <f>ROUND(0.0,2)</f>
        <v/>
      </c>
      <c r="AF10" s="3">
        <f>ROUND(0.0,2)</f>
        <v/>
      </c>
      <c r="AG10" s="3">
        <f>ROUND(0.0,2)</f>
        <v/>
      </c>
      <c r="AH10" s="3">
        <f>ROUND(0.0,2)</f>
        <v/>
      </c>
      <c r="AI10" s="3">
        <f>ROUND(0.0,2)</f>
        <v/>
      </c>
      <c r="AJ10" s="4">
        <f>IFERROR((AD10/AC10),0)</f>
        <v/>
      </c>
      <c r="AK10" s="4">
        <f>IFERROR(((0+AB7+AB8+AB9+AB10)/T2),0)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2023-10-26</t>
        </is>
      </c>
      <c r="AO10" s="5">
        <f>ROUND(5.51,2)</f>
        <v/>
      </c>
      <c r="AP10" s="3">
        <f>ROUND(26650.0,2)</f>
        <v/>
      </c>
      <c r="AQ10" s="3">
        <f>ROUND(62.0,2)</f>
        <v/>
      </c>
      <c r="AR10" s="3">
        <f>ROUND(0.0,2)</f>
        <v/>
      </c>
      <c r="AS10" s="3">
        <f>ROUND(0.0,2)</f>
        <v/>
      </c>
      <c r="AT10" s="3">
        <f>ROUND(0.0,2)</f>
        <v/>
      </c>
      <c r="AU10" s="3">
        <f>ROUND(0.0,2)</f>
        <v/>
      </c>
      <c r="AV10" s="3">
        <f>ROUND(0.0,2)</f>
        <v/>
      </c>
      <c r="AW10" s="4">
        <f>IFERROR((AQ10/AP10),0)</f>
        <v/>
      </c>
      <c r="AX10" s="4">
        <f>IFERROR(((0+AO7+AO8+AO9+AO10)/T2),0)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2023-10-26</t>
        </is>
      </c>
      <c r="BB10" s="5">
        <f>ROUND(6.34,2)</f>
        <v/>
      </c>
      <c r="BC10" s="3">
        <f>ROUND(17139.0,2)</f>
        <v/>
      </c>
      <c r="BD10" s="3">
        <f>ROUND(46.0,2)</f>
        <v/>
      </c>
      <c r="BE10" s="3">
        <f>ROUND(0.0,2)</f>
        <v/>
      </c>
      <c r="BF10" s="3">
        <f>ROUND(0.0,2)</f>
        <v/>
      </c>
      <c r="BG10" s="3">
        <f>ROUND(0.0,2)</f>
        <v/>
      </c>
      <c r="BH10" s="3">
        <f>ROUND(0.0,2)</f>
        <v/>
      </c>
      <c r="BI10" s="3">
        <f>ROUND(0.0,2)</f>
        <v/>
      </c>
      <c r="BJ10" s="4">
        <f>IFERROR((BD10/BC10),0)</f>
        <v/>
      </c>
      <c r="BK10" s="4">
        <f>IFERROR(((0+BB7+BB8+BB9+BB10)/T2),0)</f>
        <v/>
      </c>
      <c r="BL10" s="5">
        <f>IFERROR(ROUND(BB10/BD10,2),0)</f>
        <v/>
      </c>
      <c r="BM10" s="5">
        <f>IFERROR(ROUND(BB10/BE10,2),0)</f>
        <v/>
      </c>
      <c r="BN10" s="2" t="inlineStr">
        <is>
          <t>2023-10-26</t>
        </is>
      </c>
      <c r="BO10" s="5">
        <f>ROUND(5.640000000000001,2)</f>
        <v/>
      </c>
      <c r="BP10" s="3">
        <f>ROUND(15430.0,2)</f>
        <v/>
      </c>
      <c r="BQ10" s="3">
        <f>ROUND(27.0,2)</f>
        <v/>
      </c>
      <c r="BR10" s="3">
        <f>ROUND(0.0,2)</f>
        <v/>
      </c>
      <c r="BS10" s="3">
        <f>ROUND(0.0,2)</f>
        <v/>
      </c>
      <c r="BT10" s="3">
        <f>ROUND(0.0,2)</f>
        <v/>
      </c>
      <c r="BU10" s="3">
        <f>ROUND(0.0,2)</f>
        <v/>
      </c>
      <c r="BV10" s="3">
        <f>ROUND(0.0,2)</f>
        <v/>
      </c>
      <c r="BW10" s="4">
        <f>IFERROR((BQ10/BP10),0)</f>
        <v/>
      </c>
      <c r="BX10" s="4">
        <f>IFERROR(((0+BO7+BO8+BO9+BO10)/T2),0)</f>
        <v/>
      </c>
      <c r="BY10" s="5">
        <f>IFERROR(ROUND(BO10/BQ10,2),0)</f>
        <v/>
      </c>
      <c r="BZ10" s="5">
        <f>IFERROR(ROUND(BO10/BR10,2),0)</f>
        <v/>
      </c>
    </row>
    <row r="11">
      <c r="A11" s="2" t="inlineStr">
        <is>
          <t>2023-10-27</t>
        </is>
      </c>
      <c r="B11" s="5">
        <f>ROUND(28.63,2)</f>
        <v/>
      </c>
      <c r="C11" s="3">
        <f>ROUND(92477.0,2)</f>
        <v/>
      </c>
      <c r="D11" s="3">
        <f>ROUND(201.0,2)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IFERROR(((0+B7+B8+B9+B10+B11)/T2),0)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2023-10-27</t>
        </is>
      </c>
      <c r="O11" s="5">
        <f>ROUND(7.21,2)</f>
        <v/>
      </c>
      <c r="P11" s="3">
        <f>ROUND(18547.0,2)</f>
        <v/>
      </c>
      <c r="Q11" s="3">
        <f>ROUND(61.0,2)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IFERROR(((0+O7+O8+O9+O10+O11)/T2),0)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2023-10-27</t>
        </is>
      </c>
      <c r="AB11" s="5">
        <f>ROUND(5.390000000000001,2)</f>
        <v/>
      </c>
      <c r="AC11" s="3">
        <f>ROUND(13539.0,2)</f>
        <v/>
      </c>
      <c r="AD11" s="3">
        <f>ROUND(25.0,2)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IFERROR(((0+AB7+AB8+AB9+AB10+AB11)/T2),0)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2023-10-27</t>
        </is>
      </c>
      <c r="AO11" s="5">
        <f>ROUND(5.390000000000001,2)</f>
        <v/>
      </c>
      <c r="AP11" s="3">
        <f>ROUND(28784.0,2)</f>
        <v/>
      </c>
      <c r="AQ11" s="3">
        <f>ROUND(42.0,2)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IFERROR(((0+AO7+AO8+AO9+AO10+AO11)/T2),0)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2023-10-27</t>
        </is>
      </c>
      <c r="BB11" s="5">
        <f>ROUND(5.32,2)</f>
        <v/>
      </c>
      <c r="BC11" s="3">
        <f>ROUND(13756.0,2)</f>
        <v/>
      </c>
      <c r="BD11" s="3">
        <f>ROUND(42.0,2)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IFERROR(((0+BB7+BB8+BB9+BB10+BB11)/T2),0)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2023-10-27</t>
        </is>
      </c>
      <c r="BO11" s="5">
        <f>ROUND(5.32,2)</f>
        <v/>
      </c>
      <c r="BP11" s="3">
        <f>ROUND(17851.0,2)</f>
        <v/>
      </c>
      <c r="BQ11" s="3">
        <f>ROUND(31.0,2)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IFERROR(((0+BO7+BO8+BO9+BO10+BO11)/T2),0)</f>
        <v/>
      </c>
      <c r="BY11" s="5">
        <f>IFERROR(ROUND(BO11/BQ11,2),0)</f>
        <v/>
      </c>
      <c r="BZ11" s="5">
        <f>IFERROR(ROUND(BO11/BR11,2),0)</f>
        <v/>
      </c>
    </row>
    <row r="12">
      <c r="A12" s="2" t="inlineStr">
        <is>
          <t>2023-10-28</t>
        </is>
      </c>
      <c r="B12" s="5">
        <f>ROUND(23.84,2)</f>
        <v/>
      </c>
      <c r="C12" s="3">
        <f>ROUND(73823.0,2)</f>
        <v/>
      </c>
      <c r="D12" s="3">
        <f>ROUND(154.0,2)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IFERROR(((0+B7+B8+B9+B10+B11+B12)/T2),0)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2023-10-28</t>
        </is>
      </c>
      <c r="O12" s="5">
        <f>ROUND(3.11,2)</f>
        <v/>
      </c>
      <c r="P12" s="3">
        <f>ROUND(7441.0,2)</f>
        <v/>
      </c>
      <c r="Q12" s="3">
        <f>ROUND(31.0,2)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IFERROR(((0+O7+O8+O9+O10+O11+O12)/T2),0)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2023-10-28</t>
        </is>
      </c>
      <c r="AB12" s="5">
        <f>ROUND(5.24,2)</f>
        <v/>
      </c>
      <c r="AC12" s="3">
        <f>ROUND(11787.0,2)</f>
        <v/>
      </c>
      <c r="AD12" s="3">
        <f>ROUND(22.0,2)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IFERROR(((0+AB7+AB8+AB9+AB10+AB11+AB12)/T2),0)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2023-10-28</t>
        </is>
      </c>
      <c r="AO12" s="5">
        <f>ROUND(5.54,2)</f>
        <v/>
      </c>
      <c r="AP12" s="3">
        <f>ROUND(28526.0,2)</f>
        <v/>
      </c>
      <c r="AQ12" s="3">
        <f>ROUND(35.0,2)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IFERROR(((0+AO7+AO8+AO9+AO10+AO11+AO12)/T2),0)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2023-10-28</t>
        </is>
      </c>
      <c r="BB12" s="5">
        <f>ROUND(4.9399999999999995,2)</f>
        <v/>
      </c>
      <c r="BC12" s="3">
        <f>ROUND(11253.0,2)</f>
        <v/>
      </c>
      <c r="BD12" s="3">
        <f>ROUND(38.0,2)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IFERROR(((0+BB7+BB8+BB9+BB10+BB11+BB12)/T2),0)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2023-10-28</t>
        </is>
      </c>
      <c r="BO12" s="5">
        <f>ROUND(5.01,2)</f>
        <v/>
      </c>
      <c r="BP12" s="3">
        <f>ROUND(14816.0,2)</f>
        <v/>
      </c>
      <c r="BQ12" s="3">
        <f>ROUND(28.0,2)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IFERROR(((0+BO7+BO8+BO9+BO10+BO11+BO12)/T2),0)</f>
        <v/>
      </c>
      <c r="BY12" s="5">
        <f>IFERROR(ROUND(BO12/BQ12,2),0)</f>
        <v/>
      </c>
      <c r="BZ12" s="5">
        <f>IFERROR(ROUND(BO12/BR12,2),0)</f>
        <v/>
      </c>
    </row>
    <row r="13">
      <c r="A13" s="2" t="inlineStr">
        <is>
          <t>2023-10-29</t>
        </is>
      </c>
      <c r="B13" s="5">
        <f>ROUND(23.71,2)</f>
        <v/>
      </c>
      <c r="C13" s="3">
        <f>ROUND(75690.0,2)</f>
        <v/>
      </c>
      <c r="D13" s="3">
        <f>ROUND(159.0,2)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IFERROR(((0+B7+B8+B9+B10+B11+B12+B13)/T2),0)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2023-10-29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IFERROR(((0+O7+O8+O9+O10+O11+O12+O13)/T2),0)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2023-10-29</t>
        </is>
      </c>
      <c r="AB13" s="5">
        <f>ROUND(5.67,2)</f>
        <v/>
      </c>
      <c r="AC13" s="3">
        <f>ROUND(12035.0,2)</f>
        <v/>
      </c>
      <c r="AD13" s="3">
        <f>ROUND(28.0,2)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IFERROR(((0+AB7+AB8+AB9+AB10+AB11+AB12+AB13)/T2),0)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2023-10-29</t>
        </is>
      </c>
      <c r="AO13" s="5">
        <f>ROUND(5.65,2)</f>
        <v/>
      </c>
      <c r="AP13" s="3">
        <f>ROUND(32420.0,2)</f>
        <v/>
      </c>
      <c r="AQ13" s="3">
        <f>ROUND(49.0,2)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IFERROR(((0+AO7+AO8+AO9+AO10+AO11+AO12+AO13)/T2),0)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2023-10-29</t>
        </is>
      </c>
      <c r="BB13" s="5">
        <f>ROUND(6.47,2)</f>
        <v/>
      </c>
      <c r="BC13" s="3">
        <f>ROUND(15315.0,2)</f>
        <v/>
      </c>
      <c r="BD13" s="3">
        <f>ROUND(56.0,2)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IFERROR(((0+BB7+BB8+BB9+BB10+BB11+BB12+BB13)/T2),0)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2023-10-29</t>
        </is>
      </c>
      <c r="BO13" s="5">
        <f>ROUND(5.92,2)</f>
        <v/>
      </c>
      <c r="BP13" s="3">
        <f>ROUND(15920.0,2)</f>
        <v/>
      </c>
      <c r="BQ13" s="3">
        <f>ROUND(26.0,2)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IFERROR(((0+BO7+BO8+BO9+BO10+BO11+BO12+BO13)/T2),0)</f>
        <v/>
      </c>
      <c r="BY13" s="5">
        <f>IFERROR(ROUND(BO13/BQ13,2),0)</f>
        <v/>
      </c>
      <c r="BZ13" s="5">
        <f>IFERROR(ROUND(BO13/BR13,2),0)</f>
        <v/>
      </c>
    </row>
    <row r="14">
      <c r="A14" s="2" t="inlineStr">
        <is>
          <t>1 Weekly Total</t>
        </is>
      </c>
      <c r="B14" s="5">
        <f>ROUND(146.48,2)</f>
        <v/>
      </c>
      <c r="C14" s="3">
        <f>ROUND(466619.0,2)</f>
        <v/>
      </c>
      <c r="D14" s="3">
        <f>ROUND(1005.0,2)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IFERROR(((0+B7+B8+B9+B10+B11+B12+B13)/T2),0)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1 Weekly Total</t>
        </is>
      </c>
      <c r="O14" s="5">
        <f>ROUND(25.74,2)</f>
        <v/>
      </c>
      <c r="P14" s="3">
        <f>ROUND(68482.0,2)</f>
        <v/>
      </c>
      <c r="Q14" s="3">
        <f>ROUND(214.0,2)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IFERROR(((0+O7+O8+O9+O10+O11+O12+O13)/T2),0)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1 Weekly Total</t>
        </is>
      </c>
      <c r="AB14" s="5">
        <f>ROUND(29.64,2)</f>
        <v/>
      </c>
      <c r="AC14" s="3">
        <f>ROUND(71393.0,2)</f>
        <v/>
      </c>
      <c r="AD14" s="3">
        <f>ROUND(138.0,2)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IFERROR(((0+AB7+AB8+AB9+AB10+AB11+AB12+AB13)/T2),0)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1 Weekly Total</t>
        </is>
      </c>
      <c r="AO14" s="5">
        <f>ROUND(30.26,2)</f>
        <v/>
      </c>
      <c r="AP14" s="3">
        <f>ROUND(157237.0,2)</f>
        <v/>
      </c>
      <c r="AQ14" s="3">
        <f>ROUND(259.0,2)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IFERROR(((0+AO7+AO8+AO9+AO10+AO11+AO12+AO13)/T2),0)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1 Weekly Total</t>
        </is>
      </c>
      <c r="BB14" s="5">
        <f>ROUND(30.49,2)</f>
        <v/>
      </c>
      <c r="BC14" s="3">
        <f>ROUND(79807.0,2)</f>
        <v/>
      </c>
      <c r="BD14" s="3">
        <f>ROUND(233.0,2)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IFERROR(((0+BB7+BB8+BB9+BB10+BB11+BB12+BB13)/T2),0)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1 Weekly Total</t>
        </is>
      </c>
      <c r="BO14" s="5">
        <f>ROUND(30.35,2)</f>
        <v/>
      </c>
      <c r="BP14" s="3">
        <f>ROUND(89700.0,2)</f>
        <v/>
      </c>
      <c r="BQ14" s="3">
        <f>ROUND(161.0,2)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IFERROR(((0+BO7+BO8+BO9+BO10+BO11+BO12+BO13)/T2),0)</f>
        <v/>
      </c>
      <c r="BY14" s="5">
        <f>IFERROR(ROUND(BO14/BQ14,2),0)</f>
        <v/>
      </c>
      <c r="BZ14" s="5">
        <f>IFERROR(ROUND(BO14/BR14,2),0)</f>
        <v/>
      </c>
    </row>
    <row r="15">
      <c r="A15" s="2" t="inlineStr">
        <is>
          <t>2023-10-30</t>
        </is>
      </c>
      <c r="B15" s="5">
        <f>ROUND(24.28,2)</f>
        <v/>
      </c>
      <c r="C15" s="3">
        <f>ROUND(78005.0,2)</f>
        <v/>
      </c>
      <c r="D15" s="3">
        <f>ROUND(144.0,2)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IFERROR(((0+B7+B8+B9+B10+B11+B12+B13+B15)/T2),0)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2023-10-30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IFERROR(((0+O7+O8+O9+O10+O11+O12+O13+O15)/T2),0)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2023-10-30</t>
        </is>
      </c>
      <c r="AB15" s="5">
        <f>ROUND(6.49,2)</f>
        <v/>
      </c>
      <c r="AC15" s="3">
        <f>ROUND(14828.0,2)</f>
        <v/>
      </c>
      <c r="AD15" s="3">
        <f>ROUND(21.0,2)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IFERROR(((0+AB7+AB8+AB9+AB10+AB11+AB12+AB13+AB15)/T2),0)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2023-10-30</t>
        </is>
      </c>
      <c r="AO15" s="5">
        <f>ROUND(5.07,2)</f>
        <v/>
      </c>
      <c r="AP15" s="3">
        <f>ROUND(33099.0,2)</f>
        <v/>
      </c>
      <c r="AQ15" s="3">
        <f>ROUND(53.0,2)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IFERROR(((0+AO7+AO8+AO9+AO10+AO11+AO12+AO13+AO15)/T2),0)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2023-10-30</t>
        </is>
      </c>
      <c r="BB15" s="5">
        <f>ROUND(6.78,2)</f>
        <v/>
      </c>
      <c r="BC15" s="3">
        <f>ROUND(13997.0,2)</f>
        <v/>
      </c>
      <c r="BD15" s="3">
        <f>ROUND(44.0,2)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IFERROR(((0+BB7+BB8+BB9+BB10+BB11+BB12+BB13+BB15)/T2),0)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2023-10-30</t>
        </is>
      </c>
      <c r="BO15" s="5">
        <f>ROUND(5.9399999999999995,2)</f>
        <v/>
      </c>
      <c r="BP15" s="3">
        <f>ROUND(16081.0,2)</f>
        <v/>
      </c>
      <c r="BQ15" s="3">
        <f>ROUND(26.0,2)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IFERROR(((0+BO7+BO8+BO9+BO10+BO11+BO12+BO13+BO15)/T2),0)</f>
        <v/>
      </c>
      <c r="BY15" s="5">
        <f>IFERROR(ROUND(BO15/BQ15,2),0)</f>
        <v/>
      </c>
      <c r="BZ15" s="5">
        <f>IFERROR(ROUND(BO15/BR15,2),0)</f>
        <v/>
      </c>
    </row>
    <row r="16">
      <c r="A16" s="2" t="inlineStr">
        <is>
          <t>2023-10-31</t>
        </is>
      </c>
      <c r="B16" s="5">
        <f>ROUND(42.03,2)</f>
        <v/>
      </c>
      <c r="C16" s="3">
        <f>ROUND(129339.0,2)</f>
        <v/>
      </c>
      <c r="D16" s="3">
        <f>ROUND(326.0,2)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IFERROR(((0+B7+B8+B9+B10+B11+B12+B13+B15+B16)/T2),0)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2023-10-31</t>
        </is>
      </c>
      <c r="O16" s="5">
        <f>ROUND(16.560000000000002,2)</f>
        <v/>
      </c>
      <c r="P16" s="3">
        <f>ROUND(55876.0,2)</f>
        <v/>
      </c>
      <c r="Q16" s="3">
        <f>ROUND(150.0,2)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IFERROR(((0+O7+O8+O9+O10+O11+O12+O13+O15+O16)/T2),0)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2023-10-31</t>
        </is>
      </c>
      <c r="AB16" s="5">
        <f>ROUND(6.75,2)</f>
        <v/>
      </c>
      <c r="AC16" s="3">
        <f>ROUND(15258.0,2)</f>
        <v/>
      </c>
      <c r="AD16" s="3">
        <f>ROUND(28.0,2)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IFERROR(((0+AB7+AB8+AB9+AB10+AB11+AB12+AB13+AB15+AB16)/T2),0)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2023-10-31</t>
        </is>
      </c>
      <c r="AO16" s="5">
        <f>ROUND(5.47,2)</f>
        <v/>
      </c>
      <c r="AP16" s="3">
        <f>ROUND(28956.0,2)</f>
        <v/>
      </c>
      <c r="AQ16" s="3">
        <f>ROUND(63.0,2)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IFERROR(((0+AO7+AO8+AO9+AO10+AO11+AO12+AO13+AO15+AO16)/T2),0)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2023-10-31</t>
        </is>
      </c>
      <c r="BB16" s="5">
        <f>ROUND(7.22,2)</f>
        <v/>
      </c>
      <c r="BC16" s="3">
        <f>ROUND(13563.0,2)</f>
        <v/>
      </c>
      <c r="BD16" s="3">
        <f>ROUND(62.0,2)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IFERROR(((0+BB7+BB8+BB9+BB10+BB11+BB12+BB13+BB15+BB16)/T2),0)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2023-10-31</t>
        </is>
      </c>
      <c r="BO16" s="5">
        <f>ROUND(6.03,2)</f>
        <v/>
      </c>
      <c r="BP16" s="3">
        <f>ROUND(15686.0,2)</f>
        <v/>
      </c>
      <c r="BQ16" s="3">
        <f>ROUND(23.0,2)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IFERROR(((0+BO7+BO8+BO9+BO10+BO11+BO12+BO13+BO15+BO16)/T2),0)</f>
        <v/>
      </c>
      <c r="BY16" s="5">
        <f>IFERROR(ROUND(BO16/BQ16,2),0)</f>
        <v/>
      </c>
      <c r="BZ16" s="5">
        <f>IFERROR(ROUND(BO16/BR16,2),0)</f>
        <v/>
      </c>
    </row>
    <row r="17">
      <c r="A17" s="2" t="inlineStr">
        <is>
          <t>2023-11-01</t>
        </is>
      </c>
      <c r="B17" s="5">
        <f>ROUND(38.99,2)</f>
        <v/>
      </c>
      <c r="C17" s="3">
        <f>ROUND(135278.0,2)</f>
        <v/>
      </c>
      <c r="D17" s="3">
        <f>ROUND(321.0,2)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IFERROR(((0+B7+B8+B9+B10+B11+B12+B13+B15+B16+B17)/T2),0)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2023-11-01</t>
        </is>
      </c>
      <c r="O17" s="5">
        <f>ROUND(16.68,2)</f>
        <v/>
      </c>
      <c r="P17" s="3">
        <f>ROUND(63989.0,2)</f>
        <v/>
      </c>
      <c r="Q17" s="3">
        <f>ROUND(144.0,2)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IFERROR(((0+O7+O8+O9+O10+O11+O12+O13+O15+O16+O17)/T2),0)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2023-11-01</t>
        </is>
      </c>
      <c r="AB17" s="5">
        <f>ROUND(4.94,2)</f>
        <v/>
      </c>
      <c r="AC17" s="3">
        <f>ROUND(16438.0,2)</f>
        <v/>
      </c>
      <c r="AD17" s="3">
        <f>ROUND(38.0,2)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IFERROR(((0+AB7+AB8+AB9+AB10+AB11+AB12+AB13+AB15+AB16+AB17)/T2),0)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2023-11-01</t>
        </is>
      </c>
      <c r="AO17" s="5">
        <f>ROUND(5.32,2)</f>
        <v/>
      </c>
      <c r="AP17" s="3">
        <f>ROUND(27489.0,2)</f>
        <v/>
      </c>
      <c r="AQ17" s="3">
        <f>ROUND(59.0,2)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IFERROR(((0+AO7+AO8+AO9+AO10+AO11+AO12+AO13+AO15+AO16+AO17)/T2),0)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2023-11-01</t>
        </is>
      </c>
      <c r="BB17" s="5">
        <f>ROUND(6.859999999999999,2)</f>
        <v/>
      </c>
      <c r="BC17" s="3">
        <f>ROUND(11972.0,2)</f>
        <v/>
      </c>
      <c r="BD17" s="3">
        <f>ROUND(56.0,2)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IFERROR(((0+BB7+BB8+BB9+BB10+BB11+BB12+BB13+BB15+BB16+BB17)/T2),0)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2023-11-01</t>
        </is>
      </c>
      <c r="BO17" s="5">
        <f>ROUND(5.1899999999999995,2)</f>
        <v/>
      </c>
      <c r="BP17" s="3">
        <f>ROUND(15390.0,2)</f>
        <v/>
      </c>
      <c r="BQ17" s="3">
        <f>ROUND(24.0,2)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IFERROR(((0+BO7+BO8+BO9+BO10+BO11+BO12+BO13+BO15+BO16+BO17)/T2),0)</f>
        <v/>
      </c>
      <c r="BY17" s="5">
        <f>IFERROR(ROUND(BO17/BQ17,2),0)</f>
        <v/>
      </c>
      <c r="BZ17" s="5">
        <f>IFERROR(ROUND(BO17/BR17,2),0)</f>
        <v/>
      </c>
    </row>
    <row r="18">
      <c r="A18" s="2" t="inlineStr">
        <is>
          <t>2023-11-02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IFERROR(((0+B7+B8+B9+B10+B11+B12+B13+B15+B16+B17+B18)/T2),0)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2023-11-02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IFERROR(((0+O7+O8+O9+O10+O11+O12+O13+O15+O16+O17+O18)/T2),0)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2023-11-02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IFERROR(((0+AB7+AB8+AB9+AB10+AB11+AB12+AB13+AB15+AB16+AB17+AB18)/T2),0)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2023-11-02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IFERROR(((0+AO7+AO8+AO9+AO10+AO11+AO12+AO13+AO15+AO16+AO17+AO18)/T2),0)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2023-11-02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IFERROR(((0+BB7+BB8+BB9+BB10+BB11+BB12+BB13+BB15+BB16+BB17+BB18)/T2),0)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2023-11-02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IFERROR(((0+BO7+BO8+BO9+BO10+BO11+BO12+BO13+BO15+BO16+BO17+BO18)/T2),0)</f>
        <v/>
      </c>
      <c r="BY18" s="5">
        <f>IFERROR(ROUND(BO18/BQ18,2),0)</f>
        <v/>
      </c>
      <c r="BZ18" s="5">
        <f>IFERROR(ROUND(BO18/BR18,2),0)</f>
        <v/>
      </c>
    </row>
    <row r="19">
      <c r="A19" s="6" t="inlineStr">
        <is>
          <t>Total</t>
        </is>
      </c>
      <c r="B19" s="7">
        <f>ROUND(251.77999999999997,2)</f>
        <v/>
      </c>
      <c r="C19" s="8">
        <f>ROUND(809241.0,2)</f>
        <v/>
      </c>
      <c r="D19" s="8">
        <f>ROUND(1796.0,2)</f>
        <v/>
      </c>
      <c r="E19" s="8">
        <f>ROUND(0.0,2)</f>
        <v/>
      </c>
      <c r="F19" s="8">
        <f>ROUND(0.0,2)</f>
        <v/>
      </c>
      <c r="G19" s="8">
        <f>ROUND(0.0,2)</f>
        <v/>
      </c>
      <c r="H19" s="8">
        <f>ROUND(0.0,2)</f>
        <v/>
      </c>
      <c r="I19" s="8">
        <f>ROUND(0.0,2)</f>
        <v/>
      </c>
      <c r="J19" s="9">
        <f>IFERROR((D19/C19),0)</f>
        <v/>
      </c>
      <c r="K19" s="9">
        <f>IFERROR(((0+B19)/T2),0)</f>
        <v/>
      </c>
      <c r="L19" s="7">
        <f>IFERROR(B19/D19,0)</f>
        <v/>
      </c>
      <c r="M19" s="7">
        <f>IFERROR(ROUND(B19/E19,2),0)</f>
        <v/>
      </c>
      <c r="N19" s="6" t="inlineStr">
        <is>
          <t>Total</t>
        </is>
      </c>
      <c r="O19" s="7">
        <f>ROUND(58.980000000000004,2)</f>
        <v/>
      </c>
      <c r="P19" s="8">
        <f>ROUND(188347.0,2)</f>
        <v/>
      </c>
      <c r="Q19" s="8">
        <f>ROUND(508.0,2)</f>
        <v/>
      </c>
      <c r="R19" s="8">
        <f>ROUND(0.0,2)</f>
        <v/>
      </c>
      <c r="S19" s="8">
        <f>ROUND(0.0,2)</f>
        <v/>
      </c>
      <c r="T19" s="8">
        <f>ROUND(0.0,2)</f>
        <v/>
      </c>
      <c r="U19" s="8">
        <f>ROUND(0.0,2)</f>
        <v/>
      </c>
      <c r="V19" s="8">
        <f>ROUND(0.0,2)</f>
        <v/>
      </c>
      <c r="W19" s="9">
        <f>IFERROR((Q19/P19),0)</f>
        <v/>
      </c>
      <c r="X19" s="9">
        <f>IFERROR(((0+O19)/T2),0)</f>
        <v/>
      </c>
      <c r="Y19" s="7">
        <f>IFERROR(O19/Q19,0)</f>
        <v/>
      </c>
      <c r="Z19" s="7">
        <f>IFERROR(ROUND(O19/R19,2),0)</f>
        <v/>
      </c>
      <c r="AA19" s="6" t="inlineStr">
        <is>
          <t>Total</t>
        </is>
      </c>
      <c r="AB19" s="7">
        <f>ROUND(47.82,2)</f>
        <v/>
      </c>
      <c r="AC19" s="8">
        <f>ROUND(117917.0,2)</f>
        <v/>
      </c>
      <c r="AD19" s="8">
        <f>ROUND(225.0,2)</f>
        <v/>
      </c>
      <c r="AE19" s="8">
        <f>ROUND(0.0,2)</f>
        <v/>
      </c>
      <c r="AF19" s="8">
        <f>ROUND(0.0,2)</f>
        <v/>
      </c>
      <c r="AG19" s="8">
        <f>ROUND(0.0,2)</f>
        <v/>
      </c>
      <c r="AH19" s="8">
        <f>ROUND(0.0,2)</f>
        <v/>
      </c>
      <c r="AI19" s="8">
        <f>ROUND(0.0,2)</f>
        <v/>
      </c>
      <c r="AJ19" s="9">
        <f>IFERROR((AD19/AC19),0)</f>
        <v/>
      </c>
      <c r="AK19" s="9">
        <f>IFERROR(((0+AB19)/T2),0)</f>
        <v/>
      </c>
      <c r="AL19" s="7">
        <f>IFERROR(AB19/AD19,0)</f>
        <v/>
      </c>
      <c r="AM19" s="7">
        <f>IFERROR(ROUND(AB19/AE19,2),0)</f>
        <v/>
      </c>
      <c r="AN19" s="6" t="inlineStr">
        <is>
          <t>Total</t>
        </is>
      </c>
      <c r="AO19" s="7">
        <f>ROUND(46.120000000000005,2)</f>
        <v/>
      </c>
      <c r="AP19" s="8">
        <f>ROUND(246781.0,2)</f>
        <v/>
      </c>
      <c r="AQ19" s="8">
        <f>ROUND(434.0,2)</f>
        <v/>
      </c>
      <c r="AR19" s="8">
        <f>ROUND(0.0,2)</f>
        <v/>
      </c>
      <c r="AS19" s="8">
        <f>ROUND(0.0,2)</f>
        <v/>
      </c>
      <c r="AT19" s="8">
        <f>ROUND(0.0,2)</f>
        <v/>
      </c>
      <c r="AU19" s="8">
        <f>ROUND(0.0,2)</f>
        <v/>
      </c>
      <c r="AV19" s="8">
        <f>ROUND(0.0,2)</f>
        <v/>
      </c>
      <c r="AW19" s="9">
        <f>IFERROR((AQ19/AP19),0)</f>
        <v/>
      </c>
      <c r="AX19" s="9">
        <f>IFERROR(((0+AO19)/T2),0)</f>
        <v/>
      </c>
      <c r="AY19" s="7">
        <f>IFERROR(AO19/AQ19,0)</f>
        <v/>
      </c>
      <c r="AZ19" s="7">
        <f>IFERROR(ROUND(AO19/AR19,2),0)</f>
        <v/>
      </c>
      <c r="BA19" s="6" t="inlineStr">
        <is>
          <t>Total</t>
        </is>
      </c>
      <c r="BB19" s="7">
        <f>ROUND(51.349999999999994,2)</f>
        <v/>
      </c>
      <c r="BC19" s="8">
        <f>ROUND(119339.0,2)</f>
        <v/>
      </c>
      <c r="BD19" s="8">
        <f>ROUND(395.0,2)</f>
        <v/>
      </c>
      <c r="BE19" s="8">
        <f>ROUND(0.0,2)</f>
        <v/>
      </c>
      <c r="BF19" s="8">
        <f>ROUND(0.0,2)</f>
        <v/>
      </c>
      <c r="BG19" s="8">
        <f>ROUND(0.0,2)</f>
        <v/>
      </c>
      <c r="BH19" s="8">
        <f>ROUND(0.0,2)</f>
        <v/>
      </c>
      <c r="BI19" s="8">
        <f>ROUND(0.0,2)</f>
        <v/>
      </c>
      <c r="BJ19" s="9">
        <f>IFERROR((BD19/BC19),0)</f>
        <v/>
      </c>
      <c r="BK19" s="9">
        <f>IFERROR(((0+BB19)/T2),0)</f>
        <v/>
      </c>
      <c r="BL19" s="7">
        <f>IFERROR(BB19/BD19,0)</f>
        <v/>
      </c>
      <c r="BM19" s="7">
        <f>IFERROR(ROUND(BB19/BE19,2),0)</f>
        <v/>
      </c>
      <c r="BN19" s="6" t="inlineStr">
        <is>
          <t>Total</t>
        </is>
      </c>
      <c r="BO19" s="7">
        <f>ROUND(47.510000000000005,2)</f>
        <v/>
      </c>
      <c r="BP19" s="8">
        <f>ROUND(136857.0,2)</f>
        <v/>
      </c>
      <c r="BQ19" s="8">
        <f>ROUND(234.0,2)</f>
        <v/>
      </c>
      <c r="BR19" s="8">
        <f>ROUND(0.0,2)</f>
        <v/>
      </c>
      <c r="BS19" s="8">
        <f>ROUND(0.0,2)</f>
        <v/>
      </c>
      <c r="BT19" s="8">
        <f>ROUND(0.0,2)</f>
        <v/>
      </c>
      <c r="BU19" s="8">
        <f>ROUND(0.0,2)</f>
        <v/>
      </c>
      <c r="BV19" s="8">
        <f>ROUND(0.0,2)</f>
        <v/>
      </c>
      <c r="BW19" s="9">
        <f>IFERROR((BQ19/BP19),0)</f>
        <v/>
      </c>
      <c r="BX19" s="9">
        <f>IFERROR(((0+BO19)/T2),0)</f>
        <v/>
      </c>
      <c r="BY19" s="7">
        <f>IFERROR(BO19/BQ19,0)</f>
        <v/>
      </c>
      <c r="BZ19" s="7">
        <f>IFERROR(ROUND(BO19/BR19,2),0)</f>
        <v/>
      </c>
    </row>
  </sheetData>
  <mergeCells count="5">
    <mergeCell ref="AA5:AM5"/>
    <mergeCell ref="N5:Z5"/>
    <mergeCell ref="BA5:BM5"/>
    <mergeCell ref="AN5:AZ5"/>
    <mergeCell ref="BN5:B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M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ROUND(876.82,2)</f>
        <v/>
      </c>
      <c r="C2" s="3">
        <f>ROUND(761026.0,2)</f>
        <v/>
      </c>
      <c r="D2" s="3">
        <f>ROUND(16589.0,2)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ROUND(363.06,2)</f>
        <v/>
      </c>
      <c r="C3" s="3">
        <f>ROUND(389550.0,2)</f>
        <v/>
      </c>
      <c r="D3" s="3">
        <f>ROUND(7366.0,2)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6" t="inlineStr">
        <is>
          <t>Total</t>
        </is>
      </c>
      <c r="B4" s="7">
        <f>ROUND(1239.88,2)</f>
        <v/>
      </c>
      <c r="C4" s="8">
        <f>ROUND(1150576.0,2)</f>
        <v/>
      </c>
      <c r="D4" s="8">
        <f>ROUND(23955.0,2)</f>
        <v/>
      </c>
      <c r="E4" s="8">
        <f>ROUND(0.0,2)</f>
        <v/>
      </c>
      <c r="F4" s="8">
        <f>ROUND(0.0,2)</f>
        <v/>
      </c>
      <c r="G4" s="8">
        <f>ROUND(0.0,2)</f>
        <v/>
      </c>
      <c r="H4" s="8">
        <f>ROUND(0.0,2)</f>
        <v/>
      </c>
      <c r="I4" s="8">
        <f>ROUND(0.0,2)</f>
        <v/>
      </c>
      <c r="J4" s="9">
        <f>IFERROR((D4/C4),0)</f>
        <v/>
      </c>
      <c r="K4" s="9">
        <f>IFERROR(((0+B4)/T2),0)</f>
        <v/>
      </c>
      <c r="L4" s="7">
        <f>IFERROR(B4/D4,0)</f>
        <v/>
      </c>
      <c r="M4" s="7">
        <f>IFERROR(ROUND(B4/E4,2),0)</f>
        <v/>
      </c>
      <c r="N4" s="1" t="inlineStr">
        <is>
          <t>Banners</t>
        </is>
      </c>
      <c r="AA4" s="1" t="inlineStr">
        <is>
          <t>Banners</t>
        </is>
      </c>
      <c r="AN4" s="1" t="inlineStr">
        <is>
          <t>Banners</t>
        </is>
      </c>
      <c r="BA4" s="1" t="inlineStr">
        <is>
          <t>Banners</t>
        </is>
      </c>
      <c r="BN4" s="1" t="inlineStr">
        <is>
          <t>Banners</t>
        </is>
      </c>
      <c r="CA4" s="1" t="inlineStr">
        <is>
          <t>Banners</t>
        </is>
      </c>
      <c r="CN4" s="1" t="inlineStr">
        <is>
          <t>Banners</t>
        </is>
      </c>
      <c r="DA4" s="1" t="inlineStr">
        <is>
          <t>Banners</t>
        </is>
      </c>
      <c r="DN4" s="1" t="inlineStr">
        <is>
          <t>Banners</t>
        </is>
      </c>
      <c r="EA4" s="1" t="inlineStr">
        <is>
          <t>Banners</t>
        </is>
      </c>
    </row>
    <row r="5">
      <c r="N5" s="1" t="inlineStr">
        <is>
          <t>DW_OPTION1</t>
        </is>
      </c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1" t="n"/>
      <c r="AA5" s="1" t="inlineStr">
        <is>
          <t>DW_OPTION2</t>
        </is>
      </c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1" t="n"/>
      <c r="AN5" s="1" t="inlineStr">
        <is>
          <t>Oled_OPTION1</t>
        </is>
      </c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1" t="n"/>
      <c r="BA5" s="1" t="inlineStr">
        <is>
          <t>Oled_OPTION2</t>
        </is>
      </c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 t="n"/>
      <c r="BK5" s="10" t="n"/>
      <c r="BL5" s="10" t="n"/>
      <c r="BM5" s="11" t="n"/>
      <c r="BN5" s="1" t="inlineStr">
        <is>
          <t>Ref_Knock_OPTION1</t>
        </is>
      </c>
      <c r="BO5" s="10" t="n"/>
      <c r="BP5" s="10" t="n"/>
      <c r="BQ5" s="10" t="n"/>
      <c r="BR5" s="10" t="n"/>
      <c r="BS5" s="10" t="n"/>
      <c r="BT5" s="10" t="n"/>
      <c r="BU5" s="10" t="n"/>
      <c r="BV5" s="10" t="n"/>
      <c r="BW5" s="10" t="n"/>
      <c r="BX5" s="10" t="n"/>
      <c r="BY5" s="10" t="n"/>
      <c r="BZ5" s="11" t="n"/>
      <c r="CA5" s="1" t="inlineStr">
        <is>
          <t>Ref_ThinQ_OPTION1</t>
        </is>
      </c>
      <c r="CB5" s="10" t="n"/>
      <c r="CC5" s="10" t="n"/>
      <c r="CD5" s="10" t="n"/>
      <c r="CE5" s="10" t="n"/>
      <c r="CF5" s="10" t="n"/>
      <c r="CG5" s="10" t="n"/>
      <c r="CH5" s="10" t="n"/>
      <c r="CI5" s="10" t="n"/>
      <c r="CJ5" s="10" t="n"/>
      <c r="CK5" s="10" t="n"/>
      <c r="CL5" s="10" t="n"/>
      <c r="CM5" s="11" t="n"/>
      <c r="CN5" s="1" t="inlineStr">
        <is>
          <t>Ref_ThinQ_OPTION2</t>
        </is>
      </c>
      <c r="CO5" s="10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 t="n"/>
      <c r="CY5" s="10" t="n"/>
      <c r="CZ5" s="11" t="n"/>
      <c r="DA5" s="1" t="inlineStr">
        <is>
          <t>WM_OPTION1</t>
        </is>
      </c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1" t="n"/>
      <c r="DN5" s="1" t="inlineStr">
        <is>
          <t>WM_OPTION2</t>
        </is>
      </c>
      <c r="DO5" s="10" t="n"/>
      <c r="DP5" s="10" t="n"/>
      <c r="DQ5" s="10" t="n"/>
      <c r="DR5" s="10" t="n"/>
      <c r="DS5" s="10" t="n"/>
      <c r="DT5" s="10" t="n"/>
      <c r="DU5" s="10" t="n"/>
      <c r="DV5" s="10" t="n"/>
      <c r="DW5" s="10" t="n"/>
      <c r="DX5" s="10" t="n"/>
      <c r="DY5" s="10" t="n"/>
      <c r="DZ5" s="11" t="n"/>
      <c r="EA5" s="1" t="inlineStr">
        <is>
          <t>Ref_Knock_OPTION2</t>
        </is>
      </c>
      <c r="EB5" s="10" t="n"/>
      <c r="EC5" s="10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 t="n"/>
      <c r="EM5" s="11" t="n"/>
    </row>
    <row r="6">
      <c r="A6" s="1" t="inlineStr">
        <is>
          <t>date</t>
        </is>
      </c>
      <c r="B6" s="1" t="inlineStr">
        <is>
          <t>budget</t>
        </is>
      </c>
      <c r="C6" s="1" t="inlineStr">
        <is>
          <t>impressions</t>
        </is>
      </c>
      <c r="D6" s="1" t="inlineStr">
        <is>
          <t>clicks</t>
        </is>
      </c>
      <c r="E6" s="1" t="inlineStr">
        <is>
          <t>view</t>
        </is>
      </c>
      <c r="F6" s="1" t="inlineStr">
        <is>
          <t>percent_25</t>
        </is>
      </c>
      <c r="G6" s="1" t="inlineStr">
        <is>
          <t>percent_50</t>
        </is>
      </c>
      <c r="H6" s="1" t="inlineStr">
        <is>
          <t>percent_75</t>
        </is>
      </c>
      <c r="I6" s="1" t="inlineStr">
        <is>
          <t>percent_100</t>
        </is>
      </c>
      <c r="J6" s="1" t="inlineStr">
        <is>
          <t>CTR</t>
        </is>
      </c>
      <c r="K6" s="1" t="inlineStr">
        <is>
          <t>Spent Budget %</t>
        </is>
      </c>
      <c r="L6" s="1" t="inlineStr">
        <is>
          <t>CPC</t>
        </is>
      </c>
      <c r="M6" s="1" t="inlineStr">
        <is>
          <t>CPV</t>
        </is>
      </c>
      <c r="N6" s="1" t="inlineStr">
        <is>
          <t>date</t>
        </is>
      </c>
      <c r="O6" s="1" t="inlineStr">
        <is>
          <t>budget</t>
        </is>
      </c>
      <c r="P6" s="1" t="inlineStr">
        <is>
          <t>impressions</t>
        </is>
      </c>
      <c r="Q6" s="1" t="inlineStr">
        <is>
          <t>clicks</t>
        </is>
      </c>
      <c r="R6" s="1" t="inlineStr">
        <is>
          <t>view</t>
        </is>
      </c>
      <c r="S6" s="1" t="inlineStr">
        <is>
          <t>percent_25</t>
        </is>
      </c>
      <c r="T6" s="1" t="inlineStr">
        <is>
          <t>percent_50</t>
        </is>
      </c>
      <c r="U6" s="1" t="inlineStr">
        <is>
          <t>percent_75</t>
        </is>
      </c>
      <c r="V6" s="1" t="inlineStr">
        <is>
          <t>percent_100</t>
        </is>
      </c>
      <c r="W6" s="1" t="inlineStr">
        <is>
          <t>CTR</t>
        </is>
      </c>
      <c r="X6" s="1" t="inlineStr">
        <is>
          <t>Spent Budget %</t>
        </is>
      </c>
      <c r="Y6" s="1" t="inlineStr">
        <is>
          <t>CPC</t>
        </is>
      </c>
      <c r="Z6" s="1" t="inlineStr">
        <is>
          <t>CPV</t>
        </is>
      </c>
      <c r="AA6" s="1" t="inlineStr">
        <is>
          <t>date</t>
        </is>
      </c>
      <c r="AB6" s="1" t="inlineStr">
        <is>
          <t>budget</t>
        </is>
      </c>
      <c r="AC6" s="1" t="inlineStr">
        <is>
          <t>impressions</t>
        </is>
      </c>
      <c r="AD6" s="1" t="inlineStr">
        <is>
          <t>clicks</t>
        </is>
      </c>
      <c r="AE6" s="1" t="inlineStr">
        <is>
          <t>view</t>
        </is>
      </c>
      <c r="AF6" s="1" t="inlineStr">
        <is>
          <t>percent_25</t>
        </is>
      </c>
      <c r="AG6" s="1" t="inlineStr">
        <is>
          <t>percent_50</t>
        </is>
      </c>
      <c r="AH6" s="1" t="inlineStr">
        <is>
          <t>percent_75</t>
        </is>
      </c>
      <c r="AI6" s="1" t="inlineStr">
        <is>
          <t>percent_100</t>
        </is>
      </c>
      <c r="AJ6" s="1" t="inlineStr">
        <is>
          <t>CTR</t>
        </is>
      </c>
      <c r="AK6" s="1" t="inlineStr">
        <is>
          <t>Spent Budget %</t>
        </is>
      </c>
      <c r="AL6" s="1" t="inlineStr">
        <is>
          <t>CPC</t>
        </is>
      </c>
      <c r="AM6" s="1" t="inlineStr">
        <is>
          <t>CPV</t>
        </is>
      </c>
      <c r="AN6" s="1" t="inlineStr">
        <is>
          <t>date</t>
        </is>
      </c>
      <c r="AO6" s="1" t="inlineStr">
        <is>
          <t>budget</t>
        </is>
      </c>
      <c r="AP6" s="1" t="inlineStr">
        <is>
          <t>impressions</t>
        </is>
      </c>
      <c r="AQ6" s="1" t="inlineStr">
        <is>
          <t>clicks</t>
        </is>
      </c>
      <c r="AR6" s="1" t="inlineStr">
        <is>
          <t>view</t>
        </is>
      </c>
      <c r="AS6" s="1" t="inlineStr">
        <is>
          <t>percent_25</t>
        </is>
      </c>
      <c r="AT6" s="1" t="inlineStr">
        <is>
          <t>percent_50</t>
        </is>
      </c>
      <c r="AU6" s="1" t="inlineStr">
        <is>
          <t>percent_75</t>
        </is>
      </c>
      <c r="AV6" s="1" t="inlineStr">
        <is>
          <t>percent_100</t>
        </is>
      </c>
      <c r="AW6" s="1" t="inlineStr">
        <is>
          <t>CTR</t>
        </is>
      </c>
      <c r="AX6" s="1" t="inlineStr">
        <is>
          <t>Spent Budget %</t>
        </is>
      </c>
      <c r="AY6" s="1" t="inlineStr">
        <is>
          <t>CPC</t>
        </is>
      </c>
      <c r="AZ6" s="1" t="inlineStr">
        <is>
          <t>CPV</t>
        </is>
      </c>
      <c r="BA6" s="1" t="inlineStr">
        <is>
          <t>date</t>
        </is>
      </c>
      <c r="BB6" s="1" t="inlineStr">
        <is>
          <t>budget</t>
        </is>
      </c>
      <c r="BC6" s="1" t="inlineStr">
        <is>
          <t>impressions</t>
        </is>
      </c>
      <c r="BD6" s="1" t="inlineStr">
        <is>
          <t>clicks</t>
        </is>
      </c>
      <c r="BE6" s="1" t="inlineStr">
        <is>
          <t>view</t>
        </is>
      </c>
      <c r="BF6" s="1" t="inlineStr">
        <is>
          <t>percent_25</t>
        </is>
      </c>
      <c r="BG6" s="1" t="inlineStr">
        <is>
          <t>percent_50</t>
        </is>
      </c>
      <c r="BH6" s="1" t="inlineStr">
        <is>
          <t>percent_75</t>
        </is>
      </c>
      <c r="BI6" s="1" t="inlineStr">
        <is>
          <t>percent_100</t>
        </is>
      </c>
      <c r="BJ6" s="1" t="inlineStr">
        <is>
          <t>CTR</t>
        </is>
      </c>
      <c r="BK6" s="1" t="inlineStr">
        <is>
          <t>Spent Budget %</t>
        </is>
      </c>
      <c r="BL6" s="1" t="inlineStr">
        <is>
          <t>CPC</t>
        </is>
      </c>
      <c r="BM6" s="1" t="inlineStr">
        <is>
          <t>CPV</t>
        </is>
      </c>
      <c r="BN6" s="1" t="inlineStr">
        <is>
          <t>date</t>
        </is>
      </c>
      <c r="BO6" s="1" t="inlineStr">
        <is>
          <t>budget</t>
        </is>
      </c>
      <c r="BP6" s="1" t="inlineStr">
        <is>
          <t>impressions</t>
        </is>
      </c>
      <c r="BQ6" s="1" t="inlineStr">
        <is>
          <t>clicks</t>
        </is>
      </c>
      <c r="BR6" s="1" t="inlineStr">
        <is>
          <t>view</t>
        </is>
      </c>
      <c r="BS6" s="1" t="inlineStr">
        <is>
          <t>percent_25</t>
        </is>
      </c>
      <c r="BT6" s="1" t="inlineStr">
        <is>
          <t>percent_50</t>
        </is>
      </c>
      <c r="BU6" s="1" t="inlineStr">
        <is>
          <t>percent_75</t>
        </is>
      </c>
      <c r="BV6" s="1" t="inlineStr">
        <is>
          <t>percent_100</t>
        </is>
      </c>
      <c r="BW6" s="1" t="inlineStr">
        <is>
          <t>CTR</t>
        </is>
      </c>
      <c r="BX6" s="1" t="inlineStr">
        <is>
          <t>Spent Budget %</t>
        </is>
      </c>
      <c r="BY6" s="1" t="inlineStr">
        <is>
          <t>CPC</t>
        </is>
      </c>
      <c r="BZ6" s="1" t="inlineStr">
        <is>
          <t>CPV</t>
        </is>
      </c>
      <c r="CA6" s="1" t="inlineStr">
        <is>
          <t>date</t>
        </is>
      </c>
      <c r="CB6" s="1" t="inlineStr">
        <is>
          <t>budget</t>
        </is>
      </c>
      <c r="CC6" s="1" t="inlineStr">
        <is>
          <t>impressions</t>
        </is>
      </c>
      <c r="CD6" s="1" t="inlineStr">
        <is>
          <t>clicks</t>
        </is>
      </c>
      <c r="CE6" s="1" t="inlineStr">
        <is>
          <t>view</t>
        </is>
      </c>
      <c r="CF6" s="1" t="inlineStr">
        <is>
          <t>percent_25</t>
        </is>
      </c>
      <c r="CG6" s="1" t="inlineStr">
        <is>
          <t>percent_50</t>
        </is>
      </c>
      <c r="CH6" s="1" t="inlineStr">
        <is>
          <t>percent_75</t>
        </is>
      </c>
      <c r="CI6" s="1" t="inlineStr">
        <is>
          <t>percent_100</t>
        </is>
      </c>
      <c r="CJ6" s="1" t="inlineStr">
        <is>
          <t>CTR</t>
        </is>
      </c>
      <c r="CK6" s="1" t="inlineStr">
        <is>
          <t>Spent Budget %</t>
        </is>
      </c>
      <c r="CL6" s="1" t="inlineStr">
        <is>
          <t>CPC</t>
        </is>
      </c>
      <c r="CM6" s="1" t="inlineStr">
        <is>
          <t>CPV</t>
        </is>
      </c>
      <c r="CN6" s="1" t="inlineStr">
        <is>
          <t>date</t>
        </is>
      </c>
      <c r="CO6" s="1" t="inlineStr">
        <is>
          <t>budget</t>
        </is>
      </c>
      <c r="CP6" s="1" t="inlineStr">
        <is>
          <t>impressions</t>
        </is>
      </c>
      <c r="CQ6" s="1" t="inlineStr">
        <is>
          <t>clicks</t>
        </is>
      </c>
      <c r="CR6" s="1" t="inlineStr">
        <is>
          <t>view</t>
        </is>
      </c>
      <c r="CS6" s="1" t="inlineStr">
        <is>
          <t>percent_25</t>
        </is>
      </c>
      <c r="CT6" s="1" t="inlineStr">
        <is>
          <t>percent_50</t>
        </is>
      </c>
      <c r="CU6" s="1" t="inlineStr">
        <is>
          <t>percent_75</t>
        </is>
      </c>
      <c r="CV6" s="1" t="inlineStr">
        <is>
          <t>percent_100</t>
        </is>
      </c>
      <c r="CW6" s="1" t="inlineStr">
        <is>
          <t>CTR</t>
        </is>
      </c>
      <c r="CX6" s="1" t="inlineStr">
        <is>
          <t>Spent Budget %</t>
        </is>
      </c>
      <c r="CY6" s="1" t="inlineStr">
        <is>
          <t>CPC</t>
        </is>
      </c>
      <c r="CZ6" s="1" t="inlineStr">
        <is>
          <t>CPV</t>
        </is>
      </c>
      <c r="DA6" s="1" t="inlineStr">
        <is>
          <t>date</t>
        </is>
      </c>
      <c r="DB6" s="1" t="inlineStr">
        <is>
          <t>budget</t>
        </is>
      </c>
      <c r="DC6" s="1" t="inlineStr">
        <is>
          <t>impressions</t>
        </is>
      </c>
      <c r="DD6" s="1" t="inlineStr">
        <is>
          <t>clicks</t>
        </is>
      </c>
      <c r="DE6" s="1" t="inlineStr">
        <is>
          <t>view</t>
        </is>
      </c>
      <c r="DF6" s="1" t="inlineStr">
        <is>
          <t>percent_25</t>
        </is>
      </c>
      <c r="DG6" s="1" t="inlineStr">
        <is>
          <t>percent_50</t>
        </is>
      </c>
      <c r="DH6" s="1" t="inlineStr">
        <is>
          <t>percent_75</t>
        </is>
      </c>
      <c r="DI6" s="1" t="inlineStr">
        <is>
          <t>percent_100</t>
        </is>
      </c>
      <c r="DJ6" s="1" t="inlineStr">
        <is>
          <t>CTR</t>
        </is>
      </c>
      <c r="DK6" s="1" t="inlineStr">
        <is>
          <t>Spent Budget %</t>
        </is>
      </c>
      <c r="DL6" s="1" t="inlineStr">
        <is>
          <t>CPC</t>
        </is>
      </c>
      <c r="DM6" s="1" t="inlineStr">
        <is>
          <t>CPV</t>
        </is>
      </c>
      <c r="DN6" s="1" t="inlineStr">
        <is>
          <t>date</t>
        </is>
      </c>
      <c r="DO6" s="1" t="inlineStr">
        <is>
          <t>budget</t>
        </is>
      </c>
      <c r="DP6" s="1" t="inlineStr">
        <is>
          <t>impressions</t>
        </is>
      </c>
      <c r="DQ6" s="1" t="inlineStr">
        <is>
          <t>clicks</t>
        </is>
      </c>
      <c r="DR6" s="1" t="inlineStr">
        <is>
          <t>view</t>
        </is>
      </c>
      <c r="DS6" s="1" t="inlineStr">
        <is>
          <t>percent_25</t>
        </is>
      </c>
      <c r="DT6" s="1" t="inlineStr">
        <is>
          <t>percent_50</t>
        </is>
      </c>
      <c r="DU6" s="1" t="inlineStr">
        <is>
          <t>percent_75</t>
        </is>
      </c>
      <c r="DV6" s="1" t="inlineStr">
        <is>
          <t>percent_100</t>
        </is>
      </c>
      <c r="DW6" s="1" t="inlineStr">
        <is>
          <t>CTR</t>
        </is>
      </c>
      <c r="DX6" s="1" t="inlineStr">
        <is>
          <t>Spent Budget %</t>
        </is>
      </c>
      <c r="DY6" s="1" t="inlineStr">
        <is>
          <t>CPC</t>
        </is>
      </c>
      <c r="DZ6" s="1" t="inlineStr">
        <is>
          <t>CPV</t>
        </is>
      </c>
      <c r="EA6" s="1" t="inlineStr">
        <is>
          <t>date</t>
        </is>
      </c>
      <c r="EB6" s="1" t="inlineStr">
        <is>
          <t>budget</t>
        </is>
      </c>
      <c r="EC6" s="1" t="inlineStr">
        <is>
          <t>impressions</t>
        </is>
      </c>
      <c r="ED6" s="1" t="inlineStr">
        <is>
          <t>clicks</t>
        </is>
      </c>
      <c r="EE6" s="1" t="inlineStr">
        <is>
          <t>view</t>
        </is>
      </c>
      <c r="EF6" s="1" t="inlineStr">
        <is>
          <t>percent_25</t>
        </is>
      </c>
      <c r="EG6" s="1" t="inlineStr">
        <is>
          <t>percent_50</t>
        </is>
      </c>
      <c r="EH6" s="1" t="inlineStr">
        <is>
          <t>percent_75</t>
        </is>
      </c>
      <c r="EI6" s="1" t="inlineStr">
        <is>
          <t>percent_100</t>
        </is>
      </c>
      <c r="EJ6" s="1" t="inlineStr">
        <is>
          <t>CTR</t>
        </is>
      </c>
      <c r="EK6" s="1" t="inlineStr">
        <is>
          <t>Spent Budget %</t>
        </is>
      </c>
      <c r="EL6" s="1" t="inlineStr">
        <is>
          <t>CPC</t>
        </is>
      </c>
      <c r="EM6" s="1" t="inlineStr">
        <is>
          <t>CPV</t>
        </is>
      </c>
    </row>
    <row r="7">
      <c r="A7" s="2" t="inlineStr">
        <is>
          <t>2023-10-23</t>
        </is>
      </c>
      <c r="B7" s="5">
        <f>ROUND(125.34,2)</f>
        <v/>
      </c>
      <c r="C7" s="3">
        <f>ROUND(91673.0,2)</f>
        <v/>
      </c>
      <c r="D7" s="3">
        <f>ROUND(3026.0,2)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IFERROR(((0+B7)/T2),0)</f>
        <v/>
      </c>
      <c r="L7" s="5">
        <f>IFERROR(ROUND(B7/D7,2),0)</f>
        <v/>
      </c>
      <c r="M7" s="5">
        <f>IFERROR(ROUND(B7/E7,2),0)</f>
        <v/>
      </c>
      <c r="N7" s="2" t="inlineStr">
        <is>
          <t>2023-10-23</t>
        </is>
      </c>
      <c r="O7" s="5">
        <f>ROUND(6.51,2)</f>
        <v/>
      </c>
      <c r="P7" s="3">
        <f>ROUND(5008.0,2)</f>
        <v/>
      </c>
      <c r="Q7" s="3">
        <f>ROUND(151.0,2)</f>
        <v/>
      </c>
      <c r="R7" s="3">
        <f>ROUND(0.0,2)</f>
        <v/>
      </c>
      <c r="S7" s="3">
        <f>ROUND(0.0,2)</f>
        <v/>
      </c>
      <c r="T7" s="3">
        <f>ROUND(0.0,2)</f>
        <v/>
      </c>
      <c r="U7" s="3">
        <f>ROUND(0.0,2)</f>
        <v/>
      </c>
      <c r="V7" s="3">
        <f>ROUND(0.0,2)</f>
        <v/>
      </c>
      <c r="W7" s="4">
        <f>IFERROR((Q7/P7),0)</f>
        <v/>
      </c>
      <c r="X7" s="4">
        <f>IFERROR(((0+O7)/T2),0)</f>
        <v/>
      </c>
      <c r="Y7" s="5">
        <f>IFERROR(ROUND(O7/Q7,2),0)</f>
        <v/>
      </c>
      <c r="Z7" s="5">
        <f>IFERROR(ROUND(O7/R7,2),0)</f>
        <v/>
      </c>
      <c r="AA7" s="2" t="inlineStr">
        <is>
          <t>2023-10-23</t>
        </is>
      </c>
      <c r="AB7" s="5">
        <f>ROUND(18.23,2)</f>
        <v/>
      </c>
      <c r="AC7" s="3">
        <f>ROUND(12974.0,2)</f>
        <v/>
      </c>
      <c r="AD7" s="3">
        <f>ROUND(413.0,2)</f>
        <v/>
      </c>
      <c r="AE7" s="3">
        <f>ROUND(0.0,2)</f>
        <v/>
      </c>
      <c r="AF7" s="3">
        <f>ROUND(0.0,2)</f>
        <v/>
      </c>
      <c r="AG7" s="3">
        <f>ROUND(0.0,2)</f>
        <v/>
      </c>
      <c r="AH7" s="3">
        <f>ROUND(0.0,2)</f>
        <v/>
      </c>
      <c r="AI7" s="3">
        <f>ROUND(0.0,2)</f>
        <v/>
      </c>
      <c r="AJ7" s="4">
        <f>IFERROR((AD7/AC7),0)</f>
        <v/>
      </c>
      <c r="AK7" s="4">
        <f>IFERROR(((0+AB7)/T2),0)</f>
        <v/>
      </c>
      <c r="AL7" s="5">
        <f>IFERROR(ROUND(AB7/AD7,2),0)</f>
        <v/>
      </c>
      <c r="AM7" s="5">
        <f>IFERROR(ROUND(AB7/AE7,2),0)</f>
        <v/>
      </c>
      <c r="AN7" s="2" t="inlineStr">
        <is>
          <t>2023-10-23</t>
        </is>
      </c>
      <c r="AO7" s="5">
        <f>ROUND(19.9,2)</f>
        <v/>
      </c>
      <c r="AP7" s="3">
        <f>ROUND(12600.0,2)</f>
        <v/>
      </c>
      <c r="AQ7" s="3">
        <f>ROUND(500.0,2)</f>
        <v/>
      </c>
      <c r="AR7" s="3">
        <f>ROUND(0.0,2)</f>
        <v/>
      </c>
      <c r="AS7" s="3">
        <f>ROUND(0.0,2)</f>
        <v/>
      </c>
      <c r="AT7" s="3">
        <f>ROUND(0.0,2)</f>
        <v/>
      </c>
      <c r="AU7" s="3">
        <f>ROUND(0.0,2)</f>
        <v/>
      </c>
      <c r="AV7" s="3">
        <f>ROUND(0.0,2)</f>
        <v/>
      </c>
      <c r="AW7" s="4">
        <f>IFERROR((AQ7/AP7),0)</f>
        <v/>
      </c>
      <c r="AX7" s="4">
        <f>IFERROR(((0+AO7)/T2),0)</f>
        <v/>
      </c>
      <c r="AY7" s="5">
        <f>IFERROR(ROUND(AO7/AQ7,2),0)</f>
        <v/>
      </c>
      <c r="AZ7" s="5">
        <f>IFERROR(ROUND(AO7/AR7,2),0)</f>
        <v/>
      </c>
      <c r="BA7" s="2" t="inlineStr">
        <is>
          <t>2023-10-23</t>
        </is>
      </c>
      <c r="BB7" s="5">
        <f>ROUND(5.01,2)</f>
        <v/>
      </c>
      <c r="BC7" s="3">
        <f>ROUND(3184.0,2)</f>
        <v/>
      </c>
      <c r="BD7" s="3">
        <f>ROUND(81.0,2)</f>
        <v/>
      </c>
      <c r="BE7" s="3">
        <f>ROUND(0.0,2)</f>
        <v/>
      </c>
      <c r="BF7" s="3">
        <f>ROUND(0.0,2)</f>
        <v/>
      </c>
      <c r="BG7" s="3">
        <f>ROUND(0.0,2)</f>
        <v/>
      </c>
      <c r="BH7" s="3">
        <f>ROUND(0.0,2)</f>
        <v/>
      </c>
      <c r="BI7" s="3">
        <f>ROUND(0.0,2)</f>
        <v/>
      </c>
      <c r="BJ7" s="4">
        <f>IFERROR((BD7/BC7),0)</f>
        <v/>
      </c>
      <c r="BK7" s="4">
        <f>IFERROR(((0+BB7)/T2),0)</f>
        <v/>
      </c>
      <c r="BL7" s="5">
        <f>IFERROR(ROUND(BB7/BD7,2),0)</f>
        <v/>
      </c>
      <c r="BM7" s="5">
        <f>IFERROR(ROUND(BB7/BE7,2),0)</f>
        <v/>
      </c>
      <c r="BN7" s="2" t="inlineStr">
        <is>
          <t>2023-10-23</t>
        </is>
      </c>
      <c r="BO7" s="5">
        <f>ROUND(25.61,2)</f>
        <v/>
      </c>
      <c r="BP7" s="3">
        <f>ROUND(26191.0,2)</f>
        <v/>
      </c>
      <c r="BQ7" s="3">
        <f>ROUND(764.0,2)</f>
        <v/>
      </c>
      <c r="BR7" s="3">
        <f>ROUND(0.0,2)</f>
        <v/>
      </c>
      <c r="BS7" s="3">
        <f>ROUND(0.0,2)</f>
        <v/>
      </c>
      <c r="BT7" s="3">
        <f>ROUND(0.0,2)</f>
        <v/>
      </c>
      <c r="BU7" s="3">
        <f>ROUND(0.0,2)</f>
        <v/>
      </c>
      <c r="BV7" s="3">
        <f>ROUND(0.0,2)</f>
        <v/>
      </c>
      <c r="BW7" s="4">
        <f>IFERROR((BQ7/BP7),0)</f>
        <v/>
      </c>
      <c r="BX7" s="4">
        <f>IFERROR(((0+BO7)/T2),0)</f>
        <v/>
      </c>
      <c r="BY7" s="5">
        <f>IFERROR(ROUND(BO7/BQ7,2),0)</f>
        <v/>
      </c>
      <c r="BZ7" s="5">
        <f>IFERROR(ROUND(BO7/BR7,2),0)</f>
        <v/>
      </c>
      <c r="CA7" s="2" t="inlineStr">
        <is>
          <t>2023-10-23</t>
        </is>
      </c>
      <c r="CB7" s="5">
        <f>ROUND(14.23,2)</f>
        <v/>
      </c>
      <c r="CC7" s="3">
        <f>ROUND(9370.0,2)</f>
        <v/>
      </c>
      <c r="CD7" s="3">
        <f>ROUND(346.0,2)</f>
        <v/>
      </c>
      <c r="CE7" s="3">
        <f>ROUND(0.0,2)</f>
        <v/>
      </c>
      <c r="CF7" s="3">
        <f>ROUND(0.0,2)</f>
        <v/>
      </c>
      <c r="CG7" s="3">
        <f>ROUND(0.0,2)</f>
        <v/>
      </c>
      <c r="CH7" s="3">
        <f>ROUND(0.0,2)</f>
        <v/>
      </c>
      <c r="CI7" s="3">
        <f>ROUND(0.0,2)</f>
        <v/>
      </c>
      <c r="CJ7" s="4">
        <f>IFERROR((CD7/CC7),0)</f>
        <v/>
      </c>
      <c r="CK7" s="4">
        <f>IFERROR(((0+CB7)/T2),0)</f>
        <v/>
      </c>
      <c r="CL7" s="5">
        <f>IFERROR(ROUND(CB7/CD7,2),0)</f>
        <v/>
      </c>
      <c r="CM7" s="5">
        <f>IFERROR(ROUND(CB7/CE7,2),0)</f>
        <v/>
      </c>
      <c r="CN7" s="2" t="inlineStr">
        <is>
          <t>2023-10-23</t>
        </is>
      </c>
      <c r="CO7" s="5">
        <f>ROUND(10.92,2)</f>
        <v/>
      </c>
      <c r="CP7" s="3">
        <f>ROUND(7940.0,2)</f>
        <v/>
      </c>
      <c r="CQ7" s="3">
        <f>ROUND(259.0,2)</f>
        <v/>
      </c>
      <c r="CR7" s="3">
        <f>ROUND(0.0,2)</f>
        <v/>
      </c>
      <c r="CS7" s="3">
        <f>ROUND(0.0,2)</f>
        <v/>
      </c>
      <c r="CT7" s="3">
        <f>ROUND(0.0,2)</f>
        <v/>
      </c>
      <c r="CU7" s="3">
        <f>ROUND(0.0,2)</f>
        <v/>
      </c>
      <c r="CV7" s="3">
        <f>ROUND(0.0,2)</f>
        <v/>
      </c>
      <c r="CW7" s="4">
        <f>IFERROR((CQ7/CP7),0)</f>
        <v/>
      </c>
      <c r="CX7" s="4">
        <f>IFERROR(((0+CO7)/T2),0)</f>
        <v/>
      </c>
      <c r="CY7" s="5">
        <f>IFERROR(ROUND(CO7/CQ7,2),0)</f>
        <v/>
      </c>
      <c r="CZ7" s="5">
        <f>IFERROR(ROUND(CO7/CR7,2),0)</f>
        <v/>
      </c>
      <c r="DA7" s="2" t="inlineStr">
        <is>
          <t>2023-10-23</t>
        </is>
      </c>
      <c r="DB7" s="5">
        <f>ROUND(9.09,2)</f>
        <v/>
      </c>
      <c r="DC7" s="3">
        <f>ROUND(5229.0,2)</f>
        <v/>
      </c>
      <c r="DD7" s="3">
        <f>ROUND(182.0,2)</f>
        <v/>
      </c>
      <c r="DE7" s="3">
        <f>ROUND(0.0,2)</f>
        <v/>
      </c>
      <c r="DF7" s="3">
        <f>ROUND(0.0,2)</f>
        <v/>
      </c>
      <c r="DG7" s="3">
        <f>ROUND(0.0,2)</f>
        <v/>
      </c>
      <c r="DH7" s="3">
        <f>ROUND(0.0,2)</f>
        <v/>
      </c>
      <c r="DI7" s="3">
        <f>ROUND(0.0,2)</f>
        <v/>
      </c>
      <c r="DJ7" s="4">
        <f>IFERROR((DD7/DC7),0)</f>
        <v/>
      </c>
      <c r="DK7" s="4">
        <f>IFERROR(((0+DB7)/T2),0)</f>
        <v/>
      </c>
      <c r="DL7" s="5">
        <f>IFERROR(ROUND(DB7/DD7,2),0)</f>
        <v/>
      </c>
      <c r="DM7" s="5">
        <f>IFERROR(ROUND(DB7/DE7,2),0)</f>
        <v/>
      </c>
      <c r="DN7" s="2" t="inlineStr">
        <is>
          <t>2023-10-23</t>
        </is>
      </c>
      <c r="DO7" s="5">
        <f>ROUND(15.84,2)</f>
        <v/>
      </c>
      <c r="DP7" s="3">
        <f>ROUND(9177.0,2)</f>
        <v/>
      </c>
      <c r="DQ7" s="3">
        <f>ROUND(330.0,2)</f>
        <v/>
      </c>
      <c r="DR7" s="3">
        <f>ROUND(0.0,2)</f>
        <v/>
      </c>
      <c r="DS7" s="3">
        <f>ROUND(0.0,2)</f>
        <v/>
      </c>
      <c r="DT7" s="3">
        <f>ROUND(0.0,2)</f>
        <v/>
      </c>
      <c r="DU7" s="3">
        <f>ROUND(0.0,2)</f>
        <v/>
      </c>
      <c r="DV7" s="3">
        <f>ROUND(0.0,2)</f>
        <v/>
      </c>
      <c r="DW7" s="4">
        <f>IFERROR((DQ7/DP7),0)</f>
        <v/>
      </c>
      <c r="DX7" s="4">
        <f>IFERROR(((0+DO7)/T2),0)</f>
        <v/>
      </c>
      <c r="DY7" s="5">
        <f>IFERROR(ROUND(DO7/DQ7,2),0)</f>
        <v/>
      </c>
      <c r="DZ7" s="5">
        <f>IFERROR(ROUND(DO7/DR7,2),0)</f>
        <v/>
      </c>
      <c r="EA7" s="2" t="inlineStr">
        <is>
          <t>2023-10-23</t>
        </is>
      </c>
      <c r="EB7" s="5">
        <f>ROUND(0.0,2)</f>
        <v/>
      </c>
      <c r="EC7" s="3">
        <f>ROUND(0.0,2)</f>
        <v/>
      </c>
      <c r="ED7" s="3">
        <f>ROUND(0.0,2)</f>
        <v/>
      </c>
      <c r="EE7" s="3">
        <f>ROUND(0.0,2)</f>
        <v/>
      </c>
      <c r="EF7" s="3">
        <f>ROUND(0.0,2)</f>
        <v/>
      </c>
      <c r="EG7" s="3">
        <f>ROUND(0.0,2)</f>
        <v/>
      </c>
      <c r="EH7" s="3">
        <f>ROUND(0.0,2)</f>
        <v/>
      </c>
      <c r="EI7" s="3">
        <f>ROUND(0.0,2)</f>
        <v/>
      </c>
      <c r="EJ7" s="4">
        <f>IFERROR((ED7/EC7),0)</f>
        <v/>
      </c>
      <c r="EK7" s="4">
        <f>IFERROR(((0+EB7)/T2),0)</f>
        <v/>
      </c>
      <c r="EL7" s="5">
        <f>IFERROR(ROUND(EB7/ED7,2),0)</f>
        <v/>
      </c>
      <c r="EM7" s="5">
        <f>IFERROR(ROUND(EB7/EE7,2),0)</f>
        <v/>
      </c>
    </row>
    <row r="8">
      <c r="A8" s="2" t="inlineStr">
        <is>
          <t>2023-10-24</t>
        </is>
      </c>
      <c r="B8" s="5">
        <f>ROUND(122.66,2)</f>
        <v/>
      </c>
      <c r="C8" s="3">
        <f>ROUND(144748.0,2)</f>
        <v/>
      </c>
      <c r="D8" s="3">
        <f>ROUND(2728.0,2)</f>
        <v/>
      </c>
      <c r="E8" s="3">
        <f>ROUND(0.0,2)</f>
        <v/>
      </c>
      <c r="F8" s="3">
        <f>ROUND(0.0,2)</f>
        <v/>
      </c>
      <c r="G8" s="3">
        <f>ROUND(0.0,2)</f>
        <v/>
      </c>
      <c r="H8" s="3">
        <f>ROUND(0.0,2)</f>
        <v/>
      </c>
      <c r="I8" s="3">
        <f>ROUND(0.0,2)</f>
        <v/>
      </c>
      <c r="J8" s="4">
        <f>IFERROR((D8/C8),0)</f>
        <v/>
      </c>
      <c r="K8" s="4">
        <f>IFERROR(((0+B7+B8)/T2),0)</f>
        <v/>
      </c>
      <c r="L8" s="5">
        <f>IFERROR(ROUND(B8/D8,2),0)</f>
        <v/>
      </c>
      <c r="M8" s="5">
        <f>IFERROR(ROUND(B8/E8,2),0)</f>
        <v/>
      </c>
      <c r="N8" s="2" t="inlineStr">
        <is>
          <t>2023-10-24</t>
        </is>
      </c>
      <c r="O8" s="5">
        <f>ROUND(11.44,2)</f>
        <v/>
      </c>
      <c r="P8" s="3">
        <f>ROUND(19594.0,2)</f>
        <v/>
      </c>
      <c r="Q8" s="3">
        <f>ROUND(294.0,2)</f>
        <v/>
      </c>
      <c r="R8" s="3">
        <f>ROUND(0.0,2)</f>
        <v/>
      </c>
      <c r="S8" s="3">
        <f>ROUND(0.0,2)</f>
        <v/>
      </c>
      <c r="T8" s="3">
        <f>ROUND(0.0,2)</f>
        <v/>
      </c>
      <c r="U8" s="3">
        <f>ROUND(0.0,2)</f>
        <v/>
      </c>
      <c r="V8" s="3">
        <f>ROUND(0.0,2)</f>
        <v/>
      </c>
      <c r="W8" s="4">
        <f>IFERROR((Q8/P8),0)</f>
        <v/>
      </c>
      <c r="X8" s="4">
        <f>IFERROR(((0+O7+O8)/T2),0)</f>
        <v/>
      </c>
      <c r="Y8" s="5">
        <f>IFERROR(ROUND(O8/Q8,2),0)</f>
        <v/>
      </c>
      <c r="Z8" s="5">
        <f>IFERROR(ROUND(O8/R8,2),0)</f>
        <v/>
      </c>
      <c r="AA8" s="2" t="inlineStr">
        <is>
          <t>2023-10-24</t>
        </is>
      </c>
      <c r="AB8" s="5">
        <f>ROUND(12.83,2)</f>
        <v/>
      </c>
      <c r="AC8" s="3">
        <f>ROUND(21897.0,2)</f>
        <v/>
      </c>
      <c r="AD8" s="3">
        <f>ROUND(307.0,2)</f>
        <v/>
      </c>
      <c r="AE8" s="3">
        <f>ROUND(0.0,2)</f>
        <v/>
      </c>
      <c r="AF8" s="3">
        <f>ROUND(0.0,2)</f>
        <v/>
      </c>
      <c r="AG8" s="3">
        <f>ROUND(0.0,2)</f>
        <v/>
      </c>
      <c r="AH8" s="3">
        <f>ROUND(0.0,2)</f>
        <v/>
      </c>
      <c r="AI8" s="3">
        <f>ROUND(0.0,2)</f>
        <v/>
      </c>
      <c r="AJ8" s="4">
        <f>IFERROR((AD8/AC8),0)</f>
        <v/>
      </c>
      <c r="AK8" s="4">
        <f>IFERROR(((0+AB7+AB8)/T2),0)</f>
        <v/>
      </c>
      <c r="AL8" s="5">
        <f>IFERROR(ROUND(AB8/AD8,2),0)</f>
        <v/>
      </c>
      <c r="AM8" s="5">
        <f>IFERROR(ROUND(AB8/AE8,2),0)</f>
        <v/>
      </c>
      <c r="AN8" s="2" t="inlineStr">
        <is>
          <t>2023-10-24</t>
        </is>
      </c>
      <c r="AO8" s="5">
        <f>ROUND(12.26,2)</f>
        <v/>
      </c>
      <c r="AP8" s="3">
        <f>ROUND(11571.0,2)</f>
        <v/>
      </c>
      <c r="AQ8" s="3">
        <f>ROUND(210.0,2)</f>
        <v/>
      </c>
      <c r="AR8" s="3">
        <f>ROUND(0.0,2)</f>
        <v/>
      </c>
      <c r="AS8" s="3">
        <f>ROUND(0.0,2)</f>
        <v/>
      </c>
      <c r="AT8" s="3">
        <f>ROUND(0.0,2)</f>
        <v/>
      </c>
      <c r="AU8" s="3">
        <f>ROUND(0.0,2)</f>
        <v/>
      </c>
      <c r="AV8" s="3">
        <f>ROUND(0.0,2)</f>
        <v/>
      </c>
      <c r="AW8" s="4">
        <f>IFERROR((AQ8/AP8),0)</f>
        <v/>
      </c>
      <c r="AX8" s="4">
        <f>IFERROR(((0+AO7+AO8)/T2),0)</f>
        <v/>
      </c>
      <c r="AY8" s="5">
        <f>IFERROR(ROUND(AO8/AQ8,2),0)</f>
        <v/>
      </c>
      <c r="AZ8" s="5">
        <f>IFERROR(ROUND(AO8/AR8,2),0)</f>
        <v/>
      </c>
      <c r="BA8" s="2" t="inlineStr">
        <is>
          <t>2023-10-24</t>
        </is>
      </c>
      <c r="BB8" s="5">
        <f>ROUND(12.36,2)</f>
        <v/>
      </c>
      <c r="BC8" s="3">
        <f>ROUND(13767.0,2)</f>
        <v/>
      </c>
      <c r="BD8" s="3">
        <f>ROUND(189.0,2)</f>
        <v/>
      </c>
      <c r="BE8" s="3">
        <f>ROUND(0.0,2)</f>
        <v/>
      </c>
      <c r="BF8" s="3">
        <f>ROUND(0.0,2)</f>
        <v/>
      </c>
      <c r="BG8" s="3">
        <f>ROUND(0.0,2)</f>
        <v/>
      </c>
      <c r="BH8" s="3">
        <f>ROUND(0.0,2)</f>
        <v/>
      </c>
      <c r="BI8" s="3">
        <f>ROUND(0.0,2)</f>
        <v/>
      </c>
      <c r="BJ8" s="4">
        <f>IFERROR((BD8/BC8),0)</f>
        <v/>
      </c>
      <c r="BK8" s="4">
        <f>IFERROR(((0+BB7+BB8)/T2),0)</f>
        <v/>
      </c>
      <c r="BL8" s="5">
        <f>IFERROR(ROUND(BB8/BD8,2),0)</f>
        <v/>
      </c>
      <c r="BM8" s="5">
        <f>IFERROR(ROUND(BB8/BE8,2),0)</f>
        <v/>
      </c>
      <c r="BN8" s="2" t="inlineStr">
        <is>
          <t>2023-10-24</t>
        </is>
      </c>
      <c r="BO8" s="5">
        <f>ROUND(24.26,2)</f>
        <v/>
      </c>
      <c r="BP8" s="3">
        <f>ROUND(25321.0,2)</f>
        <v/>
      </c>
      <c r="BQ8" s="3">
        <f>ROUND(578.0,2)</f>
        <v/>
      </c>
      <c r="BR8" s="3">
        <f>ROUND(0.0,2)</f>
        <v/>
      </c>
      <c r="BS8" s="3">
        <f>ROUND(0.0,2)</f>
        <v/>
      </c>
      <c r="BT8" s="3">
        <f>ROUND(0.0,2)</f>
        <v/>
      </c>
      <c r="BU8" s="3">
        <f>ROUND(0.0,2)</f>
        <v/>
      </c>
      <c r="BV8" s="3">
        <f>ROUND(0.0,2)</f>
        <v/>
      </c>
      <c r="BW8" s="4">
        <f>IFERROR((BQ8/BP8),0)</f>
        <v/>
      </c>
      <c r="BX8" s="4">
        <f>IFERROR(((0+BO7+BO8)/T2),0)</f>
        <v/>
      </c>
      <c r="BY8" s="5">
        <f>IFERROR(ROUND(BO8/BQ8,2),0)</f>
        <v/>
      </c>
      <c r="BZ8" s="5">
        <f>IFERROR(ROUND(BO8/BR8,2),0)</f>
        <v/>
      </c>
      <c r="CA8" s="2" t="inlineStr">
        <is>
          <t>2023-10-24</t>
        </is>
      </c>
      <c r="CB8" s="5">
        <f>ROUND(13.66,2)</f>
        <v/>
      </c>
      <c r="CC8" s="3">
        <f>ROUND(13802.0,2)</f>
        <v/>
      </c>
      <c r="CD8" s="3">
        <f>ROUND(333.0,2)</f>
        <v/>
      </c>
      <c r="CE8" s="3">
        <f>ROUND(0.0,2)</f>
        <v/>
      </c>
      <c r="CF8" s="3">
        <f>ROUND(0.0,2)</f>
        <v/>
      </c>
      <c r="CG8" s="3">
        <f>ROUND(0.0,2)</f>
        <v/>
      </c>
      <c r="CH8" s="3">
        <f>ROUND(0.0,2)</f>
        <v/>
      </c>
      <c r="CI8" s="3">
        <f>ROUND(0.0,2)</f>
        <v/>
      </c>
      <c r="CJ8" s="4">
        <f>IFERROR((CD8/CC8),0)</f>
        <v/>
      </c>
      <c r="CK8" s="4">
        <f>IFERROR(((0+CB7+CB8)/T2),0)</f>
        <v/>
      </c>
      <c r="CL8" s="5">
        <f>IFERROR(ROUND(CB8/CD8,2),0)</f>
        <v/>
      </c>
      <c r="CM8" s="5">
        <f>IFERROR(ROUND(CB8/CE8,2),0)</f>
        <v/>
      </c>
      <c r="CN8" s="2" t="inlineStr">
        <is>
          <t>2023-10-24</t>
        </is>
      </c>
      <c r="CO8" s="5">
        <f>ROUND(10.78,2)</f>
        <v/>
      </c>
      <c r="CP8" s="3">
        <f>ROUND(8265.0,2)</f>
        <v/>
      </c>
      <c r="CQ8" s="3">
        <f>ROUND(228.0,2)</f>
        <v/>
      </c>
      <c r="CR8" s="3">
        <f>ROUND(0.0,2)</f>
        <v/>
      </c>
      <c r="CS8" s="3">
        <f>ROUND(0.0,2)</f>
        <v/>
      </c>
      <c r="CT8" s="3">
        <f>ROUND(0.0,2)</f>
        <v/>
      </c>
      <c r="CU8" s="3">
        <f>ROUND(0.0,2)</f>
        <v/>
      </c>
      <c r="CV8" s="3">
        <f>ROUND(0.0,2)</f>
        <v/>
      </c>
      <c r="CW8" s="4">
        <f>IFERROR((CQ8/CP8),0)</f>
        <v/>
      </c>
      <c r="CX8" s="4">
        <f>IFERROR(((0+CO7+CO8)/T2),0)</f>
        <v/>
      </c>
      <c r="CY8" s="5">
        <f>IFERROR(ROUND(CO8/CQ8,2),0)</f>
        <v/>
      </c>
      <c r="CZ8" s="5">
        <f>IFERROR(ROUND(CO8/CR8,2),0)</f>
        <v/>
      </c>
      <c r="DA8" s="2" t="inlineStr">
        <is>
          <t>2023-10-24</t>
        </is>
      </c>
      <c r="DB8" s="5">
        <f>ROUND(10.59,2)</f>
        <v/>
      </c>
      <c r="DC8" s="3">
        <f>ROUND(15404.0,2)</f>
        <v/>
      </c>
      <c r="DD8" s="3">
        <f>ROUND(258.0,2)</f>
        <v/>
      </c>
      <c r="DE8" s="3">
        <f>ROUND(0.0,2)</f>
        <v/>
      </c>
      <c r="DF8" s="3">
        <f>ROUND(0.0,2)</f>
        <v/>
      </c>
      <c r="DG8" s="3">
        <f>ROUND(0.0,2)</f>
        <v/>
      </c>
      <c r="DH8" s="3">
        <f>ROUND(0.0,2)</f>
        <v/>
      </c>
      <c r="DI8" s="3">
        <f>ROUND(0.0,2)</f>
        <v/>
      </c>
      <c r="DJ8" s="4">
        <f>IFERROR((DD8/DC8),0)</f>
        <v/>
      </c>
      <c r="DK8" s="4">
        <f>IFERROR(((0+DB7+DB8)/T2),0)</f>
        <v/>
      </c>
      <c r="DL8" s="5">
        <f>IFERROR(ROUND(DB8/DD8,2),0)</f>
        <v/>
      </c>
      <c r="DM8" s="5">
        <f>IFERROR(ROUND(DB8/DE8,2),0)</f>
        <v/>
      </c>
      <c r="DN8" s="2" t="inlineStr">
        <is>
          <t>2023-10-24</t>
        </is>
      </c>
      <c r="DO8" s="5">
        <f>ROUND(14.48,2)</f>
        <v/>
      </c>
      <c r="DP8" s="3">
        <f>ROUND(15127.0,2)</f>
        <v/>
      </c>
      <c r="DQ8" s="3">
        <f>ROUND(331.0,2)</f>
        <v/>
      </c>
      <c r="DR8" s="3">
        <f>ROUND(0.0,2)</f>
        <v/>
      </c>
      <c r="DS8" s="3">
        <f>ROUND(0.0,2)</f>
        <v/>
      </c>
      <c r="DT8" s="3">
        <f>ROUND(0.0,2)</f>
        <v/>
      </c>
      <c r="DU8" s="3">
        <f>ROUND(0.0,2)</f>
        <v/>
      </c>
      <c r="DV8" s="3">
        <f>ROUND(0.0,2)</f>
        <v/>
      </c>
      <c r="DW8" s="4">
        <f>IFERROR((DQ8/DP8),0)</f>
        <v/>
      </c>
      <c r="DX8" s="4">
        <f>IFERROR(((0+DO7+DO8)/T2),0)</f>
        <v/>
      </c>
      <c r="DY8" s="5">
        <f>IFERROR(ROUND(DO8/DQ8,2),0)</f>
        <v/>
      </c>
      <c r="DZ8" s="5">
        <f>IFERROR(ROUND(DO8/DR8,2),0)</f>
        <v/>
      </c>
      <c r="EA8" s="2" t="inlineStr">
        <is>
          <t>2023-10-24</t>
        </is>
      </c>
      <c r="EB8" s="5">
        <f>ROUND(0.0,2)</f>
        <v/>
      </c>
      <c r="EC8" s="3">
        <f>ROUND(0.0,2)</f>
        <v/>
      </c>
      <c r="ED8" s="3">
        <f>ROUND(0.0,2)</f>
        <v/>
      </c>
      <c r="EE8" s="3">
        <f>ROUND(0.0,2)</f>
        <v/>
      </c>
      <c r="EF8" s="3">
        <f>ROUND(0.0,2)</f>
        <v/>
      </c>
      <c r="EG8" s="3">
        <f>ROUND(0.0,2)</f>
        <v/>
      </c>
      <c r="EH8" s="3">
        <f>ROUND(0.0,2)</f>
        <v/>
      </c>
      <c r="EI8" s="3">
        <f>ROUND(0.0,2)</f>
        <v/>
      </c>
      <c r="EJ8" s="4">
        <f>IFERROR((ED8/EC8),0)</f>
        <v/>
      </c>
      <c r="EK8" s="4">
        <f>IFERROR(((0+EB7+EB8)/T2),0)</f>
        <v/>
      </c>
      <c r="EL8" s="5">
        <f>IFERROR(ROUND(EB8/ED8,2),0)</f>
        <v/>
      </c>
      <c r="EM8" s="5">
        <f>IFERROR(ROUND(EB8/EE8,2),0)</f>
        <v/>
      </c>
    </row>
    <row r="9">
      <c r="A9" s="2" t="inlineStr">
        <is>
          <t>2023-10-25</t>
        </is>
      </c>
      <c r="B9" s="5">
        <f>ROUND(130.77,2)</f>
        <v/>
      </c>
      <c r="C9" s="3">
        <f>ROUND(114740.0,2)</f>
        <v/>
      </c>
      <c r="D9" s="3">
        <f>ROUND(2626.0,2)</f>
        <v/>
      </c>
      <c r="E9" s="3">
        <f>ROUND(0.0,2)</f>
        <v/>
      </c>
      <c r="F9" s="3">
        <f>ROUND(0.0,2)</f>
        <v/>
      </c>
      <c r="G9" s="3">
        <f>ROUND(0.0,2)</f>
        <v/>
      </c>
      <c r="H9" s="3">
        <f>ROUND(0.0,2)</f>
        <v/>
      </c>
      <c r="I9" s="3">
        <f>ROUND(0.0,2)</f>
        <v/>
      </c>
      <c r="J9" s="4">
        <f>IFERROR((D9/C9),0)</f>
        <v/>
      </c>
      <c r="K9" s="4">
        <f>IFERROR(((0+B7+B8+B9)/T2),0)</f>
        <v/>
      </c>
      <c r="L9" s="5">
        <f>IFERROR(ROUND(B9/D9,2),0)</f>
        <v/>
      </c>
      <c r="M9" s="5">
        <f>IFERROR(ROUND(B9/E9,2),0)</f>
        <v/>
      </c>
      <c r="N9" s="2" t="inlineStr">
        <is>
          <t>2023-10-25</t>
        </is>
      </c>
      <c r="O9" s="5">
        <f>ROUND(14.76,2)</f>
        <v/>
      </c>
      <c r="P9" s="3">
        <f>ROUND(12799.0,2)</f>
        <v/>
      </c>
      <c r="Q9" s="3">
        <f>ROUND(332.0,2)</f>
        <v/>
      </c>
      <c r="R9" s="3">
        <f>ROUND(0.0,2)</f>
        <v/>
      </c>
      <c r="S9" s="3">
        <f>ROUND(0.0,2)</f>
        <v/>
      </c>
      <c r="T9" s="3">
        <f>ROUND(0.0,2)</f>
        <v/>
      </c>
      <c r="U9" s="3">
        <f>ROUND(0.0,2)</f>
        <v/>
      </c>
      <c r="V9" s="3">
        <f>ROUND(0.0,2)</f>
        <v/>
      </c>
      <c r="W9" s="4">
        <f>IFERROR((Q9/P9),0)</f>
        <v/>
      </c>
      <c r="X9" s="4">
        <f>IFERROR(((0+O7+O8+O9)/T2),0)</f>
        <v/>
      </c>
      <c r="Y9" s="5">
        <f>IFERROR(ROUND(O9/Q9,2),0)</f>
        <v/>
      </c>
      <c r="Z9" s="5">
        <f>IFERROR(ROUND(O9/R9,2),0)</f>
        <v/>
      </c>
      <c r="AA9" s="2" t="inlineStr">
        <is>
          <t>2023-10-25</t>
        </is>
      </c>
      <c r="AB9" s="5">
        <f>ROUND(11.99,2)</f>
        <v/>
      </c>
      <c r="AC9" s="3">
        <f>ROUND(17918.0,2)</f>
        <v/>
      </c>
      <c r="AD9" s="3">
        <f>ROUND(206.0,2)</f>
        <v/>
      </c>
      <c r="AE9" s="3">
        <f>ROUND(0.0,2)</f>
        <v/>
      </c>
      <c r="AF9" s="3">
        <f>ROUND(0.0,2)</f>
        <v/>
      </c>
      <c r="AG9" s="3">
        <f>ROUND(0.0,2)</f>
        <v/>
      </c>
      <c r="AH9" s="3">
        <f>ROUND(0.0,2)</f>
        <v/>
      </c>
      <c r="AI9" s="3">
        <f>ROUND(0.0,2)</f>
        <v/>
      </c>
      <c r="AJ9" s="4">
        <f>IFERROR((AD9/AC9),0)</f>
        <v/>
      </c>
      <c r="AK9" s="4">
        <f>IFERROR(((0+AB7+AB8+AB9)/T2),0)</f>
        <v/>
      </c>
      <c r="AL9" s="5">
        <f>IFERROR(ROUND(AB9/AD9,2),0)</f>
        <v/>
      </c>
      <c r="AM9" s="5">
        <f>IFERROR(ROUND(AB9/AE9,2),0)</f>
        <v/>
      </c>
      <c r="AN9" s="2" t="inlineStr">
        <is>
          <t>2023-10-25</t>
        </is>
      </c>
      <c r="AO9" s="5">
        <f>ROUND(14.87,2)</f>
        <v/>
      </c>
      <c r="AP9" s="3">
        <f>ROUND(11886.0,2)</f>
        <v/>
      </c>
      <c r="AQ9" s="3">
        <f>ROUND(217.0,2)</f>
        <v/>
      </c>
      <c r="AR9" s="3">
        <f>ROUND(0.0,2)</f>
        <v/>
      </c>
      <c r="AS9" s="3">
        <f>ROUND(0.0,2)</f>
        <v/>
      </c>
      <c r="AT9" s="3">
        <f>ROUND(0.0,2)</f>
        <v/>
      </c>
      <c r="AU9" s="3">
        <f>ROUND(0.0,2)</f>
        <v/>
      </c>
      <c r="AV9" s="3">
        <f>ROUND(0.0,2)</f>
        <v/>
      </c>
      <c r="AW9" s="4">
        <f>IFERROR((AQ9/AP9),0)</f>
        <v/>
      </c>
      <c r="AX9" s="4">
        <f>IFERROR(((0+AO7+AO8+AO9)/T2),0)</f>
        <v/>
      </c>
      <c r="AY9" s="5">
        <f>IFERROR(ROUND(AO9/AQ9,2),0)</f>
        <v/>
      </c>
      <c r="AZ9" s="5">
        <f>IFERROR(ROUND(AO9/AR9,2),0)</f>
        <v/>
      </c>
      <c r="BA9" s="2" t="inlineStr">
        <is>
          <t>2023-10-25</t>
        </is>
      </c>
      <c r="BB9" s="5">
        <f>ROUND(11.12,2)</f>
        <v/>
      </c>
      <c r="BC9" s="3">
        <f>ROUND(10608.0,2)</f>
        <v/>
      </c>
      <c r="BD9" s="3">
        <f>ROUND(191.0,2)</f>
        <v/>
      </c>
      <c r="BE9" s="3">
        <f>ROUND(0.0,2)</f>
        <v/>
      </c>
      <c r="BF9" s="3">
        <f>ROUND(0.0,2)</f>
        <v/>
      </c>
      <c r="BG9" s="3">
        <f>ROUND(0.0,2)</f>
        <v/>
      </c>
      <c r="BH9" s="3">
        <f>ROUND(0.0,2)</f>
        <v/>
      </c>
      <c r="BI9" s="3">
        <f>ROUND(0.0,2)</f>
        <v/>
      </c>
      <c r="BJ9" s="4">
        <f>IFERROR((BD9/BC9),0)</f>
        <v/>
      </c>
      <c r="BK9" s="4">
        <f>IFERROR(((0+BB7+BB8+BB9)/T2),0)</f>
        <v/>
      </c>
      <c r="BL9" s="5">
        <f>IFERROR(ROUND(BB9/BD9,2),0)</f>
        <v/>
      </c>
      <c r="BM9" s="5">
        <f>IFERROR(ROUND(BB9/BE9,2),0)</f>
        <v/>
      </c>
      <c r="BN9" s="2" t="inlineStr">
        <is>
          <t>2023-10-25</t>
        </is>
      </c>
      <c r="BO9" s="5">
        <f>ROUND(25.71,2)</f>
        <v/>
      </c>
      <c r="BP9" s="3">
        <f>ROUND(17823.0,2)</f>
        <v/>
      </c>
      <c r="BQ9" s="3">
        <f>ROUND(593.0,2)</f>
        <v/>
      </c>
      <c r="BR9" s="3">
        <f>ROUND(0.0,2)</f>
        <v/>
      </c>
      <c r="BS9" s="3">
        <f>ROUND(0.0,2)</f>
        <v/>
      </c>
      <c r="BT9" s="3">
        <f>ROUND(0.0,2)</f>
        <v/>
      </c>
      <c r="BU9" s="3">
        <f>ROUND(0.0,2)</f>
        <v/>
      </c>
      <c r="BV9" s="3">
        <f>ROUND(0.0,2)</f>
        <v/>
      </c>
      <c r="BW9" s="4">
        <f>IFERROR((BQ9/BP9),0)</f>
        <v/>
      </c>
      <c r="BX9" s="4">
        <f>IFERROR(((0+BO7+BO8+BO9)/T2),0)</f>
        <v/>
      </c>
      <c r="BY9" s="5">
        <f>IFERROR(ROUND(BO9/BQ9,2),0)</f>
        <v/>
      </c>
      <c r="BZ9" s="5">
        <f>IFERROR(ROUND(BO9/BR9,2),0)</f>
        <v/>
      </c>
      <c r="CA9" s="2" t="inlineStr">
        <is>
          <t>2023-10-25</t>
        </is>
      </c>
      <c r="CB9" s="5">
        <f>ROUND(11.05,2)</f>
        <v/>
      </c>
      <c r="CC9" s="3">
        <f>ROUND(13964.0,2)</f>
        <v/>
      </c>
      <c r="CD9" s="3">
        <f>ROUND(265.0,2)</f>
        <v/>
      </c>
      <c r="CE9" s="3">
        <f>ROUND(0.0,2)</f>
        <v/>
      </c>
      <c r="CF9" s="3">
        <f>ROUND(0.0,2)</f>
        <v/>
      </c>
      <c r="CG9" s="3">
        <f>ROUND(0.0,2)</f>
        <v/>
      </c>
      <c r="CH9" s="3">
        <f>ROUND(0.0,2)</f>
        <v/>
      </c>
      <c r="CI9" s="3">
        <f>ROUND(0.0,2)</f>
        <v/>
      </c>
      <c r="CJ9" s="4">
        <f>IFERROR((CD9/CC9),0)</f>
        <v/>
      </c>
      <c r="CK9" s="4">
        <f>IFERROR(((0+CB7+CB8+CB9)/T2),0)</f>
        <v/>
      </c>
      <c r="CL9" s="5">
        <f>IFERROR(ROUND(CB9/CD9,2),0)</f>
        <v/>
      </c>
      <c r="CM9" s="5">
        <f>IFERROR(ROUND(CB9/CE9,2),0)</f>
        <v/>
      </c>
      <c r="CN9" s="2" t="inlineStr">
        <is>
          <t>2023-10-25</t>
        </is>
      </c>
      <c r="CO9" s="5">
        <f>ROUND(15.57,2)</f>
        <v/>
      </c>
      <c r="CP9" s="3">
        <f>ROUND(6707.0,2)</f>
        <v/>
      </c>
      <c r="CQ9" s="3">
        <f>ROUND(264.0,2)</f>
        <v/>
      </c>
      <c r="CR9" s="3">
        <f>ROUND(0.0,2)</f>
        <v/>
      </c>
      <c r="CS9" s="3">
        <f>ROUND(0.0,2)</f>
        <v/>
      </c>
      <c r="CT9" s="3">
        <f>ROUND(0.0,2)</f>
        <v/>
      </c>
      <c r="CU9" s="3">
        <f>ROUND(0.0,2)</f>
        <v/>
      </c>
      <c r="CV9" s="3">
        <f>ROUND(0.0,2)</f>
        <v/>
      </c>
      <c r="CW9" s="4">
        <f>IFERROR((CQ9/CP9),0)</f>
        <v/>
      </c>
      <c r="CX9" s="4">
        <f>IFERROR(((0+CO7+CO8+CO9)/T2),0)</f>
        <v/>
      </c>
      <c r="CY9" s="5">
        <f>IFERROR(ROUND(CO9/CQ9,2),0)</f>
        <v/>
      </c>
      <c r="CZ9" s="5">
        <f>IFERROR(ROUND(CO9/CR9,2),0)</f>
        <v/>
      </c>
      <c r="DA9" s="2" t="inlineStr">
        <is>
          <t>2023-10-25</t>
        </is>
      </c>
      <c r="DB9" s="5">
        <f>ROUND(17.95,2)</f>
        <v/>
      </c>
      <c r="DC9" s="3">
        <f>ROUND(15364.0,2)</f>
        <v/>
      </c>
      <c r="DD9" s="3">
        <f>ROUND(367.0,2)</f>
        <v/>
      </c>
      <c r="DE9" s="3">
        <f>ROUND(0.0,2)</f>
        <v/>
      </c>
      <c r="DF9" s="3">
        <f>ROUND(0.0,2)</f>
        <v/>
      </c>
      <c r="DG9" s="3">
        <f>ROUND(0.0,2)</f>
        <v/>
      </c>
      <c r="DH9" s="3">
        <f>ROUND(0.0,2)</f>
        <v/>
      </c>
      <c r="DI9" s="3">
        <f>ROUND(0.0,2)</f>
        <v/>
      </c>
      <c r="DJ9" s="4">
        <f>IFERROR((DD9/DC9),0)</f>
        <v/>
      </c>
      <c r="DK9" s="4">
        <f>IFERROR(((0+DB7+DB8+DB9)/T2),0)</f>
        <v/>
      </c>
      <c r="DL9" s="5">
        <f>IFERROR(ROUND(DB9/DD9,2),0)</f>
        <v/>
      </c>
      <c r="DM9" s="5">
        <f>IFERROR(ROUND(DB9/DE9,2),0)</f>
        <v/>
      </c>
      <c r="DN9" s="2" t="inlineStr">
        <is>
          <t>2023-10-25</t>
        </is>
      </c>
      <c r="DO9" s="5">
        <f>ROUND(7.75,2)</f>
        <v/>
      </c>
      <c r="DP9" s="3">
        <f>ROUND(7671.0,2)</f>
        <v/>
      </c>
      <c r="DQ9" s="3">
        <f>ROUND(191.0,2)</f>
        <v/>
      </c>
      <c r="DR9" s="3">
        <f>ROUND(0.0,2)</f>
        <v/>
      </c>
      <c r="DS9" s="3">
        <f>ROUND(0.0,2)</f>
        <v/>
      </c>
      <c r="DT9" s="3">
        <f>ROUND(0.0,2)</f>
        <v/>
      </c>
      <c r="DU9" s="3">
        <f>ROUND(0.0,2)</f>
        <v/>
      </c>
      <c r="DV9" s="3">
        <f>ROUND(0.0,2)</f>
        <v/>
      </c>
      <c r="DW9" s="4">
        <f>IFERROR((DQ9/DP9),0)</f>
        <v/>
      </c>
      <c r="DX9" s="4">
        <f>IFERROR(((0+DO7+DO8+DO9)/T2),0)</f>
        <v/>
      </c>
      <c r="DY9" s="5">
        <f>IFERROR(ROUND(DO9/DQ9,2),0)</f>
        <v/>
      </c>
      <c r="DZ9" s="5">
        <f>IFERROR(ROUND(DO9/DR9,2),0)</f>
        <v/>
      </c>
      <c r="EA9" s="2" t="inlineStr">
        <is>
          <t>2023-10-25</t>
        </is>
      </c>
      <c r="EB9" s="5">
        <f>ROUND(0.0,2)</f>
        <v/>
      </c>
      <c r="EC9" s="3">
        <f>ROUND(0.0,2)</f>
        <v/>
      </c>
      <c r="ED9" s="3">
        <f>ROUND(0.0,2)</f>
        <v/>
      </c>
      <c r="EE9" s="3">
        <f>ROUND(0.0,2)</f>
        <v/>
      </c>
      <c r="EF9" s="3">
        <f>ROUND(0.0,2)</f>
        <v/>
      </c>
      <c r="EG9" s="3">
        <f>ROUND(0.0,2)</f>
        <v/>
      </c>
      <c r="EH9" s="3">
        <f>ROUND(0.0,2)</f>
        <v/>
      </c>
      <c r="EI9" s="3">
        <f>ROUND(0.0,2)</f>
        <v/>
      </c>
      <c r="EJ9" s="4">
        <f>IFERROR((ED9/EC9),0)</f>
        <v/>
      </c>
      <c r="EK9" s="4">
        <f>IFERROR(((0+EB7+EB8+EB9)/T2),0)</f>
        <v/>
      </c>
      <c r="EL9" s="5">
        <f>IFERROR(ROUND(EB9/ED9,2),0)</f>
        <v/>
      </c>
      <c r="EM9" s="5">
        <f>IFERROR(ROUND(EB9/EE9,2),0)</f>
        <v/>
      </c>
    </row>
    <row r="10">
      <c r="A10" s="2" t="inlineStr">
        <is>
          <t>2023-10-26</t>
        </is>
      </c>
      <c r="B10" s="5">
        <f>ROUND(125.76,2)</f>
        <v/>
      </c>
      <c r="C10" s="3">
        <f>ROUND(101333.0,2)</f>
        <v/>
      </c>
      <c r="D10" s="3">
        <f>ROUND(1869.0,2)</f>
        <v/>
      </c>
      <c r="E10" s="3">
        <f>ROUND(0.0,2)</f>
        <v/>
      </c>
      <c r="F10" s="3">
        <f>ROUND(0.0,2)</f>
        <v/>
      </c>
      <c r="G10" s="3">
        <f>ROUND(0.0,2)</f>
        <v/>
      </c>
      <c r="H10" s="3">
        <f>ROUND(0.0,2)</f>
        <v/>
      </c>
      <c r="I10" s="3">
        <f>ROUND(0.0,2)</f>
        <v/>
      </c>
      <c r="J10" s="4">
        <f>IFERROR((D10/C10),0)</f>
        <v/>
      </c>
      <c r="K10" s="4">
        <f>IFERROR(((0+B7+B8+B9+B10)/T2),0)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2023-10-26</t>
        </is>
      </c>
      <c r="O10" s="5">
        <f>ROUND(9.85,2)</f>
        <v/>
      </c>
      <c r="P10" s="3">
        <f>ROUND(8960.0,2)</f>
        <v/>
      </c>
      <c r="Q10" s="3">
        <f>ROUND(224.0,2)</f>
        <v/>
      </c>
      <c r="R10" s="3">
        <f>ROUND(0.0,2)</f>
        <v/>
      </c>
      <c r="S10" s="3">
        <f>ROUND(0.0,2)</f>
        <v/>
      </c>
      <c r="T10" s="3">
        <f>ROUND(0.0,2)</f>
        <v/>
      </c>
      <c r="U10" s="3">
        <f>ROUND(0.0,2)</f>
        <v/>
      </c>
      <c r="V10" s="3">
        <f>ROUND(0.0,2)</f>
        <v/>
      </c>
      <c r="W10" s="4">
        <f>IFERROR((Q10/P10),0)</f>
        <v/>
      </c>
      <c r="X10" s="4">
        <f>IFERROR(((0+O7+O8+O9+O10)/T2),0)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2023-10-26</t>
        </is>
      </c>
      <c r="AB10" s="5">
        <f>ROUND(15.07,2)</f>
        <v/>
      </c>
      <c r="AC10" s="3">
        <f>ROUND(19697.0,2)</f>
        <v/>
      </c>
      <c r="AD10" s="3">
        <f>ROUND(182.0,2)</f>
        <v/>
      </c>
      <c r="AE10" s="3">
        <f>ROUND(0.0,2)</f>
        <v/>
      </c>
      <c r="AF10" s="3">
        <f>ROUND(0.0,2)</f>
        <v/>
      </c>
      <c r="AG10" s="3">
        <f>ROUND(0.0,2)</f>
        <v/>
      </c>
      <c r="AH10" s="3">
        <f>ROUND(0.0,2)</f>
        <v/>
      </c>
      <c r="AI10" s="3">
        <f>ROUND(0.0,2)</f>
        <v/>
      </c>
      <c r="AJ10" s="4">
        <f>IFERROR((AD10/AC10),0)</f>
        <v/>
      </c>
      <c r="AK10" s="4">
        <f>IFERROR(((0+AB7+AB8+AB9+AB10)/T2),0)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2023-10-26</t>
        </is>
      </c>
      <c r="AO10" s="5">
        <f>ROUND(23.38,2)</f>
        <v/>
      </c>
      <c r="AP10" s="3">
        <f>ROUND(13524.0,2)</f>
        <v/>
      </c>
      <c r="AQ10" s="3">
        <f>ROUND(251.0,2)</f>
        <v/>
      </c>
      <c r="AR10" s="3">
        <f>ROUND(0.0,2)</f>
        <v/>
      </c>
      <c r="AS10" s="3">
        <f>ROUND(0.0,2)</f>
        <v/>
      </c>
      <c r="AT10" s="3">
        <f>ROUND(0.0,2)</f>
        <v/>
      </c>
      <c r="AU10" s="3">
        <f>ROUND(0.0,2)</f>
        <v/>
      </c>
      <c r="AV10" s="3">
        <f>ROUND(0.0,2)</f>
        <v/>
      </c>
      <c r="AW10" s="4">
        <f>IFERROR((AQ10/AP10),0)</f>
        <v/>
      </c>
      <c r="AX10" s="4">
        <f>IFERROR(((0+AO7+AO8+AO9+AO10)/T2),0)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2023-10-26</t>
        </is>
      </c>
      <c r="BB10" s="5">
        <f>ROUND(2.07,2)</f>
        <v/>
      </c>
      <c r="BC10" s="3">
        <f>ROUND(1211.0,2)</f>
        <v/>
      </c>
      <c r="BD10" s="3">
        <f>ROUND(29.0,2)</f>
        <v/>
      </c>
      <c r="BE10" s="3">
        <f>ROUND(0.0,2)</f>
        <v/>
      </c>
      <c r="BF10" s="3">
        <f>ROUND(0.0,2)</f>
        <v/>
      </c>
      <c r="BG10" s="3">
        <f>ROUND(0.0,2)</f>
        <v/>
      </c>
      <c r="BH10" s="3">
        <f>ROUND(0.0,2)</f>
        <v/>
      </c>
      <c r="BI10" s="3">
        <f>ROUND(0.0,2)</f>
        <v/>
      </c>
      <c r="BJ10" s="4">
        <f>IFERROR((BD10/BC10),0)</f>
        <v/>
      </c>
      <c r="BK10" s="4">
        <f>IFERROR(((0+BB7+BB8+BB9+BB10)/T2),0)</f>
        <v/>
      </c>
      <c r="BL10" s="5">
        <f>IFERROR(ROUND(BB10/BD10,2),0)</f>
        <v/>
      </c>
      <c r="BM10" s="5">
        <f>IFERROR(ROUND(BB10/BE10,2),0)</f>
        <v/>
      </c>
      <c r="BN10" s="2" t="inlineStr">
        <is>
          <t>2023-10-26</t>
        </is>
      </c>
      <c r="BO10" s="5">
        <f>ROUND(24.66,2)</f>
        <v/>
      </c>
      <c r="BP10" s="3">
        <f>ROUND(14771.0,2)</f>
        <v/>
      </c>
      <c r="BQ10" s="3">
        <f>ROUND(364.0,2)</f>
        <v/>
      </c>
      <c r="BR10" s="3">
        <f>ROUND(0.0,2)</f>
        <v/>
      </c>
      <c r="BS10" s="3">
        <f>ROUND(0.0,2)</f>
        <v/>
      </c>
      <c r="BT10" s="3">
        <f>ROUND(0.0,2)</f>
        <v/>
      </c>
      <c r="BU10" s="3">
        <f>ROUND(0.0,2)</f>
        <v/>
      </c>
      <c r="BV10" s="3">
        <f>ROUND(0.0,2)</f>
        <v/>
      </c>
      <c r="BW10" s="4">
        <f>IFERROR((BQ10/BP10),0)</f>
        <v/>
      </c>
      <c r="BX10" s="4">
        <f>IFERROR(((0+BO7+BO8+BO9+BO10)/T2),0)</f>
        <v/>
      </c>
      <c r="BY10" s="5">
        <f>IFERROR(ROUND(BO10/BQ10,2),0)</f>
        <v/>
      </c>
      <c r="BZ10" s="5">
        <f>IFERROR(ROUND(BO10/BR10,2),0)</f>
        <v/>
      </c>
      <c r="CA10" s="2" t="inlineStr">
        <is>
          <t>2023-10-26</t>
        </is>
      </c>
      <c r="CB10" s="5">
        <f>ROUND(9.32,2)</f>
        <v/>
      </c>
      <c r="CC10" s="3">
        <f>ROUND(11998.0,2)</f>
        <v/>
      </c>
      <c r="CD10" s="3">
        <f>ROUND(176.0,2)</f>
        <v/>
      </c>
      <c r="CE10" s="3">
        <f>ROUND(0.0,2)</f>
        <v/>
      </c>
      <c r="CF10" s="3">
        <f>ROUND(0.0,2)</f>
        <v/>
      </c>
      <c r="CG10" s="3">
        <f>ROUND(0.0,2)</f>
        <v/>
      </c>
      <c r="CH10" s="3">
        <f>ROUND(0.0,2)</f>
        <v/>
      </c>
      <c r="CI10" s="3">
        <f>ROUND(0.0,2)</f>
        <v/>
      </c>
      <c r="CJ10" s="4">
        <f>IFERROR((CD10/CC10),0)</f>
        <v/>
      </c>
      <c r="CK10" s="4">
        <f>IFERROR(((0+CB7+CB8+CB9+CB10)/T2),0)</f>
        <v/>
      </c>
      <c r="CL10" s="5">
        <f>IFERROR(ROUND(CB10/CD10,2),0)</f>
        <v/>
      </c>
      <c r="CM10" s="5">
        <f>IFERROR(ROUND(CB10/CE10,2),0)</f>
        <v/>
      </c>
      <c r="CN10" s="2" t="inlineStr">
        <is>
          <t>2023-10-26</t>
        </is>
      </c>
      <c r="CO10" s="5">
        <f>ROUND(15.78,2)</f>
        <v/>
      </c>
      <c r="CP10" s="3">
        <f>ROUND(9629.0,2)</f>
        <v/>
      </c>
      <c r="CQ10" s="3">
        <f>ROUND(217.0,2)</f>
        <v/>
      </c>
      <c r="CR10" s="3">
        <f>ROUND(0.0,2)</f>
        <v/>
      </c>
      <c r="CS10" s="3">
        <f>ROUND(0.0,2)</f>
        <v/>
      </c>
      <c r="CT10" s="3">
        <f>ROUND(0.0,2)</f>
        <v/>
      </c>
      <c r="CU10" s="3">
        <f>ROUND(0.0,2)</f>
        <v/>
      </c>
      <c r="CV10" s="3">
        <f>ROUND(0.0,2)</f>
        <v/>
      </c>
      <c r="CW10" s="4">
        <f>IFERROR((CQ10/CP10),0)</f>
        <v/>
      </c>
      <c r="CX10" s="4">
        <f>IFERROR(((0+CO7+CO8+CO9+CO10)/T2),0)</f>
        <v/>
      </c>
      <c r="CY10" s="5">
        <f>IFERROR(ROUND(CO10/CQ10,2),0)</f>
        <v/>
      </c>
      <c r="CZ10" s="5">
        <f>IFERROR(ROUND(CO10/CR10,2),0)</f>
        <v/>
      </c>
      <c r="DA10" s="2" t="inlineStr">
        <is>
          <t>2023-10-26</t>
        </is>
      </c>
      <c r="DB10" s="5">
        <f>ROUND(22.75,2)</f>
        <v/>
      </c>
      <c r="DC10" s="3">
        <f>ROUND(18219.0,2)</f>
        <v/>
      </c>
      <c r="DD10" s="3">
        <f>ROUND(373.0,2)</f>
        <v/>
      </c>
      <c r="DE10" s="3">
        <f>ROUND(0.0,2)</f>
        <v/>
      </c>
      <c r="DF10" s="3">
        <f>ROUND(0.0,2)</f>
        <v/>
      </c>
      <c r="DG10" s="3">
        <f>ROUND(0.0,2)</f>
        <v/>
      </c>
      <c r="DH10" s="3">
        <f>ROUND(0.0,2)</f>
        <v/>
      </c>
      <c r="DI10" s="3">
        <f>ROUND(0.0,2)</f>
        <v/>
      </c>
      <c r="DJ10" s="4">
        <f>IFERROR((DD10/DC10),0)</f>
        <v/>
      </c>
      <c r="DK10" s="4">
        <f>IFERROR(((0+DB7+DB8+DB9+DB10)/T2),0)</f>
        <v/>
      </c>
      <c r="DL10" s="5">
        <f>IFERROR(ROUND(DB10/DD10,2),0)</f>
        <v/>
      </c>
      <c r="DM10" s="5">
        <f>IFERROR(ROUND(DB10/DE10,2),0)</f>
        <v/>
      </c>
      <c r="DN10" s="2" t="inlineStr">
        <is>
          <t>2023-10-26</t>
        </is>
      </c>
      <c r="DO10" s="5">
        <f>ROUND(2.88,2)</f>
        <v/>
      </c>
      <c r="DP10" s="3">
        <f>ROUND(3324.0,2)</f>
        <v/>
      </c>
      <c r="DQ10" s="3">
        <f>ROUND(53.0,2)</f>
        <v/>
      </c>
      <c r="DR10" s="3">
        <f>ROUND(0.0,2)</f>
        <v/>
      </c>
      <c r="DS10" s="3">
        <f>ROUND(0.0,2)</f>
        <v/>
      </c>
      <c r="DT10" s="3">
        <f>ROUND(0.0,2)</f>
        <v/>
      </c>
      <c r="DU10" s="3">
        <f>ROUND(0.0,2)</f>
        <v/>
      </c>
      <c r="DV10" s="3">
        <f>ROUND(0.0,2)</f>
        <v/>
      </c>
      <c r="DW10" s="4">
        <f>IFERROR((DQ10/DP10),0)</f>
        <v/>
      </c>
      <c r="DX10" s="4">
        <f>IFERROR(((0+DO7+DO8+DO9+DO10)/T2),0)</f>
        <v/>
      </c>
      <c r="DY10" s="5">
        <f>IFERROR(ROUND(DO10/DQ10,2),0)</f>
        <v/>
      </c>
      <c r="DZ10" s="5">
        <f>IFERROR(ROUND(DO10/DR10,2),0)</f>
        <v/>
      </c>
      <c r="EA10" s="2" t="inlineStr">
        <is>
          <t>2023-10-26</t>
        </is>
      </c>
      <c r="EB10" s="5">
        <f>ROUND(0.0,2)</f>
        <v/>
      </c>
      <c r="EC10" s="3">
        <f>ROUND(0.0,2)</f>
        <v/>
      </c>
      <c r="ED10" s="3">
        <f>ROUND(0.0,2)</f>
        <v/>
      </c>
      <c r="EE10" s="3">
        <f>ROUND(0.0,2)</f>
        <v/>
      </c>
      <c r="EF10" s="3">
        <f>ROUND(0.0,2)</f>
        <v/>
      </c>
      <c r="EG10" s="3">
        <f>ROUND(0.0,2)</f>
        <v/>
      </c>
      <c r="EH10" s="3">
        <f>ROUND(0.0,2)</f>
        <v/>
      </c>
      <c r="EI10" s="3">
        <f>ROUND(0.0,2)</f>
        <v/>
      </c>
      <c r="EJ10" s="4">
        <f>IFERROR((ED10/EC10),0)</f>
        <v/>
      </c>
      <c r="EK10" s="4">
        <f>IFERROR(((0+EB7+EB8+EB9+EB10)/T2),0)</f>
        <v/>
      </c>
      <c r="EL10" s="5">
        <f>IFERROR(ROUND(EB10/ED10,2),0)</f>
        <v/>
      </c>
      <c r="EM10" s="5">
        <f>IFERROR(ROUND(EB10/EE10,2),0)</f>
        <v/>
      </c>
    </row>
    <row r="11">
      <c r="A11" s="2" t="inlineStr">
        <is>
          <t>2023-10-27</t>
        </is>
      </c>
      <c r="B11" s="5">
        <f>ROUND(125.69,2)</f>
        <v/>
      </c>
      <c r="C11" s="3">
        <f>ROUND(106015.0,2)</f>
        <v/>
      </c>
      <c r="D11" s="3">
        <f>ROUND(1930.0,2)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IFERROR(((0+B7+B8+B9+B10+B11)/T2),0)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2023-10-27</t>
        </is>
      </c>
      <c r="O11" s="5">
        <f>ROUND(16.78,2)</f>
        <v/>
      </c>
      <c r="P11" s="3">
        <f>ROUND(11090.0,2)</f>
        <v/>
      </c>
      <c r="Q11" s="3">
        <f>ROUND(231.0,2)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IFERROR(((0+O7+O8+O9+O10+O11)/T2),0)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2023-10-27</t>
        </is>
      </c>
      <c r="AB11" s="5">
        <f>ROUND(7.96,2)</f>
        <v/>
      </c>
      <c r="AC11" s="3">
        <f>ROUND(13424.0,2)</f>
        <v/>
      </c>
      <c r="AD11" s="3">
        <f>ROUND(86.0,2)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IFERROR(((0+AB7+AB8+AB9+AB10+AB11)/T2),0)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2023-10-27</t>
        </is>
      </c>
      <c r="AO11" s="5">
        <f>ROUND(23.47,2)</f>
        <v/>
      </c>
      <c r="AP11" s="3">
        <f>ROUND(17461.0,2)</f>
        <v/>
      </c>
      <c r="AQ11" s="3">
        <f>ROUND(344.0,2)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IFERROR(((0+AO7+AO8+AO9+AO10+AO11)/T2),0)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2023-10-27</t>
        </is>
      </c>
      <c r="BB11" s="5">
        <f>ROUND(2.0,2)</f>
        <v/>
      </c>
      <c r="BC11" s="3">
        <f>ROUND(1465.0,2)</f>
        <v/>
      </c>
      <c r="BD11" s="3">
        <f>ROUND(30.0,2)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IFERROR(((0+BB7+BB8+BB9+BB10+BB11)/T2),0)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2023-10-27</t>
        </is>
      </c>
      <c r="BO11" s="5">
        <f>ROUND(25.55,2)</f>
        <v/>
      </c>
      <c r="BP11" s="3">
        <f>ROUND(17580.0,2)</f>
        <v/>
      </c>
      <c r="BQ11" s="3">
        <f>ROUND(439.0,2)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IFERROR(((0+BO7+BO8+BO9+BO10+BO11)/T2),0)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2023-10-27</t>
        </is>
      </c>
      <c r="CB11" s="5">
        <f>ROUND(15.43,2)</f>
        <v/>
      </c>
      <c r="CC11" s="3">
        <f>ROUND(14938.0,2)</f>
        <v/>
      </c>
      <c r="CD11" s="3">
        <f>ROUND(241.0,2)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IFERROR(((0+CB7+CB8+CB9+CB10+CB11)/T2),0)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2023-10-27</t>
        </is>
      </c>
      <c r="CO11" s="5">
        <f>ROUND(9.39,2)</f>
        <v/>
      </c>
      <c r="CP11" s="3">
        <f>ROUND(4837.0,2)</f>
        <v/>
      </c>
      <c r="CQ11" s="3">
        <f>ROUND(114.0,2)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IFERROR(((0+CO7+CO8+CO9+CO10+CO11)/T2),0)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2023-10-27</t>
        </is>
      </c>
      <c r="DB11" s="5">
        <f>ROUND(14.68,2)</f>
        <v/>
      </c>
      <c r="DC11" s="3">
        <f>ROUND(11644.0,2)</f>
        <v/>
      </c>
      <c r="DD11" s="3">
        <f>ROUND(226.0,2)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IFERROR(((0+DB7+DB8+DB9+DB10+DB11)/T2),0)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2023-10-27</t>
        </is>
      </c>
      <c r="DO11" s="5">
        <f>ROUND(10.43,2)</f>
        <v/>
      </c>
      <c r="DP11" s="3">
        <f>ROUND(13576.0,2)</f>
        <v/>
      </c>
      <c r="DQ11" s="3">
        <f>ROUND(219.0,2)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IFERROR(((0+DO7+DO8+DO9+DO10+DO11)/T2),0)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2023-10-27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IFERROR(((0+EB7+EB8+EB9+EB10+EB11)/T2),0)</f>
        <v/>
      </c>
      <c r="EL11" s="5">
        <f>IFERROR(ROUND(EB11/ED11,2),0)</f>
        <v/>
      </c>
      <c r="EM11" s="5">
        <f>IFERROR(ROUND(EB11/EE11,2),0)</f>
        <v/>
      </c>
    </row>
    <row r="12">
      <c r="A12" s="2" t="inlineStr">
        <is>
          <t>2023-10-28</t>
        </is>
      </c>
      <c r="B12" s="5">
        <f>ROUND(124.41,2)</f>
        <v/>
      </c>
      <c r="C12" s="3">
        <f>ROUND(99984.0,2)</f>
        <v/>
      </c>
      <c r="D12" s="3">
        <f>ROUND(2096.0,2)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IFERROR(((0+B7+B8+B9+B10+B11+B12)/T2),0)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2023-10-28</t>
        </is>
      </c>
      <c r="O12" s="5">
        <f>ROUND(24.08,2)</f>
        <v/>
      </c>
      <c r="P12" s="3">
        <f>ROUND(19829.0,2)</f>
        <v/>
      </c>
      <c r="Q12" s="3">
        <f>ROUND(307.0,2)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IFERROR(((0+O7+O8+O9+O10+O11+O12)/T2),0)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2023-10-28</t>
        </is>
      </c>
      <c r="AB12" s="5">
        <f>ROUND(1.17,2)</f>
        <v/>
      </c>
      <c r="AC12" s="3">
        <f>ROUND(2842.0,2)</f>
        <v/>
      </c>
      <c r="AD12" s="3">
        <f>ROUND(25.0,2)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IFERROR(((0+AB7+AB8+AB9+AB10+AB11+AB12)/T2),0)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2023-10-28</t>
        </is>
      </c>
      <c r="AO12" s="5">
        <f>ROUND(22.6,2)</f>
        <v/>
      </c>
      <c r="AP12" s="3">
        <f>ROUND(19185.0,2)</f>
        <v/>
      </c>
      <c r="AQ12" s="3">
        <f>ROUND(354.0,2)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IFERROR(((0+AO7+AO8+AO9+AO10+AO11+AO12)/T2),0)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2023-10-28</t>
        </is>
      </c>
      <c r="BB12" s="5">
        <f>ROUND(2.15,2)</f>
        <v/>
      </c>
      <c r="BC12" s="3">
        <f>ROUND(2098.0,2)</f>
        <v/>
      </c>
      <c r="BD12" s="3">
        <f>ROUND(34.0,2)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IFERROR(((0+BB7+BB8+BB9+BB10+BB11+BB12)/T2),0)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2023-10-28</t>
        </is>
      </c>
      <c r="BO12" s="5">
        <f>ROUND(24.72,2)</f>
        <v/>
      </c>
      <c r="BP12" s="3">
        <f>ROUND(14878.0,2)</f>
        <v/>
      </c>
      <c r="BQ12" s="3">
        <f>ROUND(461.0,2)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IFERROR(((0+BO7+BO8+BO9+BO10+BO11+BO12)/T2),0)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2023-10-28</t>
        </is>
      </c>
      <c r="CB12" s="5">
        <f>ROUND(15.35,2)</f>
        <v/>
      </c>
      <c r="CC12" s="3">
        <f>ROUND(16115.0,2)</f>
        <v/>
      </c>
      <c r="CD12" s="3">
        <f>ROUND(270.0,2)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IFERROR(((0+CB7+CB8+CB9+CB10+CB11+CB12)/T2),0)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2023-10-28</t>
        </is>
      </c>
      <c r="CO12" s="5">
        <f>ROUND(9.76,2)</f>
        <v/>
      </c>
      <c r="CP12" s="3">
        <f>ROUND(5942.0,2)</f>
        <v/>
      </c>
      <c r="CQ12" s="3">
        <f>ROUND(164.0,2)</f>
        <v/>
      </c>
      <c r="CR12" s="3">
        <f>ROUND(0.0,2)</f>
        <v/>
      </c>
      <c r="CS12" s="3">
        <f>ROUND(0.0,2)</f>
        <v/>
      </c>
      <c r="CT12" s="3">
        <f>ROUND(0.0,2)</f>
        <v/>
      </c>
      <c r="CU12" s="3">
        <f>ROUND(0.0,2)</f>
        <v/>
      </c>
      <c r="CV12" s="3">
        <f>ROUND(0.0,2)</f>
        <v/>
      </c>
      <c r="CW12" s="4">
        <f>IFERROR((CQ12/CP12),0)</f>
        <v/>
      </c>
      <c r="CX12" s="4">
        <f>IFERROR(((0+CO7+CO8+CO9+CO10+CO11+CO12)/T2),0)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2023-10-28</t>
        </is>
      </c>
      <c r="DB12" s="5">
        <f>ROUND(14.97,2)</f>
        <v/>
      </c>
      <c r="DC12" s="3">
        <f>ROUND(11016.0,2)</f>
        <v/>
      </c>
      <c r="DD12" s="3">
        <f>ROUND(297.0,2)</f>
        <v/>
      </c>
      <c r="DE12" s="3">
        <f>ROUND(0.0,2)</f>
        <v/>
      </c>
      <c r="DF12" s="3">
        <f>ROUND(0.0,2)</f>
        <v/>
      </c>
      <c r="DG12" s="3">
        <f>ROUND(0.0,2)</f>
        <v/>
      </c>
      <c r="DH12" s="3">
        <f>ROUND(0.0,2)</f>
        <v/>
      </c>
      <c r="DI12" s="3">
        <f>ROUND(0.0,2)</f>
        <v/>
      </c>
      <c r="DJ12" s="4">
        <f>IFERROR((DD12/DC12),0)</f>
        <v/>
      </c>
      <c r="DK12" s="4">
        <f>IFERROR(((0+DB7+DB8+DB9+DB10+DB11+DB12)/T2),0)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2023-10-28</t>
        </is>
      </c>
      <c r="DO12" s="5">
        <f>ROUND(9.61,2)</f>
        <v/>
      </c>
      <c r="DP12" s="3">
        <f>ROUND(8079.0,2)</f>
        <v/>
      </c>
      <c r="DQ12" s="3">
        <f>ROUND(184.0,2)</f>
        <v/>
      </c>
      <c r="DR12" s="3">
        <f>ROUND(0.0,2)</f>
        <v/>
      </c>
      <c r="DS12" s="3">
        <f>ROUND(0.0,2)</f>
        <v/>
      </c>
      <c r="DT12" s="3">
        <f>ROUND(0.0,2)</f>
        <v/>
      </c>
      <c r="DU12" s="3">
        <f>ROUND(0.0,2)</f>
        <v/>
      </c>
      <c r="DV12" s="3">
        <f>ROUND(0.0,2)</f>
        <v/>
      </c>
      <c r="DW12" s="4">
        <f>IFERROR((DQ12/DP12),0)</f>
        <v/>
      </c>
      <c r="DX12" s="4">
        <f>IFERROR(((0+DO7+DO8+DO9+DO10+DO11+DO12)/T2),0)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2023-10-28</t>
        </is>
      </c>
      <c r="EB12" s="5">
        <f>ROUND(0.0,2)</f>
        <v/>
      </c>
      <c r="EC12" s="3">
        <f>ROUND(0.0,2)</f>
        <v/>
      </c>
      <c r="ED12" s="3">
        <f>ROUND(0.0,2)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IFERROR(((0+EB7+EB8+EB9+EB10+EB11+EB12)/T2),0)</f>
        <v/>
      </c>
      <c r="EL12" s="5">
        <f>IFERROR(ROUND(EB12/ED12,2),0)</f>
        <v/>
      </c>
      <c r="EM12" s="5">
        <f>IFERROR(ROUND(EB12/EE12,2),0)</f>
        <v/>
      </c>
    </row>
    <row r="13">
      <c r="A13" s="2" t="inlineStr">
        <is>
          <t>2023-10-29</t>
        </is>
      </c>
      <c r="B13" s="5">
        <f>ROUND(122.19,2)</f>
        <v/>
      </c>
      <c r="C13" s="3">
        <f>ROUND(102533.0,2)</f>
        <v/>
      </c>
      <c r="D13" s="3">
        <f>ROUND(2314.0,2)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IFERROR(((0+B7+B8+B9+B10+B11+B12+B13)/T2),0)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2023-10-29</t>
        </is>
      </c>
      <c r="O13" s="5">
        <f>ROUND(19.61,2)</f>
        <v/>
      </c>
      <c r="P13" s="3">
        <f>ROUND(18476.0,2)</f>
        <v/>
      </c>
      <c r="Q13" s="3">
        <f>ROUND(376.0,2)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IFERROR(((0+O7+O8+O9+O10+O11+O12+O13)/T2),0)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2023-10-29</t>
        </is>
      </c>
      <c r="AB13" s="5">
        <f>ROUND(4.78,2)</f>
        <v/>
      </c>
      <c r="AC13" s="3">
        <f>ROUND(4801.0,2)</f>
        <v/>
      </c>
      <c r="AD13" s="3">
        <f>ROUND(73.0,2)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IFERROR(((0+AB7+AB8+AB9+AB10+AB11+AB12+AB13)/T2),0)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2023-10-29</t>
        </is>
      </c>
      <c r="AO13" s="5">
        <f>ROUND(21.11,2)</f>
        <v/>
      </c>
      <c r="AP13" s="3">
        <f>ROUND(17304.0,2)</f>
        <v/>
      </c>
      <c r="AQ13" s="3">
        <f>ROUND(369.0,2)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IFERROR(((0+AO7+AO8+AO9+AO10+AO11+AO12+AO13)/T2),0)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2023-10-29</t>
        </is>
      </c>
      <c r="BB13" s="5">
        <f>ROUND(3.69,2)</f>
        <v/>
      </c>
      <c r="BC13" s="3">
        <f>ROUND(3757.0,2)</f>
        <v/>
      </c>
      <c r="BD13" s="3">
        <f>ROUND(67.0,2)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IFERROR(((0+BB7+BB8+BB9+BB10+BB11+BB12+BB13)/T2),0)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2023-10-29</t>
        </is>
      </c>
      <c r="BO13" s="5">
        <f>ROUND(24.33,2)</f>
        <v/>
      </c>
      <c r="BP13" s="3">
        <f>ROUND(15056.0,2)</f>
        <v/>
      </c>
      <c r="BQ13" s="3">
        <f>ROUND(426.0,2)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IFERROR(((0+BO7+BO8+BO9+BO10+BO11+BO12+BO13)/T2),0)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2023-10-29</t>
        </is>
      </c>
      <c r="CB13" s="5">
        <f>ROUND(10.9,2)</f>
        <v/>
      </c>
      <c r="CC13" s="3">
        <f>ROUND(13148.0,2)</f>
        <v/>
      </c>
      <c r="CD13" s="3">
        <f>ROUND(257.0,2)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IFERROR(((0+CB7+CB8+CB9+CB10+CB11+CB12+CB13)/T2),0)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2023-10-29</t>
        </is>
      </c>
      <c r="CO13" s="5">
        <f>ROUND(13.56,2)</f>
        <v/>
      </c>
      <c r="CP13" s="3">
        <f>ROUND(7927.0,2)</f>
        <v/>
      </c>
      <c r="CQ13" s="3">
        <f>ROUND(233.0,2)</f>
        <v/>
      </c>
      <c r="CR13" s="3">
        <f>ROUND(0.0,2)</f>
        <v/>
      </c>
      <c r="CS13" s="3">
        <f>ROUND(0.0,2)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IFERROR(((0+CO7+CO8+CO9+CO10+CO11+CO12+CO13)/T2),0)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2023-10-29</t>
        </is>
      </c>
      <c r="DB13" s="5">
        <f>ROUND(20.89,2)</f>
        <v/>
      </c>
      <c r="DC13" s="3">
        <f>ROUND(19176.0,2)</f>
        <v/>
      </c>
      <c r="DD13" s="3">
        <f>ROUND(458.0,2)</f>
        <v/>
      </c>
      <c r="DE13" s="3">
        <f>ROUND(0.0,2)</f>
        <v/>
      </c>
      <c r="DF13" s="3">
        <f>ROUND(0.0,2)</f>
        <v/>
      </c>
      <c r="DG13" s="3">
        <f>ROUND(0.0,2)</f>
        <v/>
      </c>
      <c r="DH13" s="3">
        <f>ROUND(0.0,2)</f>
        <v/>
      </c>
      <c r="DI13" s="3">
        <f>ROUND(0.0,2)</f>
        <v/>
      </c>
      <c r="DJ13" s="4">
        <f>IFERROR((DD13/DC13),0)</f>
        <v/>
      </c>
      <c r="DK13" s="4">
        <f>IFERROR(((0+DB7+DB8+DB9+DB10+DB11+DB12+DB13)/T2),0)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2023-10-29</t>
        </is>
      </c>
      <c r="DO13" s="5">
        <f>ROUND(3.32,2)</f>
        <v/>
      </c>
      <c r="DP13" s="3">
        <f>ROUND(2888.0,2)</f>
        <v/>
      </c>
      <c r="DQ13" s="3">
        <f>ROUND(55.0,2)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IFERROR(((0+DO7+DO8+DO9+DO10+DO11+DO12+DO13)/T2),0)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2023-10-29</t>
        </is>
      </c>
      <c r="EB13" s="5">
        <f>ROUND(0.0,2)</f>
        <v/>
      </c>
      <c r="EC13" s="3">
        <f>ROUND(0.0,2)</f>
        <v/>
      </c>
      <c r="ED13" s="3">
        <f>ROUND(0.0,2)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IFERROR(((0+EB7+EB8+EB9+EB10+EB11+EB12+EB13)/T2),0)</f>
        <v/>
      </c>
      <c r="EL13" s="5">
        <f>IFERROR(ROUND(EB13/ED13,2),0)</f>
        <v/>
      </c>
      <c r="EM13" s="5">
        <f>IFERROR(ROUND(EB13/EE13,2),0)</f>
        <v/>
      </c>
    </row>
    <row r="14">
      <c r="A14" s="2" t="inlineStr">
        <is>
          <t>1 Weekly Total</t>
        </is>
      </c>
      <c r="B14" s="5">
        <f>ROUND(876.82,2)</f>
        <v/>
      </c>
      <c r="C14" s="3">
        <f>ROUND(761026.0,2)</f>
        <v/>
      </c>
      <c r="D14" s="3">
        <f>ROUND(16589.0,2)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IFERROR(((0+B7+B8+B9+B10+B11+B12+B13)/T2),0)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1 Weekly Total</t>
        </is>
      </c>
      <c r="O14" s="5">
        <f>ROUND(103.03,2)</f>
        <v/>
      </c>
      <c r="P14" s="3">
        <f>ROUND(95756.0,2)</f>
        <v/>
      </c>
      <c r="Q14" s="3">
        <f>ROUND(1915.0,2)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IFERROR(((0+O7+O8+O9+O10+O11+O12+O13)/T2),0)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1 Weekly Total</t>
        </is>
      </c>
      <c r="AB14" s="5">
        <f>ROUND(72.03,2)</f>
        <v/>
      </c>
      <c r="AC14" s="3">
        <f>ROUND(93553.0,2)</f>
        <v/>
      </c>
      <c r="AD14" s="3">
        <f>ROUND(1292.0,2)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IFERROR(((0+AB7+AB8+AB9+AB10+AB11+AB12+AB13)/T2),0)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1 Weekly Total</t>
        </is>
      </c>
      <c r="AO14" s="5">
        <f>ROUND(137.59,2)</f>
        <v/>
      </c>
      <c r="AP14" s="3">
        <f>ROUND(103531.0,2)</f>
        <v/>
      </c>
      <c r="AQ14" s="3">
        <f>ROUND(2245.0,2)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IFERROR(((0+AO7+AO8+AO9+AO10+AO11+AO12+AO13)/T2),0)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1 Weekly Total</t>
        </is>
      </c>
      <c r="BB14" s="5">
        <f>ROUND(38.4,2)</f>
        <v/>
      </c>
      <c r="BC14" s="3">
        <f>ROUND(36090.0,2)</f>
        <v/>
      </c>
      <c r="BD14" s="3">
        <f>ROUND(621.0,2)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IFERROR(((0+BB7+BB8+BB9+BB10+BB11+BB12+BB13)/T2),0)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1 Weekly Total</t>
        </is>
      </c>
      <c r="BO14" s="5">
        <f>ROUND(174.84,2)</f>
        <v/>
      </c>
      <c r="BP14" s="3">
        <f>ROUND(131620.0,2)</f>
        <v/>
      </c>
      <c r="BQ14" s="3">
        <f>ROUND(3625.0,2)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IFERROR(((0+BO7+BO8+BO9+BO10+BO11+BO12+BO13)/T2),0)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1 Weekly Total</t>
        </is>
      </c>
      <c r="CB14" s="5">
        <f>ROUND(89.94,2)</f>
        <v/>
      </c>
      <c r="CC14" s="3">
        <f>ROUND(93335.0,2)</f>
        <v/>
      </c>
      <c r="CD14" s="3">
        <f>ROUND(1888.0,2)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IFERROR(((0+CB7+CB8+CB9+CB10+CB11+CB12+CB13)/T2),0)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1 Weekly Total</t>
        </is>
      </c>
      <c r="CO14" s="5">
        <f>ROUND(85.76,2)</f>
        <v/>
      </c>
      <c r="CP14" s="3">
        <f>ROUND(51247.0,2)</f>
        <v/>
      </c>
      <c r="CQ14" s="3">
        <f>ROUND(1479.0,2)</f>
        <v/>
      </c>
      <c r="CR14" s="3">
        <f>ROUND(0.0,2)</f>
        <v/>
      </c>
      <c r="CS14" s="3">
        <f>ROUND(0.0,2)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IFERROR(((0+CO7+CO8+CO9+CO10+CO11+CO12+CO13)/T2),0)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1 Weekly Total</t>
        </is>
      </c>
      <c r="DB14" s="5">
        <f>ROUND(110.92,2)</f>
        <v/>
      </c>
      <c r="DC14" s="3">
        <f>ROUND(96052.0,2)</f>
        <v/>
      </c>
      <c r="DD14" s="3">
        <f>ROUND(2161.0,2)</f>
        <v/>
      </c>
      <c r="DE14" s="3">
        <f>ROUND(0.0,2)</f>
        <v/>
      </c>
      <c r="DF14" s="3">
        <f>ROUND(0.0,2)</f>
        <v/>
      </c>
      <c r="DG14" s="3">
        <f>ROUND(0.0,2)</f>
        <v/>
      </c>
      <c r="DH14" s="3">
        <f>ROUND(0.0,2)</f>
        <v/>
      </c>
      <c r="DI14" s="3">
        <f>ROUND(0.0,2)</f>
        <v/>
      </c>
      <c r="DJ14" s="4">
        <f>IFERROR((DD14/DC14),0)</f>
        <v/>
      </c>
      <c r="DK14" s="4">
        <f>IFERROR(((0+DB7+DB8+DB9+DB10+DB11+DB12+DB13)/T2),0)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1 Weekly Total</t>
        </is>
      </c>
      <c r="DO14" s="5">
        <f>ROUND(64.31,2)</f>
        <v/>
      </c>
      <c r="DP14" s="3">
        <f>ROUND(59842.0,2)</f>
        <v/>
      </c>
      <c r="DQ14" s="3">
        <f>ROUND(1363.0,2)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IFERROR(((0+DO7+DO8+DO9+DO10+DO11+DO12+DO13)/T2),0)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1 Weekly Total</t>
        </is>
      </c>
      <c r="EB14" s="5">
        <f>ROUND(0.0,2)</f>
        <v/>
      </c>
      <c r="EC14" s="3">
        <f>ROUND(0.0,2)</f>
        <v/>
      </c>
      <c r="ED14" s="3">
        <f>ROUND(0.0,2)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IFERROR(((0+EB7+EB8+EB9+EB10+EB11+EB12+EB13)/T2),0)</f>
        <v/>
      </c>
      <c r="EL14" s="5">
        <f>IFERROR(ROUND(EB14/ED14,2),0)</f>
        <v/>
      </c>
      <c r="EM14" s="5">
        <f>IFERROR(ROUND(EB14/EE14,2),0)</f>
        <v/>
      </c>
    </row>
    <row r="15">
      <c r="A15" s="2" t="inlineStr">
        <is>
          <t>2023-10-30</t>
        </is>
      </c>
      <c r="B15" s="5">
        <f>ROUND(121.29,2)</f>
        <v/>
      </c>
      <c r="C15" s="3">
        <f>ROUND(119367.0,2)</f>
        <v/>
      </c>
      <c r="D15" s="3">
        <f>ROUND(2266.0,2)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IFERROR(((0+B7+B8+B9+B10+B11+B12+B13+B15)/T2),0)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2023-10-30</t>
        </is>
      </c>
      <c r="O15" s="5">
        <f>ROUND(19.74,2)</f>
        <v/>
      </c>
      <c r="P15" s="3">
        <f>ROUND(25394.0,2)</f>
        <v/>
      </c>
      <c r="Q15" s="3">
        <f>ROUND(418.0,2)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IFERROR(((0+O7+O8+O9+O10+O11+O12+O13+O15)/T2),0)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2023-10-30</t>
        </is>
      </c>
      <c r="AB15" s="5">
        <f>ROUND(4.51,2)</f>
        <v/>
      </c>
      <c r="AC15" s="3">
        <f>ROUND(5473.0,2)</f>
        <v/>
      </c>
      <c r="AD15" s="3">
        <f>ROUND(70.0,2)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IFERROR(((0+AB7+AB8+AB9+AB10+AB11+AB12+AB13+AB15)/T2),0)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2023-10-30</t>
        </is>
      </c>
      <c r="AO15" s="5">
        <f>ROUND(21.17,2)</f>
        <v/>
      </c>
      <c r="AP15" s="3">
        <f>ROUND(16599.0,2)</f>
        <v/>
      </c>
      <c r="AQ15" s="3">
        <f>ROUND(360.0,2)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IFERROR(((0+AO7+AO8+AO9+AO10+AO11+AO12+AO13+AO15)/T2),0)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2023-10-30</t>
        </is>
      </c>
      <c r="BB15" s="5">
        <f>ROUND(2.87,2)</f>
        <v/>
      </c>
      <c r="BC15" s="3">
        <f>ROUND(5510.0,2)</f>
        <v/>
      </c>
      <c r="BD15" s="3">
        <f>ROUND(67.0,2)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IFERROR(((0+BB7+BB8+BB9+BB10+BB11+BB12+BB13+BB15)/T2),0)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2023-10-30</t>
        </is>
      </c>
      <c r="BO15" s="5">
        <f>ROUND(24.32,2)</f>
        <v/>
      </c>
      <c r="BP15" s="3">
        <f>ROUND(16271.0,2)</f>
        <v/>
      </c>
      <c r="BQ15" s="3">
        <f>ROUND(450.0,2)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IFERROR(((0+BO7+BO8+BO9+BO10+BO11+BO12+BO13+BO15)/T2),0)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2023-10-30</t>
        </is>
      </c>
      <c r="CB15" s="5">
        <f>ROUND(8.96,2)</f>
        <v/>
      </c>
      <c r="CC15" s="3">
        <f>ROUND(13815.0,2)</f>
        <v/>
      </c>
      <c r="CD15" s="3">
        <f>ROUND(179.0,2)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IFERROR(((0+CB7+CB8+CB9+CB10+CB11+CB12+CB13+CB15)/T2),0)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2023-10-30</t>
        </is>
      </c>
      <c r="CO15" s="5">
        <f>ROUND(15.23,2)</f>
        <v/>
      </c>
      <c r="CP15" s="3">
        <f>ROUND(9673.0,2)</f>
        <v/>
      </c>
      <c r="CQ15" s="3">
        <f>ROUND(225.0,2)</f>
        <v/>
      </c>
      <c r="CR15" s="3">
        <f>ROUND(0.0,2)</f>
        <v/>
      </c>
      <c r="CS15" s="3">
        <f>ROUND(0.0,2)</f>
        <v/>
      </c>
      <c r="CT15" s="3">
        <f>ROUND(0.0,2)</f>
        <v/>
      </c>
      <c r="CU15" s="3">
        <f>ROUND(0.0,2)</f>
        <v/>
      </c>
      <c r="CV15" s="3">
        <f>ROUND(0.0,2)</f>
        <v/>
      </c>
      <c r="CW15" s="4">
        <f>IFERROR((CQ15/CP15),0)</f>
        <v/>
      </c>
      <c r="CX15" s="4">
        <f>IFERROR(((0+CO7+CO8+CO9+CO10+CO11+CO12+CO13+CO15)/T2),0)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2023-10-30</t>
        </is>
      </c>
      <c r="DB15" s="5">
        <f>ROUND(20.76,2)</f>
        <v/>
      </c>
      <c r="DC15" s="3">
        <f>ROUND(23247.0,2)</f>
        <v/>
      </c>
      <c r="DD15" s="3">
        <f>ROUND(428.0,2)</f>
        <v/>
      </c>
      <c r="DE15" s="3">
        <f>ROUND(0.0,2)</f>
        <v/>
      </c>
      <c r="DF15" s="3">
        <f>ROUND(0.0,2)</f>
        <v/>
      </c>
      <c r="DG15" s="3">
        <f>ROUND(0.0,2)</f>
        <v/>
      </c>
      <c r="DH15" s="3">
        <f>ROUND(0.0,2)</f>
        <v/>
      </c>
      <c r="DI15" s="3">
        <f>ROUND(0.0,2)</f>
        <v/>
      </c>
      <c r="DJ15" s="4">
        <f>IFERROR((DD15/DC15),0)</f>
        <v/>
      </c>
      <c r="DK15" s="4">
        <f>IFERROR(((0+DB7+DB8+DB9+DB10+DB11+DB12+DB13+DB15)/T2),0)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2023-10-30</t>
        </is>
      </c>
      <c r="DO15" s="5">
        <f>ROUND(3.73,2)</f>
        <v/>
      </c>
      <c r="DP15" s="3">
        <f>ROUND(3385.0,2)</f>
        <v/>
      </c>
      <c r="DQ15" s="3">
        <f>ROUND(69.0,2)</f>
        <v/>
      </c>
      <c r="DR15" s="3">
        <f>ROUND(0.0,2)</f>
        <v/>
      </c>
      <c r="DS15" s="3">
        <f>ROUND(0.0,2)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IFERROR(((0+DO7+DO8+DO9+DO10+DO11+DO12+DO13+DO15)/T2),0)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2023-10-30</t>
        </is>
      </c>
      <c r="EB15" s="5">
        <f>ROUND(0.0,2)</f>
        <v/>
      </c>
      <c r="EC15" s="3">
        <f>ROUND(0.0,2)</f>
        <v/>
      </c>
      <c r="ED15" s="3">
        <f>ROUND(0.0,2)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IFERROR(((0+EB7+EB8+EB9+EB10+EB11+EB12+EB13+EB15)/T2),0)</f>
        <v/>
      </c>
      <c r="EL15" s="5">
        <f>IFERROR(ROUND(EB15/ED15,2),0)</f>
        <v/>
      </c>
      <c r="EM15" s="5">
        <f>IFERROR(ROUND(EB15/EE15,2),0)</f>
        <v/>
      </c>
    </row>
    <row r="16">
      <c r="A16" s="2" t="inlineStr">
        <is>
          <t>2023-10-31</t>
        </is>
      </c>
      <c r="B16" s="5">
        <f>ROUND(115.96000000000001,2)</f>
        <v/>
      </c>
      <c r="C16" s="3">
        <f>ROUND(126677.0,2)</f>
        <v/>
      </c>
      <c r="D16" s="3">
        <f>ROUND(2383.0,2)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IFERROR(((0+B7+B8+B9+B10+B11+B12+B13+B15+B16)/T2),0)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2023-10-31</t>
        </is>
      </c>
      <c r="O16" s="5">
        <f>ROUND(16.54,2)</f>
        <v/>
      </c>
      <c r="P16" s="3">
        <f>ROUND(28343.0,2)</f>
        <v/>
      </c>
      <c r="Q16" s="3">
        <f>ROUND(463.0,2)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IFERROR(((0+O7+O8+O9+O10+O11+O12+O13+O15+O16)/T2),0)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2023-10-31</t>
        </is>
      </c>
      <c r="AB16" s="5">
        <f>ROUND(6.39,2)</f>
        <v/>
      </c>
      <c r="AC16" s="3">
        <f>ROUND(6982.0,2)</f>
        <v/>
      </c>
      <c r="AD16" s="3">
        <f>ROUND(108.0,2)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IFERROR(((0+AB7+AB8+AB9+AB10+AB11+AB12+AB13+AB15+AB16)/T2),0)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2023-10-31</t>
        </is>
      </c>
      <c r="AO16" s="5">
        <f>ROUND(20.52,2)</f>
        <v/>
      </c>
      <c r="AP16" s="3">
        <f>ROUND(19556.0,2)</f>
        <v/>
      </c>
      <c r="AQ16" s="3">
        <f>ROUND(336.0,2)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IFERROR(((0+AO7+AO8+AO9+AO10+AO11+AO12+AO13+AO15+AO16)/T2),0)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2023-10-31</t>
        </is>
      </c>
      <c r="BB16" s="5">
        <f>ROUND(2.95,2)</f>
        <v/>
      </c>
      <c r="BC16" s="3">
        <f>ROUND(3271.0,2)</f>
        <v/>
      </c>
      <c r="BD16" s="3">
        <f>ROUND(48.0,2)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IFERROR(((0+BB7+BB8+BB9+BB10+BB11+BB12+BB13+BB15+BB16)/T2),0)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2023-10-31</t>
        </is>
      </c>
      <c r="BO16" s="5">
        <f>ROUND(22.94,2)</f>
        <v/>
      </c>
      <c r="BP16" s="3">
        <f>ROUND(15848.0,2)</f>
        <v/>
      </c>
      <c r="BQ16" s="3">
        <f>ROUND(397.0,2)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IFERROR(((0+BO7+BO8+BO9+BO10+BO11+BO12+BO13+BO15+BO16)/T2),0)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2023-10-31</t>
        </is>
      </c>
      <c r="CB16" s="5">
        <f>ROUND(9.43,2)</f>
        <v/>
      </c>
      <c r="CC16" s="3">
        <f>ROUND(13921.0,2)</f>
        <v/>
      </c>
      <c r="CD16" s="3">
        <f>ROUND(222.0,2)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IFERROR(((0+CB7+CB8+CB9+CB10+CB11+CB12+CB13+CB15+CB16)/T2),0)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2023-10-31</t>
        </is>
      </c>
      <c r="CO16" s="5">
        <f>ROUND(13.8,2)</f>
        <v/>
      </c>
      <c r="CP16" s="3">
        <f>ROUND(10310.0,2)</f>
        <v/>
      </c>
      <c r="CQ16" s="3">
        <f>ROUND(262.0,2)</f>
        <v/>
      </c>
      <c r="CR16" s="3">
        <f>ROUND(0.0,2)</f>
        <v/>
      </c>
      <c r="CS16" s="3">
        <f>ROUND(0.0,2)</f>
        <v/>
      </c>
      <c r="CT16" s="3">
        <f>ROUND(0.0,2)</f>
        <v/>
      </c>
      <c r="CU16" s="3">
        <f>ROUND(0.0,2)</f>
        <v/>
      </c>
      <c r="CV16" s="3">
        <f>ROUND(0.0,2)</f>
        <v/>
      </c>
      <c r="CW16" s="4">
        <f>IFERROR((CQ16/CP16),0)</f>
        <v/>
      </c>
      <c r="CX16" s="4">
        <f>IFERROR(((0+CO7+CO8+CO9+CO10+CO11+CO12+CO13+CO15+CO16)/T2),0)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2023-10-31</t>
        </is>
      </c>
      <c r="DB16" s="5">
        <f>ROUND(19.85,2)</f>
        <v/>
      </c>
      <c r="DC16" s="3">
        <f>ROUND(24560.0,2)</f>
        <v/>
      </c>
      <c r="DD16" s="3">
        <f>ROUND(480.0,2)</f>
        <v/>
      </c>
      <c r="DE16" s="3">
        <f>ROUND(0.0,2)</f>
        <v/>
      </c>
      <c r="DF16" s="3">
        <f>ROUND(0.0,2)</f>
        <v/>
      </c>
      <c r="DG16" s="3">
        <f>ROUND(0.0,2)</f>
        <v/>
      </c>
      <c r="DH16" s="3">
        <f>ROUND(0.0,2)</f>
        <v/>
      </c>
      <c r="DI16" s="3">
        <f>ROUND(0.0,2)</f>
        <v/>
      </c>
      <c r="DJ16" s="4">
        <f>IFERROR((DD16/DC16),0)</f>
        <v/>
      </c>
      <c r="DK16" s="4">
        <f>IFERROR(((0+DB7+DB8+DB9+DB10+DB11+DB12+DB13+DB15+DB16)/T2),0)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2023-10-31</t>
        </is>
      </c>
      <c r="DO16" s="5">
        <f>ROUND(3.13,2)</f>
        <v/>
      </c>
      <c r="DP16" s="3">
        <f>ROUND(3375.0,2)</f>
        <v/>
      </c>
      <c r="DQ16" s="3">
        <f>ROUND(60.0,2)</f>
        <v/>
      </c>
      <c r="DR16" s="3">
        <f>ROUND(0.0,2)</f>
        <v/>
      </c>
      <c r="DS16" s="3">
        <f>ROUND(0.0,2)</f>
        <v/>
      </c>
      <c r="DT16" s="3">
        <f>ROUND(0.0,2)</f>
        <v/>
      </c>
      <c r="DU16" s="3">
        <f>ROUND(0.0,2)</f>
        <v/>
      </c>
      <c r="DV16" s="3">
        <f>ROUND(0.0,2)</f>
        <v/>
      </c>
      <c r="DW16" s="4">
        <f>IFERROR((DQ16/DP16),0)</f>
        <v/>
      </c>
      <c r="DX16" s="4">
        <f>IFERROR(((0+DO7+DO8+DO9+DO10+DO11+DO12+DO13+DO15+DO16)/T2),0)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2023-10-31</t>
        </is>
      </c>
      <c r="EB16" s="5">
        <f>ROUND(0.41,2)</f>
        <v/>
      </c>
      <c r="EC16" s="3">
        <f>ROUND(511.0,2)</f>
        <v/>
      </c>
      <c r="ED16" s="3">
        <f>ROUND(7.0,2)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IFERROR(((0+EB7+EB8+EB9+EB10+EB11+EB12+EB13+EB15+EB16)/T2),0)</f>
        <v/>
      </c>
      <c r="EL16" s="5">
        <f>IFERROR(ROUND(EB16/ED16,2),0)</f>
        <v/>
      </c>
      <c r="EM16" s="5">
        <f>IFERROR(ROUND(EB16/EE16,2),0)</f>
        <v/>
      </c>
    </row>
    <row r="17">
      <c r="A17" s="2" t="inlineStr">
        <is>
          <t>2023-11-01</t>
        </is>
      </c>
      <c r="B17" s="5">
        <f>ROUND(125.81,2)</f>
        <v/>
      </c>
      <c r="C17" s="3">
        <f>ROUND(143506.0,2)</f>
        <v/>
      </c>
      <c r="D17" s="3">
        <f>ROUND(2717.0,2)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IFERROR(((0+B7+B8+B9+B10+B11+B12+B13+B15+B16+B17)/T2),0)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2023-11-01</t>
        </is>
      </c>
      <c r="O17" s="5">
        <f>ROUND(20.18,2)</f>
        <v/>
      </c>
      <c r="P17" s="3">
        <f>ROUND(38027.0,2)</f>
        <v/>
      </c>
      <c r="Q17" s="3">
        <f>ROUND(613.0,2)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IFERROR(((0+O7+O8+O9+O10+O11+O12+O13+O15+O16+O17)/T2),0)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2023-11-01</t>
        </is>
      </c>
      <c r="AB17" s="5">
        <f>ROUND(4.86,2)</f>
        <v/>
      </c>
      <c r="AC17" s="3">
        <f>ROUND(6271.0,2)</f>
        <v/>
      </c>
      <c r="AD17" s="3">
        <f>ROUND(93.0,2)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IFERROR(((0+AB7+AB8+AB9+AB10+AB11+AB12+AB13+AB15+AB16+AB17)/T2),0)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2023-11-01</t>
        </is>
      </c>
      <c r="AO17" s="5">
        <f>ROUND(23.33,2)</f>
        <v/>
      </c>
      <c r="AP17" s="3">
        <f>ROUND(21050.0,2)</f>
        <v/>
      </c>
      <c r="AQ17" s="3">
        <f>ROUND(418.0,2)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IFERROR(((0+AO7+AO8+AO9+AO10+AO11+AO12+AO13+AO15+AO16+AO17)/T2),0)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2023-11-01</t>
        </is>
      </c>
      <c r="BB17" s="5">
        <f>ROUND(1.94,2)</f>
        <v/>
      </c>
      <c r="BC17" s="3">
        <f>ROUND(2968.0,2)</f>
        <v/>
      </c>
      <c r="BD17" s="3">
        <f>ROUND(43.0,2)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IFERROR(((0+BB7+BB8+BB9+BB10+BB11+BB12+BB13+BB15+BB16+BB17)/T2),0)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2023-11-01</t>
        </is>
      </c>
      <c r="BO17" s="5">
        <f>ROUND(22.99,2)</f>
        <v/>
      </c>
      <c r="BP17" s="3">
        <f>ROUND(18895.0,2)</f>
        <v/>
      </c>
      <c r="BQ17" s="3">
        <f>ROUND(441.0,2)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IFERROR(((0+BO7+BO8+BO9+BO10+BO11+BO12+BO13+BO15+BO16+BO17)/T2),0)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2023-11-01</t>
        </is>
      </c>
      <c r="CB17" s="5">
        <f>ROUND(10.27,2)</f>
        <v/>
      </c>
      <c r="CC17" s="3">
        <f>ROUND(15794.0,2)</f>
        <v/>
      </c>
      <c r="CD17" s="3">
        <f>ROUND(248.0,2)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IFERROR(((0+CB7+CB8+CB9+CB10+CB11+CB12+CB13+CB15+CB16+CB17)/T2),0)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2023-11-01</t>
        </is>
      </c>
      <c r="CO17" s="5">
        <f>ROUND(14.99,2)</f>
        <v/>
      </c>
      <c r="CP17" s="3">
        <f>ROUND(11290.0,2)</f>
        <v/>
      </c>
      <c r="CQ17" s="3">
        <f>ROUND(267.0,2)</f>
        <v/>
      </c>
      <c r="CR17" s="3">
        <f>ROUND(0.0,2)</f>
        <v/>
      </c>
      <c r="CS17" s="3">
        <f>ROUND(0.0,2)</f>
        <v/>
      </c>
      <c r="CT17" s="3">
        <f>ROUND(0.0,2)</f>
        <v/>
      </c>
      <c r="CU17" s="3">
        <f>ROUND(0.0,2)</f>
        <v/>
      </c>
      <c r="CV17" s="3">
        <f>ROUND(0.0,2)</f>
        <v/>
      </c>
      <c r="CW17" s="4">
        <f>IFERROR((CQ17/CP17),0)</f>
        <v/>
      </c>
      <c r="CX17" s="4">
        <f>IFERROR(((0+CO7+CO8+CO9+CO10+CO11+CO12+CO13+CO15+CO16+CO17)/T2),0)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2023-11-01</t>
        </is>
      </c>
      <c r="DB17" s="5">
        <f>ROUND(21.8,2)</f>
        <v/>
      </c>
      <c r="DC17" s="3">
        <f>ROUND(24056.0,2)</f>
        <v/>
      </c>
      <c r="DD17" s="3">
        <f>ROUND(496.0,2)</f>
        <v/>
      </c>
      <c r="DE17" s="3">
        <f>ROUND(0.0,2)</f>
        <v/>
      </c>
      <c r="DF17" s="3">
        <f>ROUND(0.0,2)</f>
        <v/>
      </c>
      <c r="DG17" s="3">
        <f>ROUND(0.0,2)</f>
        <v/>
      </c>
      <c r="DH17" s="3">
        <f>ROUND(0.0,2)</f>
        <v/>
      </c>
      <c r="DI17" s="3">
        <f>ROUND(0.0,2)</f>
        <v/>
      </c>
      <c r="DJ17" s="4">
        <f>IFERROR((DD17/DC17),0)</f>
        <v/>
      </c>
      <c r="DK17" s="4">
        <f>IFERROR(((0+DB7+DB8+DB9+DB10+DB11+DB12+DB13+DB15+DB16+DB17)/T2),0)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2023-11-01</t>
        </is>
      </c>
      <c r="DO17" s="5">
        <f>ROUND(3.45,2)</f>
        <v/>
      </c>
      <c r="DP17" s="3">
        <f>ROUND(3400.0,2)</f>
        <v/>
      </c>
      <c r="DQ17" s="3">
        <f>ROUND(67.0,2)</f>
        <v/>
      </c>
      <c r="DR17" s="3">
        <f>ROUND(0.0,2)</f>
        <v/>
      </c>
      <c r="DS17" s="3">
        <f>ROUND(0.0,2)</f>
        <v/>
      </c>
      <c r="DT17" s="3">
        <f>ROUND(0.0,2)</f>
        <v/>
      </c>
      <c r="DU17" s="3">
        <f>ROUND(0.0,2)</f>
        <v/>
      </c>
      <c r="DV17" s="3">
        <f>ROUND(0.0,2)</f>
        <v/>
      </c>
      <c r="DW17" s="4">
        <f>IFERROR((DQ17/DP17),0)</f>
        <v/>
      </c>
      <c r="DX17" s="4">
        <f>IFERROR(((0+DO7+DO8+DO9+DO10+DO11+DO12+DO13+DO15+DO16+DO17)/T2),0)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2023-11-01</t>
        </is>
      </c>
      <c r="EB17" s="5">
        <f>ROUND(2.0,2)</f>
        <v/>
      </c>
      <c r="EC17" s="3">
        <f>ROUND(1755.0,2)</f>
        <v/>
      </c>
      <c r="ED17" s="3">
        <f>ROUND(31.0,2)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IFERROR(((0+EB7+EB8+EB9+EB10+EB11+EB12+EB13+EB15+EB16+EB17)/T2),0)</f>
        <v/>
      </c>
      <c r="EL17" s="5">
        <f>IFERROR(ROUND(EB17/ED17,2),0)</f>
        <v/>
      </c>
      <c r="EM17" s="5">
        <f>IFERROR(ROUND(EB17/EE17,2),0)</f>
        <v/>
      </c>
    </row>
    <row r="18">
      <c r="A18" s="2" t="inlineStr">
        <is>
          <t>2023-11-02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IFERROR(((0+B7+B8+B9+B10+B11+B12+B13+B15+B16+B17+B18)/T2),0)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2023-11-02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IFERROR(((0+O7+O8+O9+O10+O11+O12+O13+O15+O16+O17+O18)/T2),0)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2023-11-02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IFERROR(((0+AB7+AB8+AB9+AB10+AB11+AB12+AB13+AB15+AB16+AB17+AB18)/T2),0)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2023-11-02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IFERROR(((0+AO7+AO8+AO9+AO10+AO11+AO12+AO13+AO15+AO16+AO17+AO18)/T2),0)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2023-11-02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IFERROR(((0+BB7+BB8+BB9+BB10+BB11+BB12+BB13+BB15+BB16+BB17+BB18)/T2),0)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2023-11-02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IFERROR(((0+BO7+BO8+BO9+BO10+BO11+BO12+BO13+BO15+BO16+BO17+BO18)/T2),0)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2023-11-02</t>
        </is>
      </c>
      <c r="CB18" s="5">
        <f>ROUND(0.0,2)</f>
        <v/>
      </c>
      <c r="CC18" s="3">
        <f>ROUND(0.0,2)</f>
        <v/>
      </c>
      <c r="CD18" s="3">
        <f>ROUND(0.0,2)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IFERROR(((0+CB7+CB8+CB9+CB10+CB11+CB12+CB13+CB15+CB16+CB17+CB18)/T2),0)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2023-11-02</t>
        </is>
      </c>
      <c r="CO18" s="5">
        <f>ROUND(0.0,2)</f>
        <v/>
      </c>
      <c r="CP18" s="3">
        <f>ROUND(0.0,2)</f>
        <v/>
      </c>
      <c r="CQ18" s="3">
        <f>ROUND(0.0,2)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IFERROR(((0+CO7+CO8+CO9+CO10+CO11+CO12+CO13+CO15+CO16+CO17+CO18)/T2),0)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2023-11-02</t>
        </is>
      </c>
      <c r="DB18" s="5">
        <f>ROUND(0.0,2)</f>
        <v/>
      </c>
      <c r="DC18" s="3">
        <f>ROUND(0.0,2)</f>
        <v/>
      </c>
      <c r="DD18" s="3">
        <f>ROUND(0.0,2)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IFERROR(((0+DB7+DB8+DB9+DB10+DB11+DB12+DB13+DB15+DB16+DB17+DB18)/T2),0)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2023-11-02</t>
        </is>
      </c>
      <c r="DO18" s="5">
        <f>ROUND(0.0,2)</f>
        <v/>
      </c>
      <c r="DP18" s="3">
        <f>ROUND(0.0,2)</f>
        <v/>
      </c>
      <c r="DQ18" s="3">
        <f>ROUND(0.0,2)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IFERROR(((0+DO7+DO8+DO9+DO10+DO11+DO12+DO13+DO15+DO16+DO17+DO18)/T2),0)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2023-11-02</t>
        </is>
      </c>
      <c r="EB18" s="5">
        <f>ROUND(0.0,2)</f>
        <v/>
      </c>
      <c r="EC18" s="3">
        <f>ROUND(0.0,2)</f>
        <v/>
      </c>
      <c r="ED18" s="3">
        <f>ROUND(0.0,2)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IFERROR(((0+EB7+EB8+EB9+EB10+EB11+EB12+EB13+EB15+EB16+EB17+EB18)/T2),0)</f>
        <v/>
      </c>
      <c r="EL18" s="5">
        <f>IFERROR(ROUND(EB18/ED18,2),0)</f>
        <v/>
      </c>
      <c r="EM18" s="5">
        <f>IFERROR(ROUND(EB18/EE18,2),0)</f>
        <v/>
      </c>
    </row>
    <row r="19">
      <c r="A19" s="6" t="inlineStr">
        <is>
          <t>Total</t>
        </is>
      </c>
      <c r="B19" s="7">
        <f>ROUND(1239.88,2)</f>
        <v/>
      </c>
      <c r="C19" s="8">
        <f>ROUND(1150576.0,2)</f>
        <v/>
      </c>
      <c r="D19" s="8">
        <f>ROUND(23955.0,2)</f>
        <v/>
      </c>
      <c r="E19" s="8">
        <f>ROUND(0.0,2)</f>
        <v/>
      </c>
      <c r="F19" s="8">
        <f>ROUND(0.0,2)</f>
        <v/>
      </c>
      <c r="G19" s="8">
        <f>ROUND(0.0,2)</f>
        <v/>
      </c>
      <c r="H19" s="8">
        <f>ROUND(0.0,2)</f>
        <v/>
      </c>
      <c r="I19" s="8">
        <f>ROUND(0.0,2)</f>
        <v/>
      </c>
      <c r="J19" s="9">
        <f>IFERROR((D19/C19),0)</f>
        <v/>
      </c>
      <c r="K19" s="9">
        <f>IFERROR(((0+B19)/T2),0)</f>
        <v/>
      </c>
      <c r="L19" s="7">
        <f>IFERROR(B19/D19,0)</f>
        <v/>
      </c>
      <c r="M19" s="7">
        <f>IFERROR(ROUND(B19/E19,2),0)</f>
        <v/>
      </c>
      <c r="N19" s="6" t="inlineStr">
        <is>
          <t>Total</t>
        </is>
      </c>
      <c r="O19" s="7">
        <f>ROUND(159.49,2)</f>
        <v/>
      </c>
      <c r="P19" s="8">
        <f>ROUND(187520.0,2)</f>
        <v/>
      </c>
      <c r="Q19" s="8">
        <f>ROUND(3409.0,2)</f>
        <v/>
      </c>
      <c r="R19" s="8">
        <f>ROUND(0.0,2)</f>
        <v/>
      </c>
      <c r="S19" s="8">
        <f>ROUND(0.0,2)</f>
        <v/>
      </c>
      <c r="T19" s="8">
        <f>ROUND(0.0,2)</f>
        <v/>
      </c>
      <c r="U19" s="8">
        <f>ROUND(0.0,2)</f>
        <v/>
      </c>
      <c r="V19" s="8">
        <f>ROUND(0.0,2)</f>
        <v/>
      </c>
      <c r="W19" s="9">
        <f>IFERROR((Q19/P19),0)</f>
        <v/>
      </c>
      <c r="X19" s="9">
        <f>IFERROR(((0+O19)/T2),0)</f>
        <v/>
      </c>
      <c r="Y19" s="7">
        <f>IFERROR(O19/Q19,0)</f>
        <v/>
      </c>
      <c r="Z19" s="7">
        <f>IFERROR(ROUND(O19/R19,2),0)</f>
        <v/>
      </c>
      <c r="AA19" s="6" t="inlineStr">
        <is>
          <t>Total</t>
        </is>
      </c>
      <c r="AB19" s="7">
        <f>ROUND(87.79,2)</f>
        <v/>
      </c>
      <c r="AC19" s="8">
        <f>ROUND(112279.0,2)</f>
        <v/>
      </c>
      <c r="AD19" s="8">
        <f>ROUND(1563.0,2)</f>
        <v/>
      </c>
      <c r="AE19" s="8">
        <f>ROUND(0.0,2)</f>
        <v/>
      </c>
      <c r="AF19" s="8">
        <f>ROUND(0.0,2)</f>
        <v/>
      </c>
      <c r="AG19" s="8">
        <f>ROUND(0.0,2)</f>
        <v/>
      </c>
      <c r="AH19" s="8">
        <f>ROUND(0.0,2)</f>
        <v/>
      </c>
      <c r="AI19" s="8">
        <f>ROUND(0.0,2)</f>
        <v/>
      </c>
      <c r="AJ19" s="9">
        <f>IFERROR((AD19/AC19),0)</f>
        <v/>
      </c>
      <c r="AK19" s="9">
        <f>IFERROR(((0+AB19)/T2),0)</f>
        <v/>
      </c>
      <c r="AL19" s="7">
        <f>IFERROR(AB19/AD19,0)</f>
        <v/>
      </c>
      <c r="AM19" s="7">
        <f>IFERROR(ROUND(AB19/AE19,2),0)</f>
        <v/>
      </c>
      <c r="AN19" s="6" t="inlineStr">
        <is>
          <t>Total</t>
        </is>
      </c>
      <c r="AO19" s="7">
        <f>ROUND(202.61,2)</f>
        <v/>
      </c>
      <c r="AP19" s="8">
        <f>ROUND(160736.0,2)</f>
        <v/>
      </c>
      <c r="AQ19" s="8">
        <f>ROUND(3359.0,2)</f>
        <v/>
      </c>
      <c r="AR19" s="8">
        <f>ROUND(0.0,2)</f>
        <v/>
      </c>
      <c r="AS19" s="8">
        <f>ROUND(0.0,2)</f>
        <v/>
      </c>
      <c r="AT19" s="8">
        <f>ROUND(0.0,2)</f>
        <v/>
      </c>
      <c r="AU19" s="8">
        <f>ROUND(0.0,2)</f>
        <v/>
      </c>
      <c r="AV19" s="8">
        <f>ROUND(0.0,2)</f>
        <v/>
      </c>
      <c r="AW19" s="9">
        <f>IFERROR((AQ19/AP19),0)</f>
        <v/>
      </c>
      <c r="AX19" s="9">
        <f>IFERROR(((0+AO19)/T2),0)</f>
        <v/>
      </c>
      <c r="AY19" s="7">
        <f>IFERROR(AO19/AQ19,0)</f>
        <v/>
      </c>
      <c r="AZ19" s="7">
        <f>IFERROR(ROUND(AO19/AR19,2),0)</f>
        <v/>
      </c>
      <c r="BA19" s="6" t="inlineStr">
        <is>
          <t>Total</t>
        </is>
      </c>
      <c r="BB19" s="7">
        <f>ROUND(46.16,2)</f>
        <v/>
      </c>
      <c r="BC19" s="8">
        <f>ROUND(47839.0,2)</f>
        <v/>
      </c>
      <c r="BD19" s="8">
        <f>ROUND(779.0,2)</f>
        <v/>
      </c>
      <c r="BE19" s="8">
        <f>ROUND(0.0,2)</f>
        <v/>
      </c>
      <c r="BF19" s="8">
        <f>ROUND(0.0,2)</f>
        <v/>
      </c>
      <c r="BG19" s="8">
        <f>ROUND(0.0,2)</f>
        <v/>
      </c>
      <c r="BH19" s="8">
        <f>ROUND(0.0,2)</f>
        <v/>
      </c>
      <c r="BI19" s="8">
        <f>ROUND(0.0,2)</f>
        <v/>
      </c>
      <c r="BJ19" s="9">
        <f>IFERROR((BD19/BC19),0)</f>
        <v/>
      </c>
      <c r="BK19" s="9">
        <f>IFERROR(((0+BB19)/T2),0)</f>
        <v/>
      </c>
      <c r="BL19" s="7">
        <f>IFERROR(BB19/BD19,0)</f>
        <v/>
      </c>
      <c r="BM19" s="7">
        <f>IFERROR(ROUND(BB19/BE19,2),0)</f>
        <v/>
      </c>
      <c r="BN19" s="6" t="inlineStr">
        <is>
          <t>Total</t>
        </is>
      </c>
      <c r="BO19" s="7">
        <f>ROUND(245.09,2)</f>
        <v/>
      </c>
      <c r="BP19" s="8">
        <f>ROUND(182634.0,2)</f>
        <v/>
      </c>
      <c r="BQ19" s="8">
        <f>ROUND(4913.0,2)</f>
        <v/>
      </c>
      <c r="BR19" s="8">
        <f>ROUND(0.0,2)</f>
        <v/>
      </c>
      <c r="BS19" s="8">
        <f>ROUND(0.0,2)</f>
        <v/>
      </c>
      <c r="BT19" s="8">
        <f>ROUND(0.0,2)</f>
        <v/>
      </c>
      <c r="BU19" s="8">
        <f>ROUND(0.0,2)</f>
        <v/>
      </c>
      <c r="BV19" s="8">
        <f>ROUND(0.0,2)</f>
        <v/>
      </c>
      <c r="BW19" s="9">
        <f>IFERROR((BQ19/BP19),0)</f>
        <v/>
      </c>
      <c r="BX19" s="9">
        <f>IFERROR(((0+BO19)/T2),0)</f>
        <v/>
      </c>
      <c r="BY19" s="7">
        <f>IFERROR(BO19/BQ19,0)</f>
        <v/>
      </c>
      <c r="BZ19" s="7">
        <f>IFERROR(ROUND(BO19/BR19,2),0)</f>
        <v/>
      </c>
      <c r="CA19" s="6" t="inlineStr">
        <is>
          <t>Total</t>
        </is>
      </c>
      <c r="CB19" s="7">
        <f>ROUND(118.6,2)</f>
        <v/>
      </c>
      <c r="CC19" s="8">
        <f>ROUND(136865.0,2)</f>
        <v/>
      </c>
      <c r="CD19" s="8">
        <f>ROUND(2537.0,2)</f>
        <v/>
      </c>
      <c r="CE19" s="8">
        <f>ROUND(0.0,2)</f>
        <v/>
      </c>
      <c r="CF19" s="8">
        <f>ROUND(0.0,2)</f>
        <v/>
      </c>
      <c r="CG19" s="8">
        <f>ROUND(0.0,2)</f>
        <v/>
      </c>
      <c r="CH19" s="8">
        <f>ROUND(0.0,2)</f>
        <v/>
      </c>
      <c r="CI19" s="8">
        <f>ROUND(0.0,2)</f>
        <v/>
      </c>
      <c r="CJ19" s="9">
        <f>IFERROR((CD19/CC19),0)</f>
        <v/>
      </c>
      <c r="CK19" s="9">
        <f>IFERROR(((0+CB19)/T2),0)</f>
        <v/>
      </c>
      <c r="CL19" s="7">
        <f>IFERROR(CB19/CD19,0)</f>
        <v/>
      </c>
      <c r="CM19" s="7">
        <f>IFERROR(ROUND(CB19/CE19,2),0)</f>
        <v/>
      </c>
      <c r="CN19" s="6" t="inlineStr">
        <is>
          <t>Total</t>
        </is>
      </c>
      <c r="CO19" s="7">
        <f>ROUND(129.78,2)</f>
        <v/>
      </c>
      <c r="CP19" s="8">
        <f>ROUND(82520.0,2)</f>
        <v/>
      </c>
      <c r="CQ19" s="8">
        <f>ROUND(2233.0,2)</f>
        <v/>
      </c>
      <c r="CR19" s="8">
        <f>ROUND(0.0,2)</f>
        <v/>
      </c>
      <c r="CS19" s="8">
        <f>ROUND(0.0,2)</f>
        <v/>
      </c>
      <c r="CT19" s="8">
        <f>ROUND(0.0,2)</f>
        <v/>
      </c>
      <c r="CU19" s="8">
        <f>ROUND(0.0,2)</f>
        <v/>
      </c>
      <c r="CV19" s="8">
        <f>ROUND(0.0,2)</f>
        <v/>
      </c>
      <c r="CW19" s="9">
        <f>IFERROR((CQ19/CP19),0)</f>
        <v/>
      </c>
      <c r="CX19" s="9">
        <f>IFERROR(((0+CO19)/T2),0)</f>
        <v/>
      </c>
      <c r="CY19" s="7">
        <f>IFERROR(CO19/CQ19,0)</f>
        <v/>
      </c>
      <c r="CZ19" s="7">
        <f>IFERROR(ROUND(CO19/CR19,2),0)</f>
        <v/>
      </c>
      <c r="DA19" s="6" t="inlineStr">
        <is>
          <t>Total</t>
        </is>
      </c>
      <c r="DB19" s="7">
        <f>ROUND(173.32999999999998,2)</f>
        <v/>
      </c>
      <c r="DC19" s="8">
        <f>ROUND(167915.0,2)</f>
        <v/>
      </c>
      <c r="DD19" s="8">
        <f>ROUND(3565.0,2)</f>
        <v/>
      </c>
      <c r="DE19" s="8">
        <f>ROUND(0.0,2)</f>
        <v/>
      </c>
      <c r="DF19" s="8">
        <f>ROUND(0.0,2)</f>
        <v/>
      </c>
      <c r="DG19" s="8">
        <f>ROUND(0.0,2)</f>
        <v/>
      </c>
      <c r="DH19" s="8">
        <f>ROUND(0.0,2)</f>
        <v/>
      </c>
      <c r="DI19" s="8">
        <f>ROUND(0.0,2)</f>
        <v/>
      </c>
      <c r="DJ19" s="9">
        <f>IFERROR((DD19/DC19),0)</f>
        <v/>
      </c>
      <c r="DK19" s="9">
        <f>IFERROR(((0+DB19)/T2),0)</f>
        <v/>
      </c>
      <c r="DL19" s="7">
        <f>IFERROR(DB19/DD19,0)</f>
        <v/>
      </c>
      <c r="DM19" s="7">
        <f>IFERROR(ROUND(DB19/DE19,2),0)</f>
        <v/>
      </c>
      <c r="DN19" s="6" t="inlineStr">
        <is>
          <t>Total</t>
        </is>
      </c>
      <c r="DO19" s="7">
        <f>ROUND(74.62,2)</f>
        <v/>
      </c>
      <c r="DP19" s="8">
        <f>ROUND(70002.0,2)</f>
        <v/>
      </c>
      <c r="DQ19" s="8">
        <f>ROUND(1559.0,2)</f>
        <v/>
      </c>
      <c r="DR19" s="8">
        <f>ROUND(0.0,2)</f>
        <v/>
      </c>
      <c r="DS19" s="8">
        <f>ROUND(0.0,2)</f>
        <v/>
      </c>
      <c r="DT19" s="8">
        <f>ROUND(0.0,2)</f>
        <v/>
      </c>
      <c r="DU19" s="8">
        <f>ROUND(0.0,2)</f>
        <v/>
      </c>
      <c r="DV19" s="8">
        <f>ROUND(0.0,2)</f>
        <v/>
      </c>
      <c r="DW19" s="9">
        <f>IFERROR((DQ19/DP19),0)</f>
        <v/>
      </c>
      <c r="DX19" s="9">
        <f>IFERROR(((0+DO19)/T2),0)</f>
        <v/>
      </c>
      <c r="DY19" s="7">
        <f>IFERROR(DO19/DQ19,0)</f>
        <v/>
      </c>
      <c r="DZ19" s="7">
        <f>IFERROR(ROUND(DO19/DR19,2),0)</f>
        <v/>
      </c>
      <c r="EA19" s="6" t="inlineStr">
        <is>
          <t>Total</t>
        </is>
      </c>
      <c r="EB19" s="7">
        <f>ROUND(2.41,2)</f>
        <v/>
      </c>
      <c r="EC19" s="8">
        <f>ROUND(2266.0,2)</f>
        <v/>
      </c>
      <c r="ED19" s="8">
        <f>ROUND(38.0,2)</f>
        <v/>
      </c>
      <c r="EE19" s="8">
        <f>ROUND(0.0,2)</f>
        <v/>
      </c>
      <c r="EF19" s="8">
        <f>ROUND(0.0,2)</f>
        <v/>
      </c>
      <c r="EG19" s="8">
        <f>ROUND(0.0,2)</f>
        <v/>
      </c>
      <c r="EH19" s="8">
        <f>ROUND(0.0,2)</f>
        <v/>
      </c>
      <c r="EI19" s="8">
        <f>ROUND(0.0,2)</f>
        <v/>
      </c>
      <c r="EJ19" s="9">
        <f>IFERROR((ED19/EC19),0)</f>
        <v/>
      </c>
      <c r="EK19" s="9">
        <f>IFERROR(((0+EB19)/T2),0)</f>
        <v/>
      </c>
      <c r="EL19" s="7">
        <f>IFERROR(EB19/ED19,0)</f>
        <v/>
      </c>
      <c r="EM19" s="7">
        <f>IFERROR(ROUND(EB19/EE19,2),0)</f>
        <v/>
      </c>
    </row>
  </sheetData>
  <mergeCells count="10">
    <mergeCell ref="AA5:AM5"/>
    <mergeCell ref="N5:Z5"/>
    <mergeCell ref="BA5:BM5"/>
    <mergeCell ref="CA5:CM5"/>
    <mergeCell ref="AN5:AZ5"/>
    <mergeCell ref="BN5:BZ5"/>
    <mergeCell ref="DA5:DM5"/>
    <mergeCell ref="CN5:CZ5"/>
    <mergeCell ref="EA5:EM5"/>
    <mergeCell ref="DN5:DZ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ROUND(1503.93,2)</f>
        <v/>
      </c>
      <c r="C2" s="3">
        <f>ROUND(3777534.0,2)</f>
        <v/>
      </c>
      <c r="D2" s="3">
        <f>ROUND(85008.0,2)</f>
        <v/>
      </c>
      <c r="E2" s="3">
        <f>ROUND(458851.0,2)</f>
        <v/>
      </c>
      <c r="F2" s="3">
        <f>ROUND(372734.0479,2)</f>
        <v/>
      </c>
      <c r="G2" s="3">
        <f>ROUND(206052.6842,2)</f>
        <v/>
      </c>
      <c r="H2" s="3">
        <f>ROUND(156023.4608,2)</f>
        <v/>
      </c>
      <c r="I2" s="3">
        <f>ROUND(114556.37780000002,2)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ROUND(854.6,2)</f>
        <v/>
      </c>
      <c r="C3" s="3">
        <f>ROUND(2000991.0,2)</f>
        <v/>
      </c>
      <c r="D3" s="3">
        <f>ROUND(41922.0,2)</f>
        <v/>
      </c>
      <c r="E3" s="3">
        <f>ROUND(297034.0,2)</f>
        <v/>
      </c>
      <c r="F3" s="3">
        <f>ROUND(263372.06350000005,2)</f>
        <v/>
      </c>
      <c r="G3" s="3">
        <f>ROUND(142319.5883,2)</f>
        <v/>
      </c>
      <c r="H3" s="3">
        <f>ROUND(107566.4857,2)</f>
        <v/>
      </c>
      <c r="I3" s="3">
        <f>ROUND(76667.2039,2)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6" t="inlineStr">
        <is>
          <t>Total</t>
        </is>
      </c>
      <c r="B4" s="7">
        <f>ROUND(2358.53,2)</f>
        <v/>
      </c>
      <c r="C4" s="8">
        <f>ROUND(5778525.0,2)</f>
        <v/>
      </c>
      <c r="D4" s="8">
        <f>ROUND(126930.0,2)</f>
        <v/>
      </c>
      <c r="E4" s="8">
        <f>ROUND(755885.0,2)</f>
        <v/>
      </c>
      <c r="F4" s="8">
        <f>ROUND(636106.1114,2)</f>
        <v/>
      </c>
      <c r="G4" s="8">
        <f>ROUND(348372.27249999996,2)</f>
        <v/>
      </c>
      <c r="H4" s="8">
        <f>ROUND(263589.9465,2)</f>
        <v/>
      </c>
      <c r="I4" s="8">
        <f>ROUND(191223.5817,2)</f>
        <v/>
      </c>
      <c r="J4" s="9">
        <f>IFERROR((D4/C4),0)</f>
        <v/>
      </c>
      <c r="K4" s="9">
        <f>IFERROR(((0+B4)/T2),0)</f>
        <v/>
      </c>
      <c r="L4" s="7">
        <f>IFERROR(B4/D4,0)</f>
        <v/>
      </c>
      <c r="M4" s="7">
        <f>IFERROR(ROUND(B4/E4,2),0)</f>
        <v/>
      </c>
      <c r="N4" s="1" t="inlineStr">
        <is>
          <t>Video</t>
        </is>
      </c>
      <c r="AA4" s="1" t="inlineStr">
        <is>
          <t>Video</t>
        </is>
      </c>
      <c r="AN4" s="1" t="inlineStr">
        <is>
          <t>Video</t>
        </is>
      </c>
      <c r="BA4" s="1" t="inlineStr">
        <is>
          <t>Video</t>
        </is>
      </c>
    </row>
    <row r="5">
      <c r="N5" s="1" t="inlineStr">
        <is>
          <t>DW</t>
        </is>
      </c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1" t="n"/>
      <c r="AA5" s="1" t="inlineStr">
        <is>
          <t>Oled</t>
        </is>
      </c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1" t="n"/>
      <c r="AN5" s="1" t="inlineStr">
        <is>
          <t>Ref_Knock</t>
        </is>
      </c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1" t="n"/>
      <c r="BA5" s="1" t="inlineStr">
        <is>
          <t>WM</t>
        </is>
      </c>
    </row>
    <row r="6">
      <c r="A6" s="1" t="inlineStr">
        <is>
          <t>date</t>
        </is>
      </c>
      <c r="B6" s="1" t="inlineStr">
        <is>
          <t>budget</t>
        </is>
      </c>
      <c r="C6" s="1" t="inlineStr">
        <is>
          <t>impressions</t>
        </is>
      </c>
      <c r="D6" s="1" t="inlineStr">
        <is>
          <t>clicks</t>
        </is>
      </c>
      <c r="E6" s="1" t="inlineStr">
        <is>
          <t>view</t>
        </is>
      </c>
      <c r="F6" s="1" t="inlineStr">
        <is>
          <t>percent_25</t>
        </is>
      </c>
      <c r="G6" s="1" t="inlineStr">
        <is>
          <t>percent_50</t>
        </is>
      </c>
      <c r="H6" s="1" t="inlineStr">
        <is>
          <t>percent_75</t>
        </is>
      </c>
      <c r="I6" s="1" t="inlineStr">
        <is>
          <t>percent_100</t>
        </is>
      </c>
      <c r="J6" s="1" t="inlineStr">
        <is>
          <t>CTR</t>
        </is>
      </c>
      <c r="K6" s="1" t="inlineStr">
        <is>
          <t>Spent Budget %</t>
        </is>
      </c>
      <c r="L6" s="1" t="inlineStr">
        <is>
          <t>CPC</t>
        </is>
      </c>
      <c r="M6" s="1" t="inlineStr">
        <is>
          <t>CPV</t>
        </is>
      </c>
      <c r="N6" s="1" t="inlineStr">
        <is>
          <t>date</t>
        </is>
      </c>
      <c r="O6" s="1" t="inlineStr">
        <is>
          <t>budget</t>
        </is>
      </c>
      <c r="P6" s="1" t="inlineStr">
        <is>
          <t>impressions</t>
        </is>
      </c>
      <c r="Q6" s="1" t="inlineStr">
        <is>
          <t>clicks</t>
        </is>
      </c>
      <c r="R6" s="1" t="inlineStr">
        <is>
          <t>view</t>
        </is>
      </c>
      <c r="S6" s="1" t="inlineStr">
        <is>
          <t>percent_25</t>
        </is>
      </c>
      <c r="T6" s="1" t="inlineStr">
        <is>
          <t>percent_50</t>
        </is>
      </c>
      <c r="U6" s="1" t="inlineStr">
        <is>
          <t>percent_75</t>
        </is>
      </c>
      <c r="V6" s="1" t="inlineStr">
        <is>
          <t>percent_100</t>
        </is>
      </c>
      <c r="W6" s="1" t="inlineStr">
        <is>
          <t>CTR</t>
        </is>
      </c>
      <c r="X6" s="1" t="inlineStr">
        <is>
          <t>Spent Budget %</t>
        </is>
      </c>
      <c r="Y6" s="1" t="inlineStr">
        <is>
          <t>CPC</t>
        </is>
      </c>
      <c r="Z6" s="1" t="inlineStr">
        <is>
          <t>CPV</t>
        </is>
      </c>
      <c r="AA6" s="1" t="inlineStr">
        <is>
          <t>date</t>
        </is>
      </c>
      <c r="AB6" s="1" t="inlineStr">
        <is>
          <t>budget</t>
        </is>
      </c>
      <c r="AC6" s="1" t="inlineStr">
        <is>
          <t>impressions</t>
        </is>
      </c>
      <c r="AD6" s="1" t="inlineStr">
        <is>
          <t>clicks</t>
        </is>
      </c>
      <c r="AE6" s="1" t="inlineStr">
        <is>
          <t>view</t>
        </is>
      </c>
      <c r="AF6" s="1" t="inlineStr">
        <is>
          <t>percent_25</t>
        </is>
      </c>
      <c r="AG6" s="1" t="inlineStr">
        <is>
          <t>percent_50</t>
        </is>
      </c>
      <c r="AH6" s="1" t="inlineStr">
        <is>
          <t>percent_75</t>
        </is>
      </c>
      <c r="AI6" s="1" t="inlineStr">
        <is>
          <t>percent_100</t>
        </is>
      </c>
      <c r="AJ6" s="1" t="inlineStr">
        <is>
          <t>CTR</t>
        </is>
      </c>
      <c r="AK6" s="1" t="inlineStr">
        <is>
          <t>Spent Budget %</t>
        </is>
      </c>
      <c r="AL6" s="1" t="inlineStr">
        <is>
          <t>CPC</t>
        </is>
      </c>
      <c r="AM6" s="1" t="inlineStr">
        <is>
          <t>CPV</t>
        </is>
      </c>
      <c r="AN6" s="1" t="inlineStr">
        <is>
          <t>date</t>
        </is>
      </c>
      <c r="AO6" s="1" t="inlineStr">
        <is>
          <t>budget</t>
        </is>
      </c>
      <c r="AP6" s="1" t="inlineStr">
        <is>
          <t>impressions</t>
        </is>
      </c>
      <c r="AQ6" s="1" t="inlineStr">
        <is>
          <t>clicks</t>
        </is>
      </c>
      <c r="AR6" s="1" t="inlineStr">
        <is>
          <t>view</t>
        </is>
      </c>
      <c r="AS6" s="1" t="inlineStr">
        <is>
          <t>percent_25</t>
        </is>
      </c>
      <c r="AT6" s="1" t="inlineStr">
        <is>
          <t>percent_50</t>
        </is>
      </c>
      <c r="AU6" s="1" t="inlineStr">
        <is>
          <t>percent_75</t>
        </is>
      </c>
      <c r="AV6" s="1" t="inlineStr">
        <is>
          <t>percent_100</t>
        </is>
      </c>
      <c r="AW6" s="1" t="inlineStr">
        <is>
          <t>CTR</t>
        </is>
      </c>
      <c r="AX6" s="1" t="inlineStr">
        <is>
          <t>Spent Budget %</t>
        </is>
      </c>
      <c r="AY6" s="1" t="inlineStr">
        <is>
          <t>CPC</t>
        </is>
      </c>
      <c r="AZ6" s="1" t="inlineStr">
        <is>
          <t>CPV</t>
        </is>
      </c>
      <c r="BA6" s="1" t="inlineStr">
        <is>
          <t>date</t>
        </is>
      </c>
      <c r="BB6" s="1" t="inlineStr">
        <is>
          <t>budget</t>
        </is>
      </c>
      <c r="BC6" s="1" t="inlineStr">
        <is>
          <t>impressions</t>
        </is>
      </c>
      <c r="BD6" s="1" t="inlineStr">
        <is>
          <t>clicks</t>
        </is>
      </c>
      <c r="BE6" s="1" t="inlineStr">
        <is>
          <t>view</t>
        </is>
      </c>
      <c r="BF6" s="1" t="inlineStr">
        <is>
          <t>percent_25</t>
        </is>
      </c>
      <c r="BG6" s="1" t="inlineStr">
        <is>
          <t>percent_50</t>
        </is>
      </c>
      <c r="BH6" s="1" t="inlineStr">
        <is>
          <t>percent_75</t>
        </is>
      </c>
      <c r="BI6" s="1" t="inlineStr">
        <is>
          <t>percent_100</t>
        </is>
      </c>
      <c r="BJ6" s="1" t="inlineStr">
        <is>
          <t>CTR</t>
        </is>
      </c>
      <c r="BK6" s="1" t="inlineStr">
        <is>
          <t>Spent Budget %</t>
        </is>
      </c>
      <c r="BL6" s="1" t="inlineStr">
        <is>
          <t>CPC</t>
        </is>
      </c>
      <c r="BM6" s="1" t="inlineStr">
        <is>
          <t>CPV</t>
        </is>
      </c>
    </row>
    <row r="7">
      <c r="A7" s="2" t="inlineStr">
        <is>
          <t>2023-10-23</t>
        </is>
      </c>
      <c r="B7" s="5">
        <f>ROUND(214.51,2)</f>
        <v/>
      </c>
      <c r="C7" s="3">
        <f>ROUND(256377.0,2)</f>
        <v/>
      </c>
      <c r="D7" s="3">
        <f>ROUND(3588.0,2)</f>
        <v/>
      </c>
      <c r="E7" s="3">
        <f>ROUND(63530.0,2)</f>
        <v/>
      </c>
      <c r="F7" s="3">
        <f>ROUND(47260.7289,2)</f>
        <v/>
      </c>
      <c r="G7" s="3">
        <f>ROUND(26197.111100000002,2)</f>
        <v/>
      </c>
      <c r="H7" s="3">
        <f>ROUND(19838.346400000002,2)</f>
        <v/>
      </c>
      <c r="I7" s="3">
        <f>ROUND(14721.2315,2)</f>
        <v/>
      </c>
      <c r="J7" s="4">
        <f>IFERROR((D7/C7),0)</f>
        <v/>
      </c>
      <c r="K7" s="4">
        <f>IFERROR(((0+B7)/T2),0)</f>
        <v/>
      </c>
      <c r="L7" s="5">
        <f>IFERROR(ROUND(B7/D7,2),0)</f>
        <v/>
      </c>
      <c r="M7" s="5">
        <f>IFERROR(ROUND(B7/E7,2),0)</f>
        <v/>
      </c>
      <c r="N7" s="2" t="inlineStr">
        <is>
          <t>2023-10-23</t>
        </is>
      </c>
      <c r="O7" s="5">
        <f>ROUND(53.57,2)</f>
        <v/>
      </c>
      <c r="P7" s="3">
        <f>ROUND(73494.0,2)</f>
        <v/>
      </c>
      <c r="Q7" s="3">
        <f>ROUND(593.0,2)</f>
        <v/>
      </c>
      <c r="R7" s="3">
        <f>ROUND(15121.0,2)</f>
        <v/>
      </c>
      <c r="S7" s="3">
        <f>ROUND(7997.6475,2)</f>
        <v/>
      </c>
      <c r="T7" s="3">
        <f>ROUND(4299.6815,2)</f>
        <v/>
      </c>
      <c r="U7" s="3">
        <f>ROUND(3282.3812,2)</f>
        <v/>
      </c>
      <c r="V7" s="3">
        <f>ROUND(2447.5605,2)</f>
        <v/>
      </c>
      <c r="W7" s="4">
        <f>IFERROR((Q7/P7),0)</f>
        <v/>
      </c>
      <c r="X7" s="4">
        <f>IFERROR(((0+O7)/T2),0)</f>
        <v/>
      </c>
      <c r="Y7" s="5">
        <f>IFERROR(ROUND(O7/Q7,2),0)</f>
        <v/>
      </c>
      <c r="Z7" s="5">
        <f>IFERROR(ROUND(O7/R7,2),0)</f>
        <v/>
      </c>
      <c r="AA7" s="2" t="inlineStr">
        <is>
          <t>2023-10-23</t>
        </is>
      </c>
      <c r="AB7" s="5">
        <f>ROUND(53.900000000000006,2)</f>
        <v/>
      </c>
      <c r="AC7" s="3">
        <f>ROUND(41778.0,2)</f>
        <v/>
      </c>
      <c r="AD7" s="3">
        <f>ROUND(554.0,2)</f>
        <v/>
      </c>
      <c r="AE7" s="3">
        <f>ROUND(9926.0,2)</f>
        <v/>
      </c>
      <c r="AF7" s="3">
        <f>ROUND(6939.0692,2)</f>
        <v/>
      </c>
      <c r="AG7" s="3">
        <f>ROUND(3694.0288,2)</f>
        <v/>
      </c>
      <c r="AH7" s="3">
        <f>ROUND(2749.9276,2)</f>
        <v/>
      </c>
      <c r="AI7" s="3">
        <f>ROUND(2202.7285,2)</f>
        <v/>
      </c>
      <c r="AJ7" s="4">
        <f>IFERROR((AD7/AC7),0)</f>
        <v/>
      </c>
      <c r="AK7" s="4">
        <f>IFERROR(((0+AB7)/T2),0)</f>
        <v/>
      </c>
      <c r="AL7" s="5">
        <f>IFERROR(ROUND(AB7/AD7,2),0)</f>
        <v/>
      </c>
      <c r="AM7" s="5">
        <f>IFERROR(ROUND(AB7/AE7,2),0)</f>
        <v/>
      </c>
      <c r="AN7" s="2" t="inlineStr">
        <is>
          <t>2023-10-23</t>
        </is>
      </c>
      <c r="AO7" s="5">
        <f>ROUND(53.45,2)</f>
        <v/>
      </c>
      <c r="AP7" s="3">
        <f>ROUND(91457.0,2)</f>
        <v/>
      </c>
      <c r="AQ7" s="3">
        <f>ROUND(1497.0,2)</f>
        <v/>
      </c>
      <c r="AR7" s="3">
        <f>ROUND(26374.0,2)</f>
        <v/>
      </c>
      <c r="AS7" s="3">
        <f>ROUND(22927.989700000002,2)</f>
        <v/>
      </c>
      <c r="AT7" s="3">
        <f>ROUND(13903.130000000001,2)</f>
        <v/>
      </c>
      <c r="AU7" s="3">
        <f>ROUND(10380.9935,2)</f>
        <v/>
      </c>
      <c r="AV7" s="3">
        <f>ROUND(7384.5691,2)</f>
        <v/>
      </c>
      <c r="AW7" s="4">
        <f>IFERROR((AQ7/AP7),0)</f>
        <v/>
      </c>
      <c r="AX7" s="4">
        <f>IFERROR(((0+AO7)/T2),0)</f>
        <v/>
      </c>
      <c r="AY7" s="5">
        <f>IFERROR(ROUND(AO7/AQ7,2),0)</f>
        <v/>
      </c>
      <c r="AZ7" s="5">
        <f>IFERROR(ROUND(AO7/AR7,2),0)</f>
        <v/>
      </c>
      <c r="BA7" s="2" t="inlineStr">
        <is>
          <t>2023-10-23</t>
        </is>
      </c>
      <c r="BB7" s="5">
        <f>ROUND(53.59,2)</f>
        <v/>
      </c>
      <c r="BC7" s="3">
        <f>ROUND(49648.0,2)</f>
        <v/>
      </c>
      <c r="BD7" s="3">
        <f>ROUND(944.0,2)</f>
        <v/>
      </c>
      <c r="BE7" s="3">
        <f>ROUND(12109.0,2)</f>
        <v/>
      </c>
      <c r="BF7" s="3">
        <f>ROUND(9396.022500000001,2)</f>
        <v/>
      </c>
      <c r="BG7" s="3">
        <f>ROUND(4300.2708,2)</f>
        <v/>
      </c>
      <c r="BH7" s="3">
        <f>ROUND(3425.0440999999996,2)</f>
        <v/>
      </c>
      <c r="BI7" s="3">
        <f>ROUND(2686.3734,2)</f>
        <v/>
      </c>
      <c r="BJ7" s="4">
        <f>IFERROR((BD7/BC7),0)</f>
        <v/>
      </c>
      <c r="BK7" s="4">
        <f>IFERROR(((0+BB7)/T2),0)</f>
        <v/>
      </c>
      <c r="BL7" s="5">
        <f>IFERROR(ROUND(BB7/BD7,2),0)</f>
        <v/>
      </c>
      <c r="BM7" s="5">
        <f>IFERROR(ROUND(BB7/BE7,2),0)</f>
        <v/>
      </c>
    </row>
    <row r="8">
      <c r="A8" s="2" t="inlineStr">
        <is>
          <t>2023-10-24</t>
        </is>
      </c>
      <c r="B8" s="5">
        <f>ROUND(218.91,2)</f>
        <v/>
      </c>
      <c r="C8" s="3">
        <f>ROUND(282811.0,2)</f>
        <v/>
      </c>
      <c r="D8" s="3">
        <f>ROUND(10079.0,2)</f>
        <v/>
      </c>
      <c r="E8" s="3">
        <f>ROUND(40060.0,2)</f>
        <v/>
      </c>
      <c r="F8" s="3">
        <f>ROUND(29183.1293,2)</f>
        <v/>
      </c>
      <c r="G8" s="3">
        <f>ROUND(17131.7797,2)</f>
        <v/>
      </c>
      <c r="H8" s="3">
        <f>ROUND(12922.704600000001,2)</f>
        <v/>
      </c>
      <c r="I8" s="3">
        <f>ROUND(9484.599300000002,2)</f>
        <v/>
      </c>
      <c r="J8" s="4">
        <f>IFERROR((D8/C8),0)</f>
        <v/>
      </c>
      <c r="K8" s="4">
        <f>IFERROR(((0+B7+B8)/T2),0)</f>
        <v/>
      </c>
      <c r="L8" s="5">
        <f>IFERROR(ROUND(B8/D8,2),0)</f>
        <v/>
      </c>
      <c r="M8" s="5">
        <f>IFERROR(ROUND(B8/E8,2),0)</f>
        <v/>
      </c>
      <c r="N8" s="2" t="inlineStr">
        <is>
          <t>2023-10-24</t>
        </is>
      </c>
      <c r="O8" s="5">
        <f>ROUND(54.489999999999995,2)</f>
        <v/>
      </c>
      <c r="P8" s="3">
        <f>ROUND(44649.0,2)</f>
        <v/>
      </c>
      <c r="Q8" s="3">
        <f>ROUND(1210.0,2)</f>
        <v/>
      </c>
      <c r="R8" s="3">
        <f>ROUND(6627.0,2)</f>
        <v/>
      </c>
      <c r="S8" s="3">
        <f>ROUND(3070.567,2)</f>
        <v/>
      </c>
      <c r="T8" s="3">
        <f>ROUND(1865.2177000000001,2)</f>
        <v/>
      </c>
      <c r="U8" s="3">
        <f>ROUND(1454.0783999999999,2)</f>
        <v/>
      </c>
      <c r="V8" s="3">
        <f>ROUND(1099.5675,2)</f>
        <v/>
      </c>
      <c r="W8" s="4">
        <f>IFERROR((Q8/P8),0)</f>
        <v/>
      </c>
      <c r="X8" s="4">
        <f>IFERROR(((0+O7+O8)/T2),0)</f>
        <v/>
      </c>
      <c r="Y8" s="5">
        <f>IFERROR(ROUND(O8/Q8,2),0)</f>
        <v/>
      </c>
      <c r="Z8" s="5">
        <f>IFERROR(ROUND(O8/R8,2),0)</f>
        <v/>
      </c>
      <c r="AA8" s="2" t="inlineStr">
        <is>
          <t>2023-10-24</t>
        </is>
      </c>
      <c r="AB8" s="5">
        <f>ROUND(54.760000000000005,2)</f>
        <v/>
      </c>
      <c r="AC8" s="3">
        <f>ROUND(57003.0,2)</f>
        <v/>
      </c>
      <c r="AD8" s="3">
        <f>ROUND(2537.0,2)</f>
        <v/>
      </c>
      <c r="AE8" s="3">
        <f>ROUND(4312.0,2)</f>
        <v/>
      </c>
      <c r="AF8" s="3">
        <f>ROUND(2685.5222999999996,2)</f>
        <v/>
      </c>
      <c r="AG8" s="3">
        <f>ROUND(1470.73,2)</f>
        <v/>
      </c>
      <c r="AH8" s="3">
        <f>ROUND(1086.8599,2)</f>
        <v/>
      </c>
      <c r="AI8" s="3">
        <f>ROUND(856.5309000000001,2)</f>
        <v/>
      </c>
      <c r="AJ8" s="4">
        <f>IFERROR((AD8/AC8),0)</f>
        <v/>
      </c>
      <c r="AK8" s="4">
        <f>IFERROR(((0+AB7+AB8)/T2),0)</f>
        <v/>
      </c>
      <c r="AL8" s="5">
        <f>IFERROR(ROUND(AB8/AD8,2),0)</f>
        <v/>
      </c>
      <c r="AM8" s="5">
        <f>IFERROR(ROUND(AB8/AE8,2),0)</f>
        <v/>
      </c>
      <c r="AN8" s="2" t="inlineStr">
        <is>
          <t>2023-10-24</t>
        </is>
      </c>
      <c r="AO8" s="5">
        <f>ROUND(55.04,2)</f>
        <v/>
      </c>
      <c r="AP8" s="3">
        <f>ROUND(128586.0,2)</f>
        <v/>
      </c>
      <c r="AQ8" s="3">
        <f>ROUND(4108.0,2)</f>
        <v/>
      </c>
      <c r="AR8" s="3">
        <f>ROUND(22615.0,2)</f>
        <v/>
      </c>
      <c r="AS8" s="3">
        <f>ROUND(18550.1407,2)</f>
        <v/>
      </c>
      <c r="AT8" s="3">
        <f>ROUND(11223.1342,2)</f>
        <v/>
      </c>
      <c r="AU8" s="3">
        <f>ROUND(8323.125900000001,2)</f>
        <v/>
      </c>
      <c r="AV8" s="3">
        <f>ROUND(5850.0509,2)</f>
        <v/>
      </c>
      <c r="AW8" s="4">
        <f>IFERROR((AQ8/AP8),0)</f>
        <v/>
      </c>
      <c r="AX8" s="4">
        <f>IFERROR(((0+AO7+AO8)/T2),0)</f>
        <v/>
      </c>
      <c r="AY8" s="5">
        <f>IFERROR(ROUND(AO8/AQ8,2),0)</f>
        <v/>
      </c>
      <c r="AZ8" s="5">
        <f>IFERROR(ROUND(AO8/AR8,2),0)</f>
        <v/>
      </c>
      <c r="BA8" s="2" t="inlineStr">
        <is>
          <t>2023-10-24</t>
        </is>
      </c>
      <c r="BB8" s="5">
        <f>ROUND(54.62,2)</f>
        <v/>
      </c>
      <c r="BC8" s="3">
        <f>ROUND(52573.0,2)</f>
        <v/>
      </c>
      <c r="BD8" s="3">
        <f>ROUND(2224.0,2)</f>
        <v/>
      </c>
      <c r="BE8" s="3">
        <f>ROUND(6506.0,2)</f>
        <v/>
      </c>
      <c r="BF8" s="3">
        <f>ROUND(4876.8993,2)</f>
        <v/>
      </c>
      <c r="BG8" s="3">
        <f>ROUND(2572.6978000000004,2)</f>
        <v/>
      </c>
      <c r="BH8" s="3">
        <f>ROUND(2058.6404,2)</f>
        <v/>
      </c>
      <c r="BI8" s="3">
        <f>ROUND(1678.4500000000003,2)</f>
        <v/>
      </c>
      <c r="BJ8" s="4">
        <f>IFERROR((BD8/BC8),0)</f>
        <v/>
      </c>
      <c r="BK8" s="4">
        <f>IFERROR(((0+BB7+BB8)/T2),0)</f>
        <v/>
      </c>
      <c r="BL8" s="5">
        <f>IFERROR(ROUND(BB8/BD8,2),0)</f>
        <v/>
      </c>
      <c r="BM8" s="5">
        <f>IFERROR(ROUND(BB8/BE8,2),0)</f>
        <v/>
      </c>
    </row>
    <row r="9">
      <c r="A9" s="2" t="inlineStr">
        <is>
          <t>2023-10-25</t>
        </is>
      </c>
      <c r="B9" s="5">
        <f>ROUND(214.4,2)</f>
        <v/>
      </c>
      <c r="C9" s="3">
        <f>ROUND(508800.0,2)</f>
        <v/>
      </c>
      <c r="D9" s="3">
        <f>ROUND(14222.0,2)</f>
        <v/>
      </c>
      <c r="E9" s="3">
        <f>ROUND(37762.0,2)</f>
        <v/>
      </c>
      <c r="F9" s="3">
        <f>ROUND(29532.724000000002,2)</f>
        <v/>
      </c>
      <c r="G9" s="3">
        <f>ROUND(16758.9165,2)</f>
        <v/>
      </c>
      <c r="H9" s="3">
        <f>ROUND(12879.4634,2)</f>
        <v/>
      </c>
      <c r="I9" s="3">
        <f>ROUND(9794.516099999999,2)</f>
        <v/>
      </c>
      <c r="J9" s="4">
        <f>IFERROR((D9/C9),0)</f>
        <v/>
      </c>
      <c r="K9" s="4">
        <f>IFERROR(((0+B7+B8+B9)/T2),0)</f>
        <v/>
      </c>
      <c r="L9" s="5">
        <f>IFERROR(ROUND(B9/D9,2),0)</f>
        <v/>
      </c>
      <c r="M9" s="5">
        <f>IFERROR(ROUND(B9/E9,2),0)</f>
        <v/>
      </c>
      <c r="N9" s="2" t="inlineStr">
        <is>
          <t>2023-10-25</t>
        </is>
      </c>
      <c r="O9" s="5">
        <f>ROUND(53.64,2)</f>
        <v/>
      </c>
      <c r="P9" s="3">
        <f>ROUND(107047.0,2)</f>
        <v/>
      </c>
      <c r="Q9" s="3">
        <f>ROUND(2977.0,2)</f>
        <v/>
      </c>
      <c r="R9" s="3">
        <f>ROUND(7035.0,2)</f>
        <v/>
      </c>
      <c r="S9" s="3">
        <f>ROUND(4156.6735,2)</f>
        <v/>
      </c>
      <c r="T9" s="3">
        <f>ROUND(2523.7380000000003,2)</f>
        <v/>
      </c>
      <c r="U9" s="3">
        <f>ROUND(1943.3295000000003,2)</f>
        <v/>
      </c>
      <c r="V9" s="3">
        <f>ROUND(1487.1675,2)</f>
        <v/>
      </c>
      <c r="W9" s="4">
        <f>IFERROR((Q9/P9),0)</f>
        <v/>
      </c>
      <c r="X9" s="4">
        <f>IFERROR(((0+O7+O8+O9)/T2),0)</f>
        <v/>
      </c>
      <c r="Y9" s="5">
        <f>IFERROR(ROUND(O9/Q9,2),0)</f>
        <v/>
      </c>
      <c r="Z9" s="5">
        <f>IFERROR(ROUND(O9/R9,2),0)</f>
        <v/>
      </c>
      <c r="AA9" s="2" t="inlineStr">
        <is>
          <t>2023-10-25</t>
        </is>
      </c>
      <c r="AB9" s="5">
        <f>ROUND(53.59,2)</f>
        <v/>
      </c>
      <c r="AC9" s="3">
        <f>ROUND(209117.0,2)</f>
        <v/>
      </c>
      <c r="AD9" s="3">
        <f>ROUND(5505.0,2)</f>
        <v/>
      </c>
      <c r="AE9" s="3">
        <f>ROUND(4079.0,2)</f>
        <v/>
      </c>
      <c r="AF9" s="3">
        <f>ROUND(3199.9999,2)</f>
        <v/>
      </c>
      <c r="AG9" s="3">
        <f>ROUND(1771.0101,2)</f>
        <v/>
      </c>
      <c r="AH9" s="3">
        <f>ROUND(1274.992,2)</f>
        <v/>
      </c>
      <c r="AI9" s="3">
        <f>ROUND(988.5097000000001,2)</f>
        <v/>
      </c>
      <c r="AJ9" s="4">
        <f>IFERROR((AD9/AC9),0)</f>
        <v/>
      </c>
      <c r="AK9" s="4">
        <f>IFERROR(((0+AB7+AB8+AB9)/T2),0)</f>
        <v/>
      </c>
      <c r="AL9" s="5">
        <f>IFERROR(ROUND(AB9/AD9,2),0)</f>
        <v/>
      </c>
      <c r="AM9" s="5">
        <f>IFERROR(ROUND(AB9/AE9,2),0)</f>
        <v/>
      </c>
      <c r="AN9" s="2" t="inlineStr">
        <is>
          <t>2023-10-25</t>
        </is>
      </c>
      <c r="AO9" s="5">
        <f>ROUND(53.61,2)</f>
        <v/>
      </c>
      <c r="AP9" s="3">
        <f>ROUND(70101.0,2)</f>
        <v/>
      </c>
      <c r="AQ9" s="3">
        <f>ROUND(1921.0,2)</f>
        <v/>
      </c>
      <c r="AR9" s="3">
        <f>ROUND(11835.0,2)</f>
        <v/>
      </c>
      <c r="AS9" s="3">
        <f>ROUND(10382.1641,2)</f>
        <v/>
      </c>
      <c r="AT9" s="3">
        <f>ROUND(6505.1928,2)</f>
        <v/>
      </c>
      <c r="AU9" s="3">
        <f>ROUND(4920.8619,2)</f>
        <v/>
      </c>
      <c r="AV9" s="3">
        <f>ROUND(3546.0539999999996,2)</f>
        <v/>
      </c>
      <c r="AW9" s="4">
        <f>IFERROR((AQ9/AP9),0)</f>
        <v/>
      </c>
      <c r="AX9" s="4">
        <f>IFERROR(((0+AO7+AO8+AO9)/T2),0)</f>
        <v/>
      </c>
      <c r="AY9" s="5">
        <f>IFERROR(ROUND(AO9/AQ9,2),0)</f>
        <v/>
      </c>
      <c r="AZ9" s="5">
        <f>IFERROR(ROUND(AO9/AR9,2),0)</f>
        <v/>
      </c>
      <c r="BA9" s="2" t="inlineStr">
        <is>
          <t>2023-10-25</t>
        </is>
      </c>
      <c r="BB9" s="5">
        <f>ROUND(53.56,2)</f>
        <v/>
      </c>
      <c r="BC9" s="3">
        <f>ROUND(122535.0,2)</f>
        <v/>
      </c>
      <c r="BD9" s="3">
        <f>ROUND(3819.0,2)</f>
        <v/>
      </c>
      <c r="BE9" s="3">
        <f>ROUND(14813.0,2)</f>
        <v/>
      </c>
      <c r="BF9" s="3">
        <f>ROUND(11793.8865,2)</f>
        <v/>
      </c>
      <c r="BG9" s="3">
        <f>ROUND(5958.975600000001,2)</f>
        <v/>
      </c>
      <c r="BH9" s="3">
        <f>ROUND(4740.280000000001,2)</f>
        <v/>
      </c>
      <c r="BI9" s="3">
        <f>ROUND(3772.7848999999997,2)</f>
        <v/>
      </c>
      <c r="BJ9" s="4">
        <f>IFERROR((BD9/BC9),0)</f>
        <v/>
      </c>
      <c r="BK9" s="4">
        <f>IFERROR(((0+BB7+BB8+BB9)/T2),0)</f>
        <v/>
      </c>
      <c r="BL9" s="5">
        <f>IFERROR(ROUND(BB9/BD9,2),0)</f>
        <v/>
      </c>
      <c r="BM9" s="5">
        <f>IFERROR(ROUND(BB9/BE9,2),0)</f>
        <v/>
      </c>
    </row>
    <row r="10">
      <c r="A10" s="2" t="inlineStr">
        <is>
          <t>2023-10-26</t>
        </is>
      </c>
      <c r="B10" s="5">
        <f>ROUND(213.41,2)</f>
        <v/>
      </c>
      <c r="C10" s="3">
        <f>ROUND(747940.0,2)</f>
        <v/>
      </c>
      <c r="D10" s="3">
        <f>ROUND(15059.0,2)</f>
        <v/>
      </c>
      <c r="E10" s="3">
        <f>ROUND(75140.0,2)</f>
        <v/>
      </c>
      <c r="F10" s="3">
        <f>ROUND(61525.483199999995,2)</f>
        <v/>
      </c>
      <c r="G10" s="3">
        <f>ROUND(34908.9622,2)</f>
        <v/>
      </c>
      <c r="H10" s="3">
        <f>ROUND(26880.0251,2)</f>
        <v/>
      </c>
      <c r="I10" s="3">
        <f>ROUND(20108.7445,2)</f>
        <v/>
      </c>
      <c r="J10" s="4">
        <f>IFERROR((D10/C10),0)</f>
        <v/>
      </c>
      <c r="K10" s="4">
        <f>IFERROR(((0+B7+B8+B9+B10)/T2),0)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2023-10-26</t>
        </is>
      </c>
      <c r="O10" s="5">
        <f>ROUND(53.400000000000006,2)</f>
        <v/>
      </c>
      <c r="P10" s="3">
        <f>ROUND(135976.0,2)</f>
        <v/>
      </c>
      <c r="Q10" s="3">
        <f>ROUND(3651.0,2)</f>
        <v/>
      </c>
      <c r="R10" s="3">
        <f>ROUND(6737.0,2)</f>
        <v/>
      </c>
      <c r="S10" s="3">
        <f>ROUND(5069.5756,2)</f>
        <v/>
      </c>
      <c r="T10" s="3">
        <f>ROUND(2997.5634,2)</f>
        <v/>
      </c>
      <c r="U10" s="3">
        <f>ROUND(2332.3022,2)</f>
        <v/>
      </c>
      <c r="V10" s="3">
        <f>ROUND(1836.5108999999998,2)</f>
        <v/>
      </c>
      <c r="W10" s="4">
        <f>IFERROR((Q10/P10),0)</f>
        <v/>
      </c>
      <c r="X10" s="4">
        <f>IFERROR(((0+O7+O8+O9+O10)/T2),0)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2023-10-26</t>
        </is>
      </c>
      <c r="AB10" s="5">
        <f>ROUND(53.480000000000004,2)</f>
        <v/>
      </c>
      <c r="AC10" s="3">
        <f>ROUND(302743.0,2)</f>
        <v/>
      </c>
      <c r="AD10" s="3">
        <f>ROUND(3141.0,2)</f>
        <v/>
      </c>
      <c r="AE10" s="3">
        <f>ROUND(2738.0,2)</f>
        <v/>
      </c>
      <c r="AF10" s="3">
        <f>ROUND(2333.8422,2)</f>
        <v/>
      </c>
      <c r="AG10" s="3">
        <f>ROUND(1279.8019,2)</f>
        <v/>
      </c>
      <c r="AH10" s="3">
        <f>ROUND(933.7633000000001,2)</f>
        <v/>
      </c>
      <c r="AI10" s="3">
        <f>ROUND(748.501,2)</f>
        <v/>
      </c>
      <c r="AJ10" s="4">
        <f>IFERROR((AD10/AC10),0)</f>
        <v/>
      </c>
      <c r="AK10" s="4">
        <f>IFERROR(((0+AB7+AB8+AB9+AB10)/T2),0)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2023-10-26</t>
        </is>
      </c>
      <c r="AO10" s="5">
        <f>ROUND(53.3,2)</f>
        <v/>
      </c>
      <c r="AP10" s="3">
        <f>ROUND(185096.0,2)</f>
        <v/>
      </c>
      <c r="AQ10" s="3">
        <f>ROUND(3507.0,2)</f>
        <v/>
      </c>
      <c r="AR10" s="3">
        <f>ROUND(36798.0,2)</f>
        <v/>
      </c>
      <c r="AS10" s="3">
        <f>ROUND(29417.6864,2)</f>
        <v/>
      </c>
      <c r="AT10" s="3">
        <f>ROUND(18331.7844,2)</f>
        <v/>
      </c>
      <c r="AU10" s="3">
        <f>ROUND(13779.305,2)</f>
        <v/>
      </c>
      <c r="AV10" s="3">
        <f>ROUND(9604.058599999998,2)</f>
        <v/>
      </c>
      <c r="AW10" s="4">
        <f>IFERROR((AQ10/AP10),0)</f>
        <v/>
      </c>
      <c r="AX10" s="4">
        <f>IFERROR(((0+AO7+AO8+AO9+AO10)/T2),0)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2023-10-26</t>
        </is>
      </c>
      <c r="BB10" s="5">
        <f>ROUND(53.23,2)</f>
        <v/>
      </c>
      <c r="BC10" s="3">
        <f>ROUND(124125.0,2)</f>
        <v/>
      </c>
      <c r="BD10" s="3">
        <f>ROUND(4760.0,2)</f>
        <v/>
      </c>
      <c r="BE10" s="3">
        <f>ROUND(28867.0,2)</f>
        <v/>
      </c>
      <c r="BF10" s="3">
        <f>ROUND(24704.379,2)</f>
        <v/>
      </c>
      <c r="BG10" s="3">
        <f>ROUND(12299.8125,2)</f>
        <v/>
      </c>
      <c r="BH10" s="3">
        <f>ROUND(9834.6546,2)</f>
        <v/>
      </c>
      <c r="BI10" s="3">
        <f>ROUND(7919.674000000001,2)</f>
        <v/>
      </c>
      <c r="BJ10" s="4">
        <f>IFERROR((BD10/BC10),0)</f>
        <v/>
      </c>
      <c r="BK10" s="4">
        <f>IFERROR(((0+BB7+BB8+BB9+BB10)/T2),0)</f>
        <v/>
      </c>
      <c r="BL10" s="5">
        <f>IFERROR(ROUND(BB10/BD10,2),0)</f>
        <v/>
      </c>
      <c r="BM10" s="5">
        <f>IFERROR(ROUND(BB10/BE10,2),0)</f>
        <v/>
      </c>
    </row>
    <row r="11">
      <c r="A11" s="2" t="inlineStr">
        <is>
          <t>2023-10-27</t>
        </is>
      </c>
      <c r="B11" s="5">
        <f>ROUND(213.87,2)</f>
        <v/>
      </c>
      <c r="C11" s="3">
        <f>ROUND(722047.0,2)</f>
        <v/>
      </c>
      <c r="D11" s="3">
        <f>ROUND(13495.0,2)</f>
        <v/>
      </c>
      <c r="E11" s="3">
        <f>ROUND(76067.0,2)</f>
        <v/>
      </c>
      <c r="F11" s="3">
        <f>ROUND(62634.4529,2)</f>
        <v/>
      </c>
      <c r="G11" s="3">
        <f>ROUND(34583.6628,2)</f>
        <v/>
      </c>
      <c r="H11" s="3">
        <f>ROUND(26036.4568,2)</f>
        <v/>
      </c>
      <c r="I11" s="3">
        <f>ROUND(18818.7396,2)</f>
        <v/>
      </c>
      <c r="J11" s="4">
        <f>IFERROR((D11/C11),0)</f>
        <v/>
      </c>
      <c r="K11" s="4">
        <f>IFERROR(((0+B7+B8+B9+B10+B11)/T2),0)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2023-10-27</t>
        </is>
      </c>
      <c r="O11" s="5">
        <f>ROUND(53.46,2)</f>
        <v/>
      </c>
      <c r="P11" s="3">
        <f>ROUND(147291.0,2)</f>
        <v/>
      </c>
      <c r="Q11" s="3">
        <f>ROUND(2798.0,2)</f>
        <v/>
      </c>
      <c r="R11" s="3">
        <f>ROUND(7628.0,2)</f>
        <v/>
      </c>
      <c r="S11" s="3">
        <f>ROUND(5878.3376,2)</f>
        <v/>
      </c>
      <c r="T11" s="3">
        <f>ROUND(3385.0352000000003,2)</f>
        <v/>
      </c>
      <c r="U11" s="3">
        <f>ROUND(2521.1666,2)</f>
        <v/>
      </c>
      <c r="V11" s="3">
        <f>ROUND(1950.4334000000001,2)</f>
        <v/>
      </c>
      <c r="W11" s="4">
        <f>IFERROR((Q11/P11),0)</f>
        <v/>
      </c>
      <c r="X11" s="4">
        <f>IFERROR(((0+O7+O8+O9+O10+O11)/T2),0)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2023-10-27</t>
        </is>
      </c>
      <c r="AB11" s="5">
        <f>ROUND(53.519999999999996,2)</f>
        <v/>
      </c>
      <c r="AC11" s="3">
        <f>ROUND(281718.0,2)</f>
        <v/>
      </c>
      <c r="AD11" s="3">
        <f>ROUND(3475.0,2)</f>
        <v/>
      </c>
      <c r="AE11" s="3">
        <f>ROUND(6220.0,2)</f>
        <v/>
      </c>
      <c r="AF11" s="3">
        <f>ROUND(5290.100399999999,2)</f>
        <v/>
      </c>
      <c r="AG11" s="3">
        <f>ROUND(2623.5213,2)</f>
        <v/>
      </c>
      <c r="AH11" s="3">
        <f>ROUND(1828.8621999999998,2)</f>
        <v/>
      </c>
      <c r="AI11" s="3">
        <f>ROUND(1401.4306000000001,2)</f>
        <v/>
      </c>
      <c r="AJ11" s="4">
        <f>IFERROR((AD11/AC11),0)</f>
        <v/>
      </c>
      <c r="AK11" s="4">
        <f>IFERROR(((0+AB7+AB8+AB9+AB10+AB11)/T2),0)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2023-10-27</t>
        </is>
      </c>
      <c r="AO11" s="5">
        <f>ROUND(53.379999999999995,2)</f>
        <v/>
      </c>
      <c r="AP11" s="3">
        <f>ROUND(172391.0,2)</f>
        <v/>
      </c>
      <c r="AQ11" s="3">
        <f>ROUND(3061.0,2)</f>
        <v/>
      </c>
      <c r="AR11" s="3">
        <f>ROUND(36322.0,2)</f>
        <v/>
      </c>
      <c r="AS11" s="3">
        <f>ROUND(30208.4888,2)</f>
        <v/>
      </c>
      <c r="AT11" s="3">
        <f>ROUND(18298.112,2)</f>
        <v/>
      </c>
      <c r="AU11" s="3">
        <f>ROUND(13641.0898,2)</f>
        <v/>
      </c>
      <c r="AV11" s="3">
        <f>ROUND(9159.671600000001,2)</f>
        <v/>
      </c>
      <c r="AW11" s="4">
        <f>IFERROR((AQ11/AP11),0)</f>
        <v/>
      </c>
      <c r="AX11" s="4">
        <f>IFERROR(((0+AO7+AO8+AO9+AO10+AO11)/T2),0)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2023-10-27</t>
        </is>
      </c>
      <c r="BB11" s="5">
        <f>ROUND(53.51,2)</f>
        <v/>
      </c>
      <c r="BC11" s="3">
        <f>ROUND(120647.0,2)</f>
        <v/>
      </c>
      <c r="BD11" s="3">
        <f>ROUND(4161.0,2)</f>
        <v/>
      </c>
      <c r="BE11" s="3">
        <f>ROUND(25897.0,2)</f>
        <v/>
      </c>
      <c r="BF11" s="3">
        <f>ROUND(21257.5261,2)</f>
        <v/>
      </c>
      <c r="BG11" s="3">
        <f>ROUND(10276.9943,2)</f>
        <v/>
      </c>
      <c r="BH11" s="3">
        <f>ROUND(8045.3382,2)</f>
        <v/>
      </c>
      <c r="BI11" s="3">
        <f>ROUND(6307.204,2)</f>
        <v/>
      </c>
      <c r="BJ11" s="4">
        <f>IFERROR((BD11/BC11),0)</f>
        <v/>
      </c>
      <c r="BK11" s="4">
        <f>IFERROR(((0+BB7+BB8+BB9+BB10+BB11)/T2),0)</f>
        <v/>
      </c>
      <c r="BL11" s="5">
        <f>IFERROR(ROUND(BB11/BD11,2),0)</f>
        <v/>
      </c>
      <c r="BM11" s="5">
        <f>IFERROR(ROUND(BB11/BE11,2),0)</f>
        <v/>
      </c>
    </row>
    <row r="12">
      <c r="A12" s="2" t="inlineStr">
        <is>
          <t>2023-10-28</t>
        </is>
      </c>
      <c r="B12" s="5">
        <f>ROUND(214.38,2)</f>
        <v/>
      </c>
      <c r="C12" s="3">
        <f>ROUND(658016.0,2)</f>
        <v/>
      </c>
      <c r="D12" s="3">
        <f>ROUND(15457.0,2)</f>
        <v/>
      </c>
      <c r="E12" s="3">
        <f>ROUND(84117.0,2)</f>
        <v/>
      </c>
      <c r="F12" s="3">
        <f>ROUND(69853.85979999999,2)</f>
        <v/>
      </c>
      <c r="G12" s="3">
        <f>ROUND(38255.0357,2)</f>
        <v/>
      </c>
      <c r="H12" s="3">
        <f>ROUND(28933.9862,2)</f>
        <v/>
      </c>
      <c r="I12" s="3">
        <f>ROUND(21574.875099999997,2)</f>
        <v/>
      </c>
      <c r="J12" s="4">
        <f>IFERROR((D12/C12),0)</f>
        <v/>
      </c>
      <c r="K12" s="4">
        <f>IFERROR(((0+B7+B8+B9+B10+B11+B12)/T2),0)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2023-10-28</t>
        </is>
      </c>
      <c r="O12" s="5">
        <f>ROUND(53.61,2)</f>
        <v/>
      </c>
      <c r="P12" s="3">
        <f>ROUND(154171.0,2)</f>
        <v/>
      </c>
      <c r="Q12" s="3">
        <f>ROUND(2692.0,2)</f>
        <v/>
      </c>
      <c r="R12" s="3">
        <f>ROUND(8611.0,2)</f>
        <v/>
      </c>
      <c r="S12" s="3">
        <f>ROUND(7196.5095,2)</f>
        <v/>
      </c>
      <c r="T12" s="3">
        <f>ROUND(3999.3230999999996,2)</f>
        <v/>
      </c>
      <c r="U12" s="3">
        <f>ROUND(2989.4143999999997,2)</f>
        <v/>
      </c>
      <c r="V12" s="3">
        <f>ROUND(2331.5103,2)</f>
        <v/>
      </c>
      <c r="W12" s="4">
        <f>IFERROR((Q12/P12),0)</f>
        <v/>
      </c>
      <c r="X12" s="4">
        <f>IFERROR(((0+O7+O8+O9+O10+O11+O12)/T2),0)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2023-10-28</t>
        </is>
      </c>
      <c r="AB12" s="5">
        <f>ROUND(53.54,2)</f>
        <v/>
      </c>
      <c r="AC12" s="3">
        <f>ROUND(209639.0,2)</f>
        <v/>
      </c>
      <c r="AD12" s="3">
        <f>ROUND(4475.0,2)</f>
        <v/>
      </c>
      <c r="AE12" s="3">
        <f>ROUND(11145.0,2)</f>
        <v/>
      </c>
      <c r="AF12" s="3">
        <f>ROUND(9153.504,2)</f>
        <v/>
      </c>
      <c r="AG12" s="3">
        <f>ROUND(4991.943,2)</f>
        <v/>
      </c>
      <c r="AH12" s="3">
        <f>ROUND(3635.2515,2)</f>
        <v/>
      </c>
      <c r="AI12" s="3">
        <f>ROUND(2874.624,2)</f>
        <v/>
      </c>
      <c r="AJ12" s="4">
        <f>IFERROR((AD12/AC12),0)</f>
        <v/>
      </c>
      <c r="AK12" s="4">
        <f>IFERROR(((0+AB7+AB8+AB9+AB10+AB11+AB12)/T2),0)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2023-10-28</t>
        </is>
      </c>
      <c r="AO12" s="5">
        <f>ROUND(53.64,2)</f>
        <v/>
      </c>
      <c r="AP12" s="3">
        <f>ROUND(175688.0,2)</f>
        <v/>
      </c>
      <c r="AQ12" s="3">
        <f>ROUND(3706.0,2)</f>
        <v/>
      </c>
      <c r="AR12" s="3">
        <f>ROUND(36001.0,2)</f>
        <v/>
      </c>
      <c r="AS12" s="3">
        <f>ROUND(29650.6743,2)</f>
        <v/>
      </c>
      <c r="AT12" s="3">
        <f>ROUND(17548.6486,2)</f>
        <v/>
      </c>
      <c r="AU12" s="3">
        <f>ROUND(13048.5598,2)</f>
        <v/>
      </c>
      <c r="AV12" s="3">
        <f>ROUND(8961.409,2)</f>
        <v/>
      </c>
      <c r="AW12" s="4">
        <f>IFERROR((AQ12/AP12),0)</f>
        <v/>
      </c>
      <c r="AX12" s="4">
        <f>IFERROR(((0+AO7+AO8+AO9+AO10+AO11+AO12)/T2),0)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2023-10-28</t>
        </is>
      </c>
      <c r="BB12" s="5">
        <f>ROUND(53.59,2)</f>
        <v/>
      </c>
      <c r="BC12" s="3">
        <f>ROUND(118518.0,2)</f>
        <v/>
      </c>
      <c r="BD12" s="3">
        <f>ROUND(4584.0,2)</f>
        <v/>
      </c>
      <c r="BE12" s="3">
        <f>ROUND(28360.0,2)</f>
        <v/>
      </c>
      <c r="BF12" s="3">
        <f>ROUND(23853.172,2)</f>
        <v/>
      </c>
      <c r="BG12" s="3">
        <f>ROUND(11715.121,2)</f>
        <v/>
      </c>
      <c r="BH12" s="3">
        <f>ROUND(9260.760499999999,2)</f>
        <v/>
      </c>
      <c r="BI12" s="3">
        <f>ROUND(7407.3318,2)</f>
        <v/>
      </c>
      <c r="BJ12" s="4">
        <f>IFERROR((BD12/BC12),0)</f>
        <v/>
      </c>
      <c r="BK12" s="4">
        <f>IFERROR(((0+BB7+BB8+BB9+BB10+BB11+BB12)/T2),0)</f>
        <v/>
      </c>
      <c r="BL12" s="5">
        <f>IFERROR(ROUND(BB12/BD12,2),0)</f>
        <v/>
      </c>
      <c r="BM12" s="5">
        <f>IFERROR(ROUND(BB12/BE12,2),0)</f>
        <v/>
      </c>
    </row>
    <row r="13">
      <c r="A13" s="2" t="inlineStr">
        <is>
          <t>2023-10-29</t>
        </is>
      </c>
      <c r="B13" s="5">
        <f>ROUND(214.45,2)</f>
        <v/>
      </c>
      <c r="C13" s="3">
        <f>ROUND(601543.0,2)</f>
        <v/>
      </c>
      <c r="D13" s="3">
        <f>ROUND(13108.0,2)</f>
        <v/>
      </c>
      <c r="E13" s="3">
        <f>ROUND(82175.0,2)</f>
        <v/>
      </c>
      <c r="F13" s="3">
        <f>ROUND(72743.6698,2)</f>
        <v/>
      </c>
      <c r="G13" s="3">
        <f>ROUND(38217.2162,2)</f>
        <v/>
      </c>
      <c r="H13" s="3">
        <f>ROUND(28532.478300000002,2)</f>
        <v/>
      </c>
      <c r="I13" s="3">
        <f>ROUND(20053.6717,2)</f>
        <v/>
      </c>
      <c r="J13" s="4">
        <f>IFERROR((D13/C13),0)</f>
        <v/>
      </c>
      <c r="K13" s="4">
        <f>IFERROR(((0+B7+B8+B9+B10+B11+B12+B13)/T2),0)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2023-10-29</t>
        </is>
      </c>
      <c r="O13" s="5">
        <f>ROUND(53.59,2)</f>
        <v/>
      </c>
      <c r="P13" s="3">
        <f>ROUND(149399.0,2)</f>
        <v/>
      </c>
      <c r="Q13" s="3">
        <f>ROUND(2188.0,2)</f>
        <v/>
      </c>
      <c r="R13" s="3">
        <f>ROUND(8464.0,2)</f>
        <v/>
      </c>
      <c r="S13" s="3">
        <f>ROUND(7495.5152,2)</f>
        <v/>
      </c>
      <c r="T13" s="3">
        <f>ROUND(3978.4544,2)</f>
        <v/>
      </c>
      <c r="U13" s="3">
        <f>ROUND(2921.1056,2)</f>
        <v/>
      </c>
      <c r="V13" s="3">
        <f>ROUND(2256.0864,2)</f>
        <v/>
      </c>
      <c r="W13" s="4">
        <f>IFERROR((Q13/P13),0)</f>
        <v/>
      </c>
      <c r="X13" s="4">
        <f>IFERROR(((0+O7+O8+O9+O10+O11+O12+O13)/T2),0)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2023-10-29</t>
        </is>
      </c>
      <c r="AB13" s="5">
        <f>ROUND(53.59,2)</f>
        <v/>
      </c>
      <c r="AC13" s="3">
        <f>ROUND(196097.0,2)</f>
        <v/>
      </c>
      <c r="AD13" s="3">
        <f>ROUND(4128.0,2)</f>
        <v/>
      </c>
      <c r="AE13" s="3">
        <f>ROUND(11104.0,2)</f>
        <v/>
      </c>
      <c r="AF13" s="3">
        <f>ROUND(9544.9768,2)</f>
        <v/>
      </c>
      <c r="AG13" s="3">
        <f>ROUND(4776.4278,2)</f>
        <v/>
      </c>
      <c r="AH13" s="3">
        <f>ROUND(3271.8468000000003,2)</f>
        <v/>
      </c>
      <c r="AI13" s="3">
        <f>ROUND(2444.1553999999996,2)</f>
        <v/>
      </c>
      <c r="AJ13" s="4">
        <f>IFERROR((AD13/AC13),0)</f>
        <v/>
      </c>
      <c r="AK13" s="4">
        <f>IFERROR(((0+AB7+AB8+AB9+AB10+AB11+AB12+AB13)/T2),0)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2023-10-29</t>
        </is>
      </c>
      <c r="AO13" s="5">
        <f>ROUND(53.669999999999995,2)</f>
        <v/>
      </c>
      <c r="AP13" s="3">
        <f>ROUND(142726.0,2)</f>
        <v/>
      </c>
      <c r="AQ13" s="3">
        <f>ROUND(2642.0,2)</f>
        <v/>
      </c>
      <c r="AR13" s="3">
        <f>ROUND(35651.0,2)</f>
        <v/>
      </c>
      <c r="AS13" s="3">
        <f>ROUND(32300.8614,2)</f>
        <v/>
      </c>
      <c r="AT13" s="3">
        <f>ROUND(18561.215600000003,2)</f>
        <v/>
      </c>
      <c r="AU13" s="3">
        <f>ROUND(13736.341900000001,2)</f>
        <v/>
      </c>
      <c r="AV13" s="3">
        <f>ROUND(8599.2445,2)</f>
        <v/>
      </c>
      <c r="AW13" s="4">
        <f>IFERROR((AQ13/AP13),0)</f>
        <v/>
      </c>
      <c r="AX13" s="4">
        <f>IFERROR(((0+AO7+AO8+AO9+AO10+AO11+AO12+AO13)/T2),0)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2023-10-29</t>
        </is>
      </c>
      <c r="BB13" s="5">
        <f>ROUND(53.6,2)</f>
        <v/>
      </c>
      <c r="BC13" s="3">
        <f>ROUND(113321.0,2)</f>
        <v/>
      </c>
      <c r="BD13" s="3">
        <f>ROUND(4150.0,2)</f>
        <v/>
      </c>
      <c r="BE13" s="3">
        <f>ROUND(26956.0,2)</f>
        <v/>
      </c>
      <c r="BF13" s="3">
        <f>ROUND(23402.316400000003,2)</f>
        <v/>
      </c>
      <c r="BG13" s="3">
        <f>ROUND(10901.1184,2)</f>
        <v/>
      </c>
      <c r="BH13" s="3">
        <f>ROUND(8603.184000000001,2)</f>
        <v/>
      </c>
      <c r="BI13" s="3">
        <f>ROUND(6754.1854,2)</f>
        <v/>
      </c>
      <c r="BJ13" s="4">
        <f>IFERROR((BD13/BC13),0)</f>
        <v/>
      </c>
      <c r="BK13" s="4">
        <f>IFERROR(((0+BB7+BB8+BB9+BB10+BB11+BB12+BB13)/T2),0)</f>
        <v/>
      </c>
      <c r="BL13" s="5">
        <f>IFERROR(ROUND(BB13/BD13,2),0)</f>
        <v/>
      </c>
      <c r="BM13" s="5">
        <f>IFERROR(ROUND(BB13/BE13,2),0)</f>
        <v/>
      </c>
    </row>
    <row r="14">
      <c r="A14" s="2" t="inlineStr">
        <is>
          <t>1 Weekly Total</t>
        </is>
      </c>
      <c r="B14" s="5">
        <f>ROUND(1503.93,2)</f>
        <v/>
      </c>
      <c r="C14" s="3">
        <f>ROUND(3777534.0,2)</f>
        <v/>
      </c>
      <c r="D14" s="3">
        <f>ROUND(85008.0,2)</f>
        <v/>
      </c>
      <c r="E14" s="3">
        <f>ROUND(458851.0,2)</f>
        <v/>
      </c>
      <c r="F14" s="3">
        <f>ROUND(372734.0479,2)</f>
        <v/>
      </c>
      <c r="G14" s="3">
        <f>ROUND(206052.6842,2)</f>
        <v/>
      </c>
      <c r="H14" s="3">
        <f>ROUND(156023.4608,2)</f>
        <v/>
      </c>
      <c r="I14" s="3">
        <f>ROUND(114556.37780000002,2)</f>
        <v/>
      </c>
      <c r="J14" s="4">
        <f>IFERROR((D14/C14),0)</f>
        <v/>
      </c>
      <c r="K14" s="4">
        <f>IFERROR(((0+B7+B8+B9+B10+B11+B12+B13)/T2),0)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1 Weekly Total</t>
        </is>
      </c>
      <c r="O14" s="5">
        <f>ROUND(375.76,2)</f>
        <v/>
      </c>
      <c r="P14" s="3">
        <f>ROUND(812027.0,2)</f>
        <v/>
      </c>
      <c r="Q14" s="3">
        <f>ROUND(16109.0,2)</f>
        <v/>
      </c>
      <c r="R14" s="3">
        <f>ROUND(60223.0,2)</f>
        <v/>
      </c>
      <c r="S14" s="3">
        <f>ROUND(40864.8259,2)</f>
        <v/>
      </c>
      <c r="T14" s="3">
        <f>ROUND(23049.0133,2)</f>
        <v/>
      </c>
      <c r="U14" s="3">
        <f>ROUND(17443.7779,2)</f>
        <v/>
      </c>
      <c r="V14" s="3">
        <f>ROUND(13408.8365,2)</f>
        <v/>
      </c>
      <c r="W14" s="4">
        <f>IFERROR((Q14/P14),0)</f>
        <v/>
      </c>
      <c r="X14" s="4">
        <f>IFERROR(((0+O7+O8+O9+O10+O11+O12+O13)/T2),0)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1 Weekly Total</t>
        </is>
      </c>
      <c r="AB14" s="5">
        <f>ROUND(376.38,2)</f>
        <v/>
      </c>
      <c r="AC14" s="3">
        <f>ROUND(1298095.0,2)</f>
        <v/>
      </c>
      <c r="AD14" s="3">
        <f>ROUND(23815.0,2)</f>
        <v/>
      </c>
      <c r="AE14" s="3">
        <f>ROUND(49524.0,2)</f>
        <v/>
      </c>
      <c r="AF14" s="3">
        <f>ROUND(39147.0148,2)</f>
        <v/>
      </c>
      <c r="AG14" s="3">
        <f>ROUND(20607.462900000002,2)</f>
        <v/>
      </c>
      <c r="AH14" s="3">
        <f>ROUND(14781.5033,2)</f>
        <v/>
      </c>
      <c r="AI14" s="3">
        <f>ROUND(11516.4801,2)</f>
        <v/>
      </c>
      <c r="AJ14" s="4">
        <f>IFERROR((AD14/AC14),0)</f>
        <v/>
      </c>
      <c r="AK14" s="4">
        <f>IFERROR(((0+AB7+AB8+AB9+AB10+AB11+AB12+AB13)/T2),0)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1 Weekly Total</t>
        </is>
      </c>
      <c r="AO14" s="5">
        <f>ROUND(376.09,2)</f>
        <v/>
      </c>
      <c r="AP14" s="3">
        <f>ROUND(966045.0,2)</f>
        <v/>
      </c>
      <c r="AQ14" s="3">
        <f>ROUND(20442.0,2)</f>
        <v/>
      </c>
      <c r="AR14" s="3">
        <f>ROUND(205596.0,2)</f>
        <v/>
      </c>
      <c r="AS14" s="3">
        <f>ROUND(173438.00539999997,2)</f>
        <v/>
      </c>
      <c r="AT14" s="3">
        <f>ROUND(104371.2176,2)</f>
        <v/>
      </c>
      <c r="AU14" s="3">
        <f>ROUND(77830.27780000001,2)</f>
        <v/>
      </c>
      <c r="AV14" s="3">
        <f>ROUND(53105.0577,2)</f>
        <v/>
      </c>
      <c r="AW14" s="4">
        <f>IFERROR((AQ14/AP14),0)</f>
        <v/>
      </c>
      <c r="AX14" s="4">
        <f>IFERROR(((0+AO7+AO8+AO9+AO10+AO11+AO12+AO13)/T2),0)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1 Weekly Total</t>
        </is>
      </c>
      <c r="BB14" s="5">
        <f>ROUND(375.7,2)</f>
        <v/>
      </c>
      <c r="BC14" s="3">
        <f>ROUND(701367.0,2)</f>
        <v/>
      </c>
      <c r="BD14" s="3">
        <f>ROUND(24642.0,2)</f>
        <v/>
      </c>
      <c r="BE14" s="3">
        <f>ROUND(143508.0,2)</f>
        <v/>
      </c>
      <c r="BF14" s="3">
        <f>ROUND(119284.20180000001,2)</f>
        <v/>
      </c>
      <c r="BG14" s="3">
        <f>ROUND(58024.9904,2)</f>
        <v/>
      </c>
      <c r="BH14" s="3">
        <f>ROUND(45967.9018,2)</f>
        <v/>
      </c>
      <c r="BI14" s="3">
        <f>ROUND(36526.0035,2)</f>
        <v/>
      </c>
      <c r="BJ14" s="4">
        <f>IFERROR((BD14/BC14),0)</f>
        <v/>
      </c>
      <c r="BK14" s="4">
        <f>IFERROR(((0+BB7+BB8+BB9+BB10+BB11+BB12+BB13)/T2),0)</f>
        <v/>
      </c>
      <c r="BL14" s="5">
        <f>IFERROR(ROUND(BB14/BD14,2),0)</f>
        <v/>
      </c>
      <c r="BM14" s="5">
        <f>IFERROR(ROUND(BB14/BE14,2),0)</f>
        <v/>
      </c>
    </row>
    <row r="15">
      <c r="A15" s="2" t="inlineStr">
        <is>
          <t>2023-10-30</t>
        </is>
      </c>
      <c r="B15" s="5">
        <f>ROUND(214.56,2)</f>
        <v/>
      </c>
      <c r="C15" s="3">
        <f>ROUND(549557.0,2)</f>
        <v/>
      </c>
      <c r="D15" s="3">
        <f>ROUND(11383.0,2)</f>
        <v/>
      </c>
      <c r="E15" s="3">
        <f>ROUND(73704.0,2)</f>
        <v/>
      </c>
      <c r="F15" s="3">
        <f>ROUND(65738.9962,2)</f>
        <v/>
      </c>
      <c r="G15" s="3">
        <f>ROUND(34347.956,2)</f>
        <v/>
      </c>
      <c r="H15" s="3">
        <f>ROUND(25576.1715,2)</f>
        <v/>
      </c>
      <c r="I15" s="3">
        <f>ROUND(17962.087,2)</f>
        <v/>
      </c>
      <c r="J15" s="4">
        <f>IFERROR((D15/C15),0)</f>
        <v/>
      </c>
      <c r="K15" s="4">
        <f>IFERROR(((0+B7+B8+B9+B10+B11+B12+B13+B15)/T2),0)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2023-10-30</t>
        </is>
      </c>
      <c r="O15" s="5">
        <f>ROUND(53.64,2)</f>
        <v/>
      </c>
      <c r="P15" s="3">
        <f>ROUND(154357.0,2)</f>
        <v/>
      </c>
      <c r="Q15" s="3">
        <f>ROUND(1674.0,2)</f>
        <v/>
      </c>
      <c r="R15" s="3">
        <f>ROUND(7233.0,2)</f>
        <v/>
      </c>
      <c r="S15" s="3">
        <f>ROUND(6652.733,2)</f>
        <v/>
      </c>
      <c r="T15" s="3">
        <f>ROUND(3620.4943000000003,2)</f>
        <v/>
      </c>
      <c r="U15" s="3">
        <f>ROUND(2719.693,2)</f>
        <v/>
      </c>
      <c r="V15" s="3">
        <f>ROUND(2130.7032,2)</f>
        <v/>
      </c>
      <c r="W15" s="4">
        <f>IFERROR((Q15/P15),0)</f>
        <v/>
      </c>
      <c r="X15" s="4">
        <f>IFERROR(((0+O7+O8+O9+O10+O11+O12+O13+O15)/T2),0)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2023-10-30</t>
        </is>
      </c>
      <c r="AB15" s="5">
        <f>ROUND(53.58,2)</f>
        <v/>
      </c>
      <c r="AC15" s="3">
        <f>ROUND(163713.0,2)</f>
        <v/>
      </c>
      <c r="AD15" s="3">
        <f>ROUND(3770.0,2)</f>
        <v/>
      </c>
      <c r="AE15" s="3">
        <f>ROUND(10505.0,2)</f>
        <v/>
      </c>
      <c r="AF15" s="3">
        <f>ROUND(9106.8925,2)</f>
        <v/>
      </c>
      <c r="AG15" s="3">
        <f>ROUND(4411.0855,2)</f>
        <v/>
      </c>
      <c r="AH15" s="3">
        <f>ROUND(2939.3705,2)</f>
        <v/>
      </c>
      <c r="AI15" s="3">
        <f>ROUND(2128.662,2)</f>
        <v/>
      </c>
      <c r="AJ15" s="4">
        <f>IFERROR((AD15/AC15),0)</f>
        <v/>
      </c>
      <c r="AK15" s="4">
        <f>IFERROR(((0+AB7+AB8+AB9+AB10+AB11+AB12+AB13+AB15)/T2),0)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2023-10-30</t>
        </is>
      </c>
      <c r="AO15" s="5">
        <f>ROUND(53.669999999999995,2)</f>
        <v/>
      </c>
      <c r="AP15" s="3">
        <f>ROUND(129650.0,2)</f>
        <v/>
      </c>
      <c r="AQ15" s="3">
        <f>ROUND(2116.0,2)</f>
        <v/>
      </c>
      <c r="AR15" s="3">
        <f>ROUND(31026.0,2)</f>
        <v/>
      </c>
      <c r="AS15" s="3">
        <f>ROUND(28054.7488,2)</f>
        <v/>
      </c>
      <c r="AT15" s="3">
        <f>ROUND(16156.342799999999,2)</f>
        <v/>
      </c>
      <c r="AU15" s="3">
        <f>ROUND(11951.9267,2)</f>
        <v/>
      </c>
      <c r="AV15" s="3">
        <f>ROUND(7415.9125,2)</f>
        <v/>
      </c>
      <c r="AW15" s="4">
        <f>IFERROR((AQ15/AP15),0)</f>
        <v/>
      </c>
      <c r="AX15" s="4">
        <f>IFERROR(((0+AO7+AO8+AO9+AO10+AO11+AO12+AO13+AO15)/T2),0)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2023-10-30</t>
        </is>
      </c>
      <c r="BB15" s="5">
        <f>ROUND(53.669999999999995,2)</f>
        <v/>
      </c>
      <c r="BC15" s="3">
        <f>ROUND(101837.0,2)</f>
        <v/>
      </c>
      <c r="BD15" s="3">
        <f>ROUND(3823.0,2)</f>
        <v/>
      </c>
      <c r="BE15" s="3">
        <f>ROUND(24940.0,2)</f>
        <v/>
      </c>
      <c r="BF15" s="3">
        <f>ROUND(21924.6219,2)</f>
        <v/>
      </c>
      <c r="BG15" s="3">
        <f>ROUND(10160.0334,2)</f>
        <v/>
      </c>
      <c r="BH15" s="3">
        <f>ROUND(7965.181299999999,2)</f>
        <v/>
      </c>
      <c r="BI15" s="3">
        <f>ROUND(6286.809300000001,2)</f>
        <v/>
      </c>
      <c r="BJ15" s="4">
        <f>IFERROR((BD15/BC15),0)</f>
        <v/>
      </c>
      <c r="BK15" s="4">
        <f>IFERROR(((0+BB7+BB8+BB9+BB10+BB11+BB12+BB13+BB15)/T2),0)</f>
        <v/>
      </c>
      <c r="BL15" s="5">
        <f>IFERROR(ROUND(BB15/BD15,2),0)</f>
        <v/>
      </c>
      <c r="BM15" s="5">
        <f>IFERROR(ROUND(BB15/BE15,2),0)</f>
        <v/>
      </c>
    </row>
    <row r="16">
      <c r="A16" s="2" t="inlineStr">
        <is>
          <t>2023-10-31</t>
        </is>
      </c>
      <c r="B16" s="5">
        <f>ROUND(214.32,2)</f>
        <v/>
      </c>
      <c r="C16" s="3">
        <f>ROUND(515496.0,2)</f>
        <v/>
      </c>
      <c r="D16" s="3">
        <f>ROUND(9652.0,2)</f>
        <v/>
      </c>
      <c r="E16" s="3">
        <f>ROUND(75127.0,2)</f>
        <v/>
      </c>
      <c r="F16" s="3">
        <f>ROUND(67917.4195,2)</f>
        <v/>
      </c>
      <c r="G16" s="3">
        <f>ROUND(36704.3351,2)</f>
        <v/>
      </c>
      <c r="H16" s="3">
        <f>ROUND(27763.259899999997,2)</f>
        <v/>
      </c>
      <c r="I16" s="3">
        <f>ROUND(19330.1859,2)</f>
        <v/>
      </c>
      <c r="J16" s="4">
        <f>IFERROR((D16/C16),0)</f>
        <v/>
      </c>
      <c r="K16" s="4">
        <f>IFERROR(((0+B7+B8+B9+B10+B11+B12+B13+B15+B16)/T2),0)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2023-10-31</t>
        </is>
      </c>
      <c r="O16" s="5">
        <f>ROUND(53.62,2)</f>
        <v/>
      </c>
      <c r="P16" s="3">
        <f>ROUND(119225.0,2)</f>
        <v/>
      </c>
      <c r="Q16" s="3">
        <f>ROUND(1455.0,2)</f>
        <v/>
      </c>
      <c r="R16" s="3">
        <f>ROUND(9007.0,2)</f>
        <v/>
      </c>
      <c r="S16" s="3">
        <f>ROUND(8375.6236,2)</f>
        <v/>
      </c>
      <c r="T16" s="3">
        <f>ROUND(4585.413,2)</f>
        <v/>
      </c>
      <c r="U16" s="3">
        <f>ROUND(3471.6879,2)</f>
        <v/>
      </c>
      <c r="V16" s="3">
        <f>ROUND(2770.6313,2)</f>
        <v/>
      </c>
      <c r="W16" s="4">
        <f>IFERROR((Q16/P16),0)</f>
        <v/>
      </c>
      <c r="X16" s="4">
        <f>IFERROR(((0+O7+O8+O9+O10+O11+O12+O13+O15+O16)/T2),0)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2023-10-31</t>
        </is>
      </c>
      <c r="AB16" s="5">
        <f>ROUND(53.620000000000005,2)</f>
        <v/>
      </c>
      <c r="AC16" s="3">
        <f>ROUND(150540.0,2)</f>
        <v/>
      </c>
      <c r="AD16" s="3">
        <f>ROUND(2693.0,2)</f>
        <v/>
      </c>
      <c r="AE16" s="3">
        <f>ROUND(7346.0,2)</f>
        <v/>
      </c>
      <c r="AF16" s="3">
        <f>ROUND(6381.1178,2)</f>
        <v/>
      </c>
      <c r="AG16" s="3">
        <f>ROUND(3079.3287,2)</f>
        <v/>
      </c>
      <c r="AH16" s="3">
        <f>ROUND(2040.4549000000002,2)</f>
        <v/>
      </c>
      <c r="AI16" s="3">
        <f>ROUND(1474.6167,2)</f>
        <v/>
      </c>
      <c r="AJ16" s="4">
        <f>IFERROR((AD16/AC16),0)</f>
        <v/>
      </c>
      <c r="AK16" s="4">
        <f>IFERROR(((0+AB7+AB8+AB9+AB10+AB11+AB12+AB13+AB15+AB16)/T2),0)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2023-10-31</t>
        </is>
      </c>
      <c r="AO16" s="5">
        <f>ROUND(52.84,2)</f>
        <v/>
      </c>
      <c r="AP16" s="3">
        <f>ROUND(141450.0,2)</f>
        <v/>
      </c>
      <c r="AQ16" s="3">
        <f>ROUND(2353.0,2)</f>
        <v/>
      </c>
      <c r="AR16" s="3">
        <f>ROUND(36457.0,2)</f>
        <v/>
      </c>
      <c r="AS16" s="3">
        <f>ROUND(33437.0878,2)</f>
        <v/>
      </c>
      <c r="AT16" s="3">
        <f>ROUND(19446.3959,2)</f>
        <v/>
      </c>
      <c r="AU16" s="3">
        <f>ROUND(14587.8997,2)</f>
        <v/>
      </c>
      <c r="AV16" s="3">
        <f>ROUND(9109.9342,2)</f>
        <v/>
      </c>
      <c r="AW16" s="4">
        <f>IFERROR((AQ16/AP16),0)</f>
        <v/>
      </c>
      <c r="AX16" s="4">
        <f>IFERROR(((0+AO7+AO8+AO9+AO10+AO11+AO12+AO13+AO15+AO16)/T2),0)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2023-10-31</t>
        </is>
      </c>
      <c r="BB16" s="5">
        <f>ROUND(54.239999999999995,2)</f>
        <v/>
      </c>
      <c r="BC16" s="3">
        <f>ROUND(104281.0,2)</f>
        <v/>
      </c>
      <c r="BD16" s="3">
        <f>ROUND(3151.0,2)</f>
        <v/>
      </c>
      <c r="BE16" s="3">
        <f>ROUND(22317.0,2)</f>
        <v/>
      </c>
      <c r="BF16" s="3">
        <f>ROUND(19723.5903,2)</f>
        <v/>
      </c>
      <c r="BG16" s="3">
        <f>ROUND(9593.1975,2)</f>
        <v/>
      </c>
      <c r="BH16" s="3">
        <f>ROUND(7663.2173999999995,2)</f>
        <v/>
      </c>
      <c r="BI16" s="3">
        <f>ROUND(5975.003699999999,2)</f>
        <v/>
      </c>
      <c r="BJ16" s="4">
        <f>IFERROR((BD16/BC16),0)</f>
        <v/>
      </c>
      <c r="BK16" s="4">
        <f>IFERROR(((0+BB7+BB8+BB9+BB10+BB11+BB12+BB13+BB15+BB16)/T2),0)</f>
        <v/>
      </c>
      <c r="BL16" s="5">
        <f>IFERROR(ROUND(BB16/BD16,2),0)</f>
        <v/>
      </c>
      <c r="BM16" s="5">
        <f>IFERROR(ROUND(BB16/BE16,2),0)</f>
        <v/>
      </c>
    </row>
    <row r="17">
      <c r="A17" s="2" t="inlineStr">
        <is>
          <t>2023-11-01</t>
        </is>
      </c>
      <c r="B17" s="5">
        <f>ROUND(214.87,2)</f>
        <v/>
      </c>
      <c r="C17" s="3">
        <f>ROUND(491561.0,2)</f>
        <v/>
      </c>
      <c r="D17" s="3">
        <f>ROUND(9806.0,2)</f>
        <v/>
      </c>
      <c r="E17" s="3">
        <f>ROUND(72259.0,2)</f>
        <v/>
      </c>
      <c r="F17" s="3">
        <f>ROUND(63382.386600000005,2)</f>
        <v/>
      </c>
      <c r="G17" s="3">
        <f>ROUND(35285.616299999994,2)</f>
        <v/>
      </c>
      <c r="H17" s="3">
        <f>ROUND(26995.4008,2)</f>
        <v/>
      </c>
      <c r="I17" s="3">
        <f>ROUND(19612.607200000002,2)</f>
        <v/>
      </c>
      <c r="J17" s="4">
        <f>IFERROR((D17/C17),0)</f>
        <v/>
      </c>
      <c r="K17" s="4">
        <f>IFERROR(((0+B7+B8+B9+B10+B11+B12+B13+B15+B16+B17)/T2),0)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2023-11-01</t>
        </is>
      </c>
      <c r="O17" s="5">
        <f>ROUND(53.66,2)</f>
        <v/>
      </c>
      <c r="P17" s="3">
        <f>ROUND(100452.0,2)</f>
        <v/>
      </c>
      <c r="Q17" s="3">
        <f>ROUND(1479.0,2)</f>
        <v/>
      </c>
      <c r="R17" s="3">
        <f>ROUND(10482.0,2)</f>
        <v/>
      </c>
      <c r="S17" s="3">
        <f>ROUND(9678.1829,2)</f>
        <v/>
      </c>
      <c r="T17" s="3">
        <f>ROUND(5233.4612,2)</f>
        <v/>
      </c>
      <c r="U17" s="3">
        <f>ROUND(3924.6947,2)</f>
        <v/>
      </c>
      <c r="V17" s="3">
        <f>ROUND(3101.0667999999996,2)</f>
        <v/>
      </c>
      <c r="W17" s="4">
        <f>IFERROR((Q17/P17),0)</f>
        <v/>
      </c>
      <c r="X17" s="4">
        <f>IFERROR(((0+O7+O8+O9+O10+O11+O12+O13+O15+O16+O17)/T2),0)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2023-11-01</t>
        </is>
      </c>
      <c r="AB17" s="5">
        <f>ROUND(53.660000000000004,2)</f>
        <v/>
      </c>
      <c r="AC17" s="3">
        <f>ROUND(153044.0,2)</f>
        <v/>
      </c>
      <c r="AD17" s="3">
        <f>ROUND(2663.0,2)</f>
        <v/>
      </c>
      <c r="AE17" s="3">
        <f>ROUND(8024.0,2)</f>
        <v/>
      </c>
      <c r="AF17" s="3">
        <f>ROUND(6927.0808,2)</f>
        <v/>
      </c>
      <c r="AG17" s="3">
        <f>ROUND(3555.8388,2)</f>
        <v/>
      </c>
      <c r="AH17" s="3">
        <f>ROUND(2529.462,2)</f>
        <v/>
      </c>
      <c r="AI17" s="3">
        <f>ROUND(1957.5855999999999,2)</f>
        <v/>
      </c>
      <c r="AJ17" s="4">
        <f>IFERROR((AD17/AC17),0)</f>
        <v/>
      </c>
      <c r="AK17" s="4">
        <f>IFERROR(((0+AB7+AB8+AB9+AB10+AB11+AB12+AB13+AB15+AB16+AB17)/T2),0)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2023-11-01</t>
        </is>
      </c>
      <c r="AO17" s="5">
        <f>ROUND(53.89,2)</f>
        <v/>
      </c>
      <c r="AP17" s="3">
        <f>ROUND(133830.0,2)</f>
        <v/>
      </c>
      <c r="AQ17" s="3">
        <f>ROUND(2667.0,2)</f>
        <v/>
      </c>
      <c r="AR17" s="3">
        <f>ROUND(34383.0,2)</f>
        <v/>
      </c>
      <c r="AS17" s="3">
        <f>ROUND(30252.083800000004,2)</f>
        <v/>
      </c>
      <c r="AT17" s="3">
        <f>ROUND(18382.7011,2)</f>
        <v/>
      </c>
      <c r="AU17" s="3">
        <f>ROUND(14038.625999999998,2)</f>
        <v/>
      </c>
      <c r="AV17" s="3">
        <f>ROUND(9430.483,2)</f>
        <v/>
      </c>
      <c r="AW17" s="4">
        <f>IFERROR((AQ17/AP17),0)</f>
        <v/>
      </c>
      <c r="AX17" s="4">
        <f>IFERROR(((0+AO7+AO8+AO9+AO10+AO11+AO12+AO13+AO15+AO16+AO17)/T2),0)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2023-11-01</t>
        </is>
      </c>
      <c r="BB17" s="5">
        <f>ROUND(53.66,2)</f>
        <v/>
      </c>
      <c r="BC17" s="3">
        <f>ROUND(104235.0,2)</f>
        <v/>
      </c>
      <c r="BD17" s="3">
        <f>ROUND(2997.0,2)</f>
        <v/>
      </c>
      <c r="BE17" s="3">
        <f>ROUND(19370.0,2)</f>
        <v/>
      </c>
      <c r="BF17" s="3">
        <f>ROUND(16525.0391,2)</f>
        <v/>
      </c>
      <c r="BG17" s="3">
        <f>ROUND(8113.6152,2)</f>
        <v/>
      </c>
      <c r="BH17" s="3">
        <f>ROUND(6502.6181,2)</f>
        <v/>
      </c>
      <c r="BI17" s="3">
        <f>ROUND(5123.4718,2)</f>
        <v/>
      </c>
      <c r="BJ17" s="4">
        <f>IFERROR((BD17/BC17),0)</f>
        <v/>
      </c>
      <c r="BK17" s="4">
        <f>IFERROR(((0+BB7+BB8+BB9+BB10+BB11+BB12+BB13+BB15+BB16+BB17)/T2),0)</f>
        <v/>
      </c>
      <c r="BL17" s="5">
        <f>IFERROR(ROUND(BB17/BD17,2),0)</f>
        <v/>
      </c>
      <c r="BM17" s="5">
        <f>IFERROR(ROUND(BB17/BE17,2),0)</f>
        <v/>
      </c>
    </row>
    <row r="18">
      <c r="A18" s="2" t="inlineStr">
        <is>
          <t>2023-11-02</t>
        </is>
      </c>
      <c r="B18" s="5">
        <f>ROUND(210.85,2)</f>
        <v/>
      </c>
      <c r="C18" s="3">
        <f>ROUND(444377.0,2)</f>
        <v/>
      </c>
      <c r="D18" s="3">
        <f>ROUND(11081.0,2)</f>
        <v/>
      </c>
      <c r="E18" s="3">
        <f>ROUND(75944.0,2)</f>
        <v/>
      </c>
      <c r="F18" s="3">
        <f>ROUND(66333.26120000001,2)</f>
        <v/>
      </c>
      <c r="G18" s="3">
        <f>ROUND(35981.6809,2)</f>
        <v/>
      </c>
      <c r="H18" s="3">
        <f>ROUND(27231.6535,2)</f>
        <v/>
      </c>
      <c r="I18" s="3">
        <f>ROUND(19762.323800000002,2)</f>
        <v/>
      </c>
      <c r="J18" s="4">
        <f>IFERROR((D18/C18),0)</f>
        <v/>
      </c>
      <c r="K18" s="4">
        <f>IFERROR(((0+B7+B8+B9+B10+B11+B12+B13+B15+B16+B17+B18)/T2),0)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2023-11-02</t>
        </is>
      </c>
      <c r="O18" s="5">
        <f>ROUND(52.95,2)</f>
        <v/>
      </c>
      <c r="P18" s="3">
        <f>ROUND(67129.0,2)</f>
        <v/>
      </c>
      <c r="Q18" s="3">
        <f>ROUND(1335.0,2)</f>
        <v/>
      </c>
      <c r="R18" s="3">
        <f>ROUND(14244.0,2)</f>
        <v/>
      </c>
      <c r="S18" s="3">
        <f>ROUND(13049.584400000002,2)</f>
        <v/>
      </c>
      <c r="T18" s="3">
        <f>ROUND(6713.4728,2)</f>
        <v/>
      </c>
      <c r="U18" s="3">
        <f>ROUND(5029.659600000001,2)</f>
        <v/>
      </c>
      <c r="V18" s="3">
        <f>ROUND(3798.05,2)</f>
        <v/>
      </c>
      <c r="W18" s="4">
        <f>IFERROR((Q18/P18),0)</f>
        <v/>
      </c>
      <c r="X18" s="4">
        <f>IFERROR(((0+O7+O8+O9+O10+O11+O12+O13+O15+O16+O17+O18)/T2),0)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2023-11-02</t>
        </is>
      </c>
      <c r="AB18" s="5">
        <f>ROUND(53.27,2)</f>
        <v/>
      </c>
      <c r="AC18" s="3">
        <f>ROUND(159882.0,2)</f>
        <v/>
      </c>
      <c r="AD18" s="3">
        <f>ROUND(3664.0,2)</f>
        <v/>
      </c>
      <c r="AE18" s="3">
        <f>ROUND(11293.0,2)</f>
        <v/>
      </c>
      <c r="AF18" s="3">
        <f>ROUND(9466.9587,2)</f>
        <v/>
      </c>
      <c r="AG18" s="3">
        <f>ROUND(4764.1464,2)</f>
        <v/>
      </c>
      <c r="AH18" s="3">
        <f>ROUND(3315.8387000000002,2)</f>
        <v/>
      </c>
      <c r="AI18" s="3">
        <f>ROUND(2523.6842,2)</f>
        <v/>
      </c>
      <c r="AJ18" s="4">
        <f>IFERROR((AD18/AC18),0)</f>
        <v/>
      </c>
      <c r="AK18" s="4">
        <f>IFERROR(((0+AB7+AB8+AB9+AB10+AB11+AB12+AB13+AB15+AB16+AB17+AB18)/T2),0)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2023-11-02</t>
        </is>
      </c>
      <c r="AO18" s="5">
        <f>ROUND(52.669999999999995,2)</f>
        <v/>
      </c>
      <c r="AP18" s="3">
        <f>ROUND(121084.0,2)</f>
        <v/>
      </c>
      <c r="AQ18" s="3">
        <f>ROUND(2473.0,2)</f>
        <v/>
      </c>
      <c r="AR18" s="3">
        <f>ROUND(30147.0,2)</f>
        <v/>
      </c>
      <c r="AS18" s="3">
        <f>ROUND(26754.9113,2)</f>
        <v/>
      </c>
      <c r="AT18" s="3">
        <f>ROUND(16026.0945,2)</f>
        <v/>
      </c>
      <c r="AU18" s="3">
        <f>ROUND(12149.222800000001,2)</f>
        <v/>
      </c>
      <c r="AV18" s="3">
        <f>ROUND(8086.2704,2)</f>
        <v/>
      </c>
      <c r="AW18" s="4">
        <f>IFERROR((AQ18/AP18),0)</f>
        <v/>
      </c>
      <c r="AX18" s="4">
        <f>IFERROR(((0+AO7+AO8+AO9+AO10+AO11+AO12+AO13+AO15+AO16+AO17+AO18)/T2),0)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2023-11-02</t>
        </is>
      </c>
      <c r="BB18" s="5">
        <f>ROUND(51.96,2)</f>
        <v/>
      </c>
      <c r="BC18" s="3">
        <f>ROUND(96282.0,2)</f>
        <v/>
      </c>
      <c r="BD18" s="3">
        <f>ROUND(3609.0,2)</f>
        <v/>
      </c>
      <c r="BE18" s="3">
        <f>ROUND(20260.0,2)</f>
        <v/>
      </c>
      <c r="BF18" s="3">
        <f>ROUND(17061.8068,2)</f>
        <v/>
      </c>
      <c r="BG18" s="3">
        <f>ROUND(8477.9672,2)</f>
        <v/>
      </c>
      <c r="BH18" s="3">
        <f>ROUND(6736.9324,2)</f>
        <v/>
      </c>
      <c r="BI18" s="3">
        <f>ROUND(5354.3192,2)</f>
        <v/>
      </c>
      <c r="BJ18" s="4">
        <f>IFERROR((BD18/BC18),0)</f>
        <v/>
      </c>
      <c r="BK18" s="4">
        <f>IFERROR(((0+BB7+BB8+BB9+BB10+BB11+BB12+BB13+BB15+BB16+BB17+BB18)/T2),0)</f>
        <v/>
      </c>
      <c r="BL18" s="5">
        <f>IFERROR(ROUND(BB18/BD18,2),0)</f>
        <v/>
      </c>
      <c r="BM18" s="5">
        <f>IFERROR(ROUND(BB18/BE18,2),0)</f>
        <v/>
      </c>
    </row>
    <row r="19">
      <c r="A19" s="6" t="inlineStr">
        <is>
          <t>Total</t>
        </is>
      </c>
      <c r="B19" s="7">
        <f>ROUND(2358.53,2)</f>
        <v/>
      </c>
      <c r="C19" s="8">
        <f>ROUND(5778525.0,2)</f>
        <v/>
      </c>
      <c r="D19" s="8">
        <f>ROUND(126930.0,2)</f>
        <v/>
      </c>
      <c r="E19" s="8">
        <f>ROUND(755885.0,2)</f>
        <v/>
      </c>
      <c r="F19" s="8">
        <f>ROUND(636106.1114,2)</f>
        <v/>
      </c>
      <c r="G19" s="8">
        <f>ROUND(348372.27249999996,2)</f>
        <v/>
      </c>
      <c r="H19" s="8">
        <f>ROUND(263589.9465,2)</f>
        <v/>
      </c>
      <c r="I19" s="8">
        <f>ROUND(191223.5817,2)</f>
        <v/>
      </c>
      <c r="J19" s="9">
        <f>IFERROR((D19/C19),0)</f>
        <v/>
      </c>
      <c r="K19" s="9">
        <f>IFERROR(((0+B19)/T2),0)</f>
        <v/>
      </c>
      <c r="L19" s="7">
        <f>IFERROR(B19/D19,0)</f>
        <v/>
      </c>
      <c r="M19" s="7">
        <f>IFERROR(ROUND(B19/E19,2),0)</f>
        <v/>
      </c>
      <c r="N19" s="6" t="inlineStr">
        <is>
          <t>Total</t>
        </is>
      </c>
      <c r="O19" s="7">
        <f>ROUND(589.63,2)</f>
        <v/>
      </c>
      <c r="P19" s="8">
        <f>ROUND(1253190.0,2)</f>
        <v/>
      </c>
      <c r="Q19" s="8">
        <f>ROUND(22052.0,2)</f>
        <v/>
      </c>
      <c r="R19" s="8">
        <f>ROUND(101189.0,2)</f>
        <v/>
      </c>
      <c r="S19" s="8">
        <f>ROUND(78620.9498,2)</f>
        <v/>
      </c>
      <c r="T19" s="8">
        <f>ROUND(43201.8546,2)</f>
        <v/>
      </c>
      <c r="U19" s="8">
        <f>ROUND(32589.513100000004,2)</f>
        <v/>
      </c>
      <c r="V19" s="8">
        <f>ROUND(25209.2878,2)</f>
        <v/>
      </c>
      <c r="W19" s="9">
        <f>IFERROR((Q19/P19),0)</f>
        <v/>
      </c>
      <c r="X19" s="9">
        <f>IFERROR(((0+O19)/T2),0)</f>
        <v/>
      </c>
      <c r="Y19" s="7">
        <f>IFERROR(O19/Q19,0)</f>
        <v/>
      </c>
      <c r="Z19" s="7">
        <f>IFERROR(ROUND(O19/R19,2),0)</f>
        <v/>
      </c>
      <c r="AA19" s="6" t="inlineStr">
        <is>
          <t>Total</t>
        </is>
      </c>
      <c r="AB19" s="7">
        <f>ROUND(590.51,2)</f>
        <v/>
      </c>
      <c r="AC19" s="8">
        <f>ROUND(1925274.0,2)</f>
        <v/>
      </c>
      <c r="AD19" s="8">
        <f>ROUND(36605.0,2)</f>
        <v/>
      </c>
      <c r="AE19" s="8">
        <f>ROUND(86692.0,2)</f>
        <v/>
      </c>
      <c r="AF19" s="8">
        <f>ROUND(71029.0646,2)</f>
        <v/>
      </c>
      <c r="AG19" s="8">
        <f>ROUND(36417.8623,2)</f>
        <v/>
      </c>
      <c r="AH19" s="8">
        <f>ROUND(25606.629399999998,2)</f>
        <v/>
      </c>
      <c r="AI19" s="8">
        <f>ROUND(19601.028599999998,2)</f>
        <v/>
      </c>
      <c r="AJ19" s="9">
        <f>IFERROR((AD19/AC19),0)</f>
        <v/>
      </c>
      <c r="AK19" s="9">
        <f>IFERROR(((0+AB19)/T2),0)</f>
        <v/>
      </c>
      <c r="AL19" s="7">
        <f>IFERROR(AB19/AD19,0)</f>
        <v/>
      </c>
      <c r="AM19" s="7">
        <f>IFERROR(ROUND(AB19/AE19,2),0)</f>
        <v/>
      </c>
      <c r="AN19" s="6" t="inlineStr">
        <is>
          <t>Total</t>
        </is>
      </c>
      <c r="AO19" s="7">
        <f>ROUND(589.16,2)</f>
        <v/>
      </c>
      <c r="AP19" s="8">
        <f>ROUND(1492059.0,2)</f>
        <v/>
      </c>
      <c r="AQ19" s="8">
        <f>ROUND(30051.0,2)</f>
        <v/>
      </c>
      <c r="AR19" s="8">
        <f>ROUND(337609.0,2)</f>
        <v/>
      </c>
      <c r="AS19" s="8">
        <f>ROUND(291936.8371,2)</f>
        <v/>
      </c>
      <c r="AT19" s="8">
        <f>ROUND(174382.7519,2)</f>
        <v/>
      </c>
      <c r="AU19" s="8">
        <f>ROUND(130557.95300000001,2)</f>
        <v/>
      </c>
      <c r="AV19" s="8">
        <f>ROUND(87147.6578,2)</f>
        <v/>
      </c>
      <c r="AW19" s="9">
        <f>IFERROR((AQ19/AP19),0)</f>
        <v/>
      </c>
      <c r="AX19" s="9">
        <f>IFERROR(((0+AO19)/T2),0)</f>
        <v/>
      </c>
      <c r="AY19" s="7">
        <f>IFERROR(AO19/AQ19,0)</f>
        <v/>
      </c>
      <c r="AZ19" s="7">
        <f>IFERROR(ROUND(AO19/AR19,2),0)</f>
        <v/>
      </c>
      <c r="BA19" s="6" t="inlineStr">
        <is>
          <t>Total</t>
        </is>
      </c>
      <c r="BB19" s="7">
        <f>ROUND(589.23,2)</f>
        <v/>
      </c>
      <c r="BC19" s="8">
        <f>ROUND(1108002.0,2)</f>
        <v/>
      </c>
      <c r="BD19" s="8">
        <f>ROUND(38222.0,2)</f>
        <v/>
      </c>
      <c r="BE19" s="8">
        <f>ROUND(230395.0,2)</f>
        <v/>
      </c>
      <c r="BF19" s="8">
        <f>ROUND(194519.2599,2)</f>
        <v/>
      </c>
      <c r="BG19" s="8">
        <f>ROUND(94369.8037,2)</f>
        <v/>
      </c>
      <c r="BH19" s="8">
        <f>ROUND(74835.851,2)</f>
        <v/>
      </c>
      <c r="BI19" s="8">
        <f>ROUND(59265.6075,2)</f>
        <v/>
      </c>
      <c r="BJ19" s="9">
        <f>IFERROR((BD19/BC19),0)</f>
        <v/>
      </c>
      <c r="BK19" s="9">
        <f>IFERROR(((0+BB19)/T2),0)</f>
        <v/>
      </c>
      <c r="BL19" s="7">
        <f>IFERROR(BB19/BD19,0)</f>
        <v/>
      </c>
      <c r="BM19" s="7">
        <f>IFERROR(ROUND(BB19/BE19,2),0)</f>
        <v/>
      </c>
    </row>
  </sheetData>
  <mergeCells count="4">
    <mergeCell ref="N5:Z5"/>
    <mergeCell ref="BA5:BM5"/>
    <mergeCell ref="AA5:AM5"/>
    <mergeCell ref="AN5:AZ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2023-11-07T10:04:17Z</dcterms:created>
  <dcterms:modified xsi:type="dcterms:W3CDTF">2023-11-07T10:04:23Z</dcterms:modified>
</cp:coreProperties>
</file>