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Source" sheetId="2" r:id="rId5"/>
    <sheet state="visible" name="DB" sheetId="3" r:id="rId6"/>
    <sheet state="visible" name="Sheet26" sheetId="4" r:id="rId7"/>
    <sheet state="visible" name="NSEBSE Code" sheetId="5" r:id="rId8"/>
  </sheets>
  <definedNames>
    <definedName hidden="1" localSheetId="3" name="_xlnm._FilterDatabase">Sheet26!$O$1:$O$1000</definedName>
  </definedNames>
  <calcPr/>
</workbook>
</file>

<file path=xl/sharedStrings.xml><?xml version="1.0" encoding="utf-8"?>
<sst xmlns="http://schemas.openxmlformats.org/spreadsheetml/2006/main" count="900" uniqueCount="493">
  <si>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</si>
  <si>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</si>
  <si>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</si>
  <si>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</si>
  <si>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</si>
  <si>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</si>
  <si>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</si>
  <si>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</si>
  <si>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</si>
  <si>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</si>
  <si>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</si>
  <si>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</si>
  <si>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</si>
  <si>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</si>
  <si>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</si>
  <si>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</si>
  <si>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</si>
  <si>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</si>
  <si>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</si>
  <si>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</si>
  <si>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</si>
  <si>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</si>
  <si>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</si>
  <si>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</si>
  <si>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</si>
  <si>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</si>
  <si>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</si>
  <si>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</si>
  <si>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</si>
  <si>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</si>
  <si>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</si>
  <si>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</si>
  <si>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</si>
  <si>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</si>
  <si>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</si>
  <si>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</si>
  <si>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</si>
  <si>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</si>
  <si>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</si>
  <si>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</si>
  <si>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</si>
  <si>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</si>
  <si>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</si>
  <si>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</si>
  <si>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</si>
  <si>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</si>
  <si>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</si>
  <si>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</si>
  <si>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</si>
  <si>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</si>
  <si>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</si>
  <si>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</si>
  <si>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</si>
  <si>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</si>
  <si>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</si>
  <si>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</si>
  <si>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</si>
  <si>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</si>
  <si>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</si>
  <si>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</si>
  <si>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</si>
  <si>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</si>
  <si>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</si>
  <si>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</si>
  <si>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</si>
  <si>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</si>
  <si>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</si>
  <si>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</si>
  <si>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</si>
  <si>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</si>
  <si>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</si>
  <si>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</si>
  <si>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</si>
  <si>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</si>
  <si>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</si>
  <si>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</si>
  <si>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</si>
  <si>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</si>
  <si>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</si>
  <si>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</si>
  <si>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</si>
  <si>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</si>
  <si>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</si>
  <si>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</si>
  <si>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</si>
  <si>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</si>
  <si>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</si>
  <si>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</si>
  <si>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</si>
  <si>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</si>
  <si>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</si>
  <si>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</si>
  <si>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</si>
  <si>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</si>
  <si>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</si>
  <si>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</si>
  <si>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</si>
  <si>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</si>
  <si>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</si>
  <si>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</si>
  <si>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</si>
  <si>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</si>
  <si>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</si>
  <si>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</si>
  <si>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</si>
  <si>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</si>
  <si>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</si>
  <si>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</si>
  <si>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</si>
  <si>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</si>
  <si>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</si>
  <si>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</si>
  <si>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</si>
  <si>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</si>
  <si>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</si>
  <si>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</si>
  <si>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</si>
  <si>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</si>
  <si>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</si>
  <si>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</si>
  <si>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</si>
  <si>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</si>
  <si>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</si>
  <si>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</si>
  <si>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</si>
  <si>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</si>
  <si>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</si>
  <si>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</si>
  <si>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</si>
  <si>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</si>
  <si>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</si>
  <si>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</si>
  <si>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</si>
  <si>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</si>
  <si>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</si>
  <si>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</si>
  <si>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</si>
  <si>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</si>
  <si>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</si>
  <si>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</si>
  <si>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</si>
  <si>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</si>
  <si>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</si>
  <si>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</si>
  <si>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</si>
  <si>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</si>
  <si>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</si>
  <si>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</si>
  <si>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</si>
  <si>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</si>
  <si>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</si>
  <si>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</si>
  <si>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</si>
  <si>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</si>
  <si>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</si>
  <si>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</si>
  <si>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</si>
  <si>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</si>
  <si>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</si>
  <si>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</si>
  <si>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</si>
  <si>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</si>
  <si>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</si>
  <si>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</si>
  <si>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</si>
  <si>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</si>
  <si>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</si>
  <si>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</si>
  <si>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</si>
  <si>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</si>
  <si>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</si>
  <si>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</si>
  <si>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</si>
  <si>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</si>
  <si>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</si>
  <si>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</si>
  <si>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</si>
  <si>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</si>
  <si>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</si>
  <si>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</si>
  <si>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</si>
  <si>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</si>
  <si>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</si>
  <si>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</si>
  <si>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</si>
  <si>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</si>
  <si>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</si>
  <si>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</si>
  <si>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</si>
  <si>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</si>
  <si>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</si>
  <si>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</si>
  <si>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</si>
  <si>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</si>
  <si>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</si>
  <si>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</si>
  <si>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</si>
  <si>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</si>
  <si>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</si>
  <si>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</si>
  <si>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</si>
  <si>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</si>
  <si>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</si>
  <si>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</si>
  <si>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</si>
  <si>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</si>
  <si>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</si>
  <si>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</si>
  <si>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</si>
  <si>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</si>
  <si>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</si>
  <si>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</si>
  <si>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</si>
  <si>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</si>
  <si>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</si>
  <si>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</si>
  <si>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</si>
  <si>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</si>
  <si>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</si>
  <si>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</si>
  <si>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</si>
  <si>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</si>
  <si>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</si>
  <si>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</si>
  <si>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</si>
  <si>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</si>
  <si>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</si>
  <si>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</si>
  <si>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Industry</t>
  </si>
  <si>
    <t>NSE/BSE Code</t>
  </si>
  <si>
    <t>Bear Mode1</t>
  </si>
  <si>
    <t>Bear Mode2</t>
  </si>
  <si>
    <t>Stock Status</t>
  </si>
  <si>
    <t>Cap Size</t>
  </si>
  <si>
    <t>Stock Industry &amp; 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</si>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</sst>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color theme="1"/>
      <name val="Arial"/>
      <scheme val="minor"/>
    </font>
    <font>
      <sz val="9.0"/>
      <color rgb="FF000000"/>
      <name val="&quot;Google Sans Mono&quot;"/>
    </font>
    <font>
      <b/>
      <sz val="18.0"/>
      <color theme="1"/>
      <name val="Poppins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3" fontId="5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2" xfId="0" applyAlignment="1" applyFont="1" applyNumberFormat="1">
      <alignment shrinkToFit="0" wrapText="1"/>
    </xf>
    <xf borderId="0" fillId="0" fontId="5" numFmtId="10" xfId="0" applyAlignment="1" applyFont="1" applyNumberFormat="1">
      <alignment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2" xfId="0" applyFont="1" applyNumberFormat="1"/>
    <xf borderId="0" fillId="0" fontId="5" numFmtId="10" xfId="0" applyFont="1" applyNumberFormat="1"/>
    <xf borderId="0" fillId="4" fontId="6" numFmtId="0" xfId="0" applyFill="1" applyFont="1"/>
    <xf borderId="0" fillId="4" fontId="6" numFmtId="2" xfId="0" applyFont="1" applyNumberFormat="1"/>
    <xf borderId="5" fillId="5" fontId="7" numFmtId="0" xfId="0" applyAlignment="1" applyBorder="1" applyFill="1" applyFont="1">
      <alignment horizontal="center" readingOrder="0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6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25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D666"/>
          <bgColor rgb="FFFFD666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3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Source-style">
      <tableStyleElement dxfId="21" type="headerRow"/>
      <tableStyleElement dxfId="7" type="firstRowStripe"/>
      <tableStyleElement dxfId="22" type="secondRowStripe"/>
    </tableStyle>
    <tableStyle count="3" pivot="0" name="NSEBSE Code-style">
      <tableStyleElement dxfId="23" type="headerRow"/>
      <tableStyleElement dxfId="7" type="firstRowStripe"/>
      <tableStyleElement dxfId="2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headerRowCount="0" ref="A1:P1" displayName="Table_2" id="2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ourc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3:C219" displayName="Table_3" id="3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>
        <v>1234544.5174748</v>
      </c>
      <c r="C2" s="7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 t="str">
        <f>VLOOKUP(A2,D2:D22,2,FALSE)</f>
        <v>#REF!</v>
      </c>
      <c r="T2" s="10"/>
      <c r="U2" s="10"/>
      <c r="V2" s="10"/>
      <c r="W2" s="10"/>
      <c r="X2" s="10"/>
      <c r="Y2" s="10" t="str">
        <f>VLOOKUP(A2)</f>
        <v>#N/A</v>
      </c>
      <c r="Z2" s="10"/>
      <c r="AA2" s="10"/>
      <c r="AB2" s="10"/>
      <c r="AC2" s="10"/>
    </row>
    <row r="3">
      <c r="A3" s="5" t="s">
        <v>11</v>
      </c>
      <c r="B3" s="6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 t="s">
        <v>12</v>
      </c>
      <c r="B4" s="6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13</v>
      </c>
      <c r="B5" s="6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14</v>
      </c>
      <c r="B6" s="6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15</v>
      </c>
      <c r="B7" s="6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 t="s">
        <v>17</v>
      </c>
      <c r="B8" s="6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 t="s">
        <v>18</v>
      </c>
      <c r="B9" s="6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 t="s">
        <v>19</v>
      </c>
      <c r="B10" s="6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20</v>
      </c>
      <c r="B11" s="6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 t="s">
        <v>21</v>
      </c>
      <c r="B12" s="6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22</v>
      </c>
      <c r="B13" s="6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 t="s">
        <v>23</v>
      </c>
      <c r="B14" s="6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 t="s">
        <v>24</v>
      </c>
      <c r="B15" s="6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25</v>
      </c>
      <c r="B16" s="6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 t="s">
        <v>26</v>
      </c>
      <c r="B17" s="6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 t="s">
        <v>27</v>
      </c>
      <c r="B18" s="6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 t="s">
        <v>28</v>
      </c>
      <c r="B19" s="6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 t="s">
        <v>29</v>
      </c>
      <c r="B20" s="6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30</v>
      </c>
      <c r="B21" s="6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 t="s">
        <v>31</v>
      </c>
      <c r="B22" s="6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 t="s">
        <v>32</v>
      </c>
      <c r="B23" s="6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 t="s">
        <v>33</v>
      </c>
      <c r="B24" s="6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 t="s">
        <v>34</v>
      </c>
      <c r="B25" s="6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 t="s">
        <v>35</v>
      </c>
      <c r="B26" s="6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 t="s">
        <v>36</v>
      </c>
      <c r="B27" s="6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 t="s">
        <v>37</v>
      </c>
      <c r="B28" s="6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 t="s">
        <v>38</v>
      </c>
      <c r="B29" s="6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 t="s">
        <v>39</v>
      </c>
      <c r="B30" s="6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 t="s">
        <v>40</v>
      </c>
      <c r="B31" s="6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 t="s">
        <v>41</v>
      </c>
      <c r="B32" s="6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 t="s">
        <v>42</v>
      </c>
      <c r="B33" s="6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 t="s">
        <v>43</v>
      </c>
      <c r="B34" s="6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 t="s">
        <v>44</v>
      </c>
      <c r="B35" s="6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 t="s">
        <v>45</v>
      </c>
      <c r="B36" s="6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 t="s">
        <v>46</v>
      </c>
      <c r="B37" s="6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 t="s">
        <v>47</v>
      </c>
      <c r="B38" s="6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 t="s">
        <v>48</v>
      </c>
      <c r="B39" s="6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 t="s">
        <v>49</v>
      </c>
      <c r="B40" s="6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 t="s">
        <v>50</v>
      </c>
      <c r="B41" s="6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 t="s">
        <v>51</v>
      </c>
      <c r="B42" s="6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 t="s">
        <v>52</v>
      </c>
      <c r="B43" s="6">
        <v>45155.21625</v>
      </c>
      <c r="C43" s="8">
        <v>13875.0</v>
      </c>
      <c r="D43" s="8"/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 t="s">
        <v>53</v>
      </c>
      <c r="B44" s="6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 t="s">
        <v>54</v>
      </c>
      <c r="B45" s="6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 t="s">
        <v>55</v>
      </c>
      <c r="B46" s="6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 t="s">
        <v>56</v>
      </c>
      <c r="B47" s="6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 t="s">
        <v>57</v>
      </c>
      <c r="B48" s="6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 t="s">
        <v>58</v>
      </c>
      <c r="B49" s="6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 t="s">
        <v>59</v>
      </c>
      <c r="B50" s="6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 t="s">
        <v>60</v>
      </c>
      <c r="B51" s="6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 t="s">
        <v>61</v>
      </c>
      <c r="B52" s="6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 t="s">
        <v>62</v>
      </c>
      <c r="B53" s="6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 t="s">
        <v>63</v>
      </c>
      <c r="B54" s="6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 t="s">
        <v>64</v>
      </c>
      <c r="B55" s="6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 t="s">
        <v>65</v>
      </c>
      <c r="B56" s="6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 t="s">
        <v>66</v>
      </c>
      <c r="B57" s="6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 t="s">
        <v>67</v>
      </c>
      <c r="B58" s="6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 t="s">
        <v>68</v>
      </c>
      <c r="B59" s="6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 t="s">
        <v>69</v>
      </c>
      <c r="B60" s="6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 t="s">
        <v>70</v>
      </c>
      <c r="B61" s="6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 t="s">
        <v>71</v>
      </c>
      <c r="B62" s="6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 t="s">
        <v>72</v>
      </c>
      <c r="B63" s="6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 t="s">
        <v>73</v>
      </c>
      <c r="B64" s="6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 t="s">
        <v>74</v>
      </c>
      <c r="B65" s="6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 t="s">
        <v>75</v>
      </c>
      <c r="B66" s="6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 t="s">
        <v>76</v>
      </c>
      <c r="B67" s="6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 t="s">
        <v>77</v>
      </c>
      <c r="B68" s="6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 t="s">
        <v>78</v>
      </c>
      <c r="B69" s="6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 t="s">
        <v>79</v>
      </c>
      <c r="B70" s="6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 t="s">
        <v>80</v>
      </c>
      <c r="B71" s="6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 t="s">
        <v>81</v>
      </c>
      <c r="B72" s="6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 t="s">
        <v>82</v>
      </c>
      <c r="B73" s="6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 t="s">
        <v>83</v>
      </c>
      <c r="B74" s="6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 t="s">
        <v>84</v>
      </c>
      <c r="B75" s="6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 t="s">
        <v>85</v>
      </c>
      <c r="B76" s="6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 t="s">
        <v>86</v>
      </c>
      <c r="B77" s="6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 t="s">
        <v>87</v>
      </c>
      <c r="B78" s="6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 t="s">
        <v>88</v>
      </c>
      <c r="B79" s="6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 t="s">
        <v>89</v>
      </c>
      <c r="B80" s="6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 t="s">
        <v>90</v>
      </c>
      <c r="B81" s="6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 t="s">
        <v>91</v>
      </c>
      <c r="B82" s="6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 t="s">
        <v>92</v>
      </c>
      <c r="B83" s="6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 t="s">
        <v>94</v>
      </c>
      <c r="B84" s="6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 t="s">
        <v>95</v>
      </c>
      <c r="B85" s="6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 t="s">
        <v>96</v>
      </c>
      <c r="B86" s="6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 t="s">
        <v>97</v>
      </c>
      <c r="B87" s="6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 t="s">
        <v>98</v>
      </c>
      <c r="B88" s="6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 t="s">
        <v>99</v>
      </c>
      <c r="B89" s="6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 t="s">
        <v>100</v>
      </c>
      <c r="B90" s="6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 t="s">
        <v>101</v>
      </c>
      <c r="B91" s="6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 t="s">
        <v>102</v>
      </c>
      <c r="B92" s="6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 t="s">
        <v>103</v>
      </c>
      <c r="B93" s="6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 t="s">
        <v>104</v>
      </c>
      <c r="B94" s="6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 t="s">
        <v>105</v>
      </c>
      <c r="B95" s="6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 t="s">
        <v>106</v>
      </c>
      <c r="B96" s="6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 t="s">
        <v>107</v>
      </c>
      <c r="B97" s="6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 t="s">
        <v>108</v>
      </c>
      <c r="B98" s="6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 t="s">
        <v>109</v>
      </c>
      <c r="B99" s="6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 t="s">
        <v>110</v>
      </c>
      <c r="B100" s="6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 t="s">
        <v>111</v>
      </c>
      <c r="B101" s="6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 t="s">
        <v>112</v>
      </c>
      <c r="B102" s="6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 t="s">
        <v>113</v>
      </c>
      <c r="B103" s="6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 t="s">
        <v>114</v>
      </c>
      <c r="B104" s="6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 t="s">
        <v>115</v>
      </c>
      <c r="B105" s="6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 t="s">
        <v>116</v>
      </c>
      <c r="B106" s="6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 t="s">
        <v>117</v>
      </c>
      <c r="B107" s="6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 t="s">
        <v>118</v>
      </c>
      <c r="B108" s="6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 t="s">
        <v>119</v>
      </c>
      <c r="B109" s="6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 t="s">
        <v>120</v>
      </c>
      <c r="B110" s="6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 t="s">
        <v>121</v>
      </c>
      <c r="B111" s="6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 t="s">
        <v>122</v>
      </c>
      <c r="B112" s="6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 t="s">
        <v>123</v>
      </c>
      <c r="B113" s="6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 t="s">
        <v>124</v>
      </c>
      <c r="B114" s="6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 t="s">
        <v>125</v>
      </c>
      <c r="B115" s="6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 t="s">
        <v>126</v>
      </c>
      <c r="B116" s="6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 t="s">
        <v>127</v>
      </c>
      <c r="B117" s="6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 t="s">
        <v>128</v>
      </c>
      <c r="B118" s="6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 t="s">
        <v>129</v>
      </c>
      <c r="B119" s="6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 t="s">
        <v>130</v>
      </c>
      <c r="B120" s="6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 t="s">
        <v>131</v>
      </c>
      <c r="B121" s="6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 t="s">
        <v>132</v>
      </c>
      <c r="B122" s="6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 t="s">
        <v>133</v>
      </c>
      <c r="B123" s="6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 t="s">
        <v>134</v>
      </c>
      <c r="B124" s="6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 t="s">
        <v>135</v>
      </c>
      <c r="B125" s="6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 t="s">
        <v>136</v>
      </c>
      <c r="B126" s="6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 t="s">
        <v>137</v>
      </c>
      <c r="B127" s="6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 t="s">
        <v>138</v>
      </c>
      <c r="B128" s="6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 t="s">
        <v>139</v>
      </c>
      <c r="B129" s="6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 t="s">
        <v>140</v>
      </c>
      <c r="B130" s="6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 t="s">
        <v>141</v>
      </c>
      <c r="B131" s="6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 t="s">
        <v>142</v>
      </c>
      <c r="B132" s="6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 t="s">
        <v>143</v>
      </c>
      <c r="B133" s="6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 t="s">
        <v>144</v>
      </c>
      <c r="B134" s="6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 t="s">
        <v>145</v>
      </c>
      <c r="B135" s="6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 t="s">
        <v>146</v>
      </c>
      <c r="B136" s="6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 t="s">
        <v>147</v>
      </c>
      <c r="B137" s="6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 t="s">
        <v>148</v>
      </c>
      <c r="B138" s="6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 t="s">
        <v>149</v>
      </c>
      <c r="B139" s="6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 t="s">
        <v>150</v>
      </c>
      <c r="B140" s="6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 t="s">
        <v>151</v>
      </c>
      <c r="B141" s="6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 t="s">
        <v>152</v>
      </c>
      <c r="B142" s="6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 t="s">
        <v>153</v>
      </c>
      <c r="B143" s="6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 t="s">
        <v>154</v>
      </c>
      <c r="B144" s="6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 t="s">
        <v>155</v>
      </c>
      <c r="B145" s="6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 t="s">
        <v>156</v>
      </c>
      <c r="B146" s="6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 t="s">
        <v>157</v>
      </c>
      <c r="B147" s="6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 t="s">
        <v>158</v>
      </c>
      <c r="B148" s="6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5" t="s">
        <v>159</v>
      </c>
      <c r="B149" s="6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5" t="s">
        <v>160</v>
      </c>
      <c r="B150" s="6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5" t="s">
        <v>161</v>
      </c>
      <c r="B151" s="6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5" t="s">
        <v>162</v>
      </c>
      <c r="B152" s="6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5" t="s">
        <v>163</v>
      </c>
      <c r="B153" s="6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5" t="s">
        <v>164</v>
      </c>
      <c r="B154" s="6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5" t="s">
        <v>165</v>
      </c>
      <c r="B155" s="6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5" t="s">
        <v>166</v>
      </c>
      <c r="B156" s="6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5" t="s">
        <v>167</v>
      </c>
      <c r="B157" s="6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5" t="s">
        <v>168</v>
      </c>
      <c r="B158" s="6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5" t="s">
        <v>169</v>
      </c>
      <c r="B159" s="6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5" t="s">
        <v>170</v>
      </c>
      <c r="B160" s="6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5" t="s">
        <v>171</v>
      </c>
      <c r="B161" s="6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5" t="s">
        <v>172</v>
      </c>
      <c r="B162" s="6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5" t="s">
        <v>173</v>
      </c>
      <c r="B163" s="6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5" t="s">
        <v>174</v>
      </c>
      <c r="B164" s="6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5" t="s">
        <v>175</v>
      </c>
      <c r="B165" s="6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5" t="s">
        <v>176</v>
      </c>
      <c r="B166" s="6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5" t="s">
        <v>177</v>
      </c>
      <c r="B167" s="6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5" t="s">
        <v>178</v>
      </c>
      <c r="B168" s="6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5" t="s">
        <v>179</v>
      </c>
      <c r="B169" s="6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5" t="s">
        <v>180</v>
      </c>
      <c r="B170" s="6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5" t="s">
        <v>181</v>
      </c>
      <c r="B171" s="6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5" t="s">
        <v>182</v>
      </c>
      <c r="B172" s="6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5" t="s">
        <v>183</v>
      </c>
      <c r="B173" s="6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5" t="s">
        <v>184</v>
      </c>
      <c r="B174" s="6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5" t="s">
        <v>185</v>
      </c>
      <c r="B175" s="6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5" t="s">
        <v>186</v>
      </c>
      <c r="B176" s="6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5" t="s">
        <v>187</v>
      </c>
      <c r="B177" s="6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5" t="s">
        <v>188</v>
      </c>
      <c r="B178" s="6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5" t="s">
        <v>189</v>
      </c>
      <c r="B179" s="6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5" t="s">
        <v>190</v>
      </c>
      <c r="B180" s="6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5" t="s">
        <v>191</v>
      </c>
      <c r="B181" s="6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5" t="s">
        <v>192</v>
      </c>
      <c r="B182" s="6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5" t="s">
        <v>193</v>
      </c>
      <c r="B183" s="6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5" t="s">
        <v>194</v>
      </c>
      <c r="B184" s="6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5" t="s">
        <v>195</v>
      </c>
      <c r="B185" s="6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5" t="s">
        <v>196</v>
      </c>
      <c r="B186" s="6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5" t="s">
        <v>197</v>
      </c>
      <c r="B187" s="6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5" t="s">
        <v>198</v>
      </c>
      <c r="B188" s="6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5" t="s">
        <v>199</v>
      </c>
      <c r="B189" s="6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5" t="s">
        <v>200</v>
      </c>
      <c r="B190" s="6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5" t="s">
        <v>201</v>
      </c>
      <c r="B191" s="6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5" t="s">
        <v>202</v>
      </c>
      <c r="B192" s="6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5" t="s">
        <v>203</v>
      </c>
      <c r="B193" s="6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5" t="s">
        <v>204</v>
      </c>
      <c r="B194" s="6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5" t="s">
        <v>205</v>
      </c>
      <c r="B195" s="6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5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s">
        <v>207</v>
      </c>
      <c r="B197" s="6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5" t="s">
        <v>208</v>
      </c>
      <c r="B198" s="6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5" t="s">
        <v>209</v>
      </c>
      <c r="B199" s="6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5" t="s">
        <v>210</v>
      </c>
      <c r="B200" s="6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5" t="s">
        <v>211</v>
      </c>
      <c r="B201" s="6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5" t="s">
        <v>212</v>
      </c>
      <c r="B202" s="6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5" t="s">
        <v>213</v>
      </c>
      <c r="B203" s="6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5" t="s">
        <v>214</v>
      </c>
      <c r="B204" s="6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5" t="s">
        <v>215</v>
      </c>
      <c r="B205" s="6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5" t="s">
        <v>216</v>
      </c>
      <c r="B206" s="6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5" t="s">
        <v>217</v>
      </c>
      <c r="B207" s="6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5" t="s">
        <v>218</v>
      </c>
      <c r="B208" s="6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5" t="s">
        <v>219</v>
      </c>
      <c r="B209" s="6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5" t="s">
        <v>220</v>
      </c>
      <c r="B210" s="6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5" t="s">
        <v>221</v>
      </c>
      <c r="B211" s="6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5" t="s">
        <v>222</v>
      </c>
      <c r="B212" s="6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5" t="s">
        <v>223</v>
      </c>
      <c r="B213" s="6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5" t="s">
        <v>224</v>
      </c>
      <c r="B214" s="6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5" t="s">
        <v>225</v>
      </c>
      <c r="B215" s="6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5" t="s">
        <v>226</v>
      </c>
      <c r="B216" s="6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5" t="s">
        <v>227</v>
      </c>
      <c r="B217" s="6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tr">
        <f>IFERROR(__xludf.DUMMYFUNCTION("QUERY(Sheet26!A1:P114, ""SELECT * WHERE O='Good Stock'"", 1)
"),"Stock")</f>
        <v>Stock</v>
      </c>
      <c r="B1" s="15" t="str">
        <f>IFERROR(__xludf.DUMMYFUNCTION("""COMPUTED_VALUE"""),"Market cap (in Rs Cr.)")</f>
        <v>Market cap (in Rs Cr.)</v>
      </c>
      <c r="C1" s="15" t="str">
        <f>IFERROR(__xludf.DUMMYFUNCTION("""COMPUTED_VALUE"""),"Current price")</f>
        <v>Current price</v>
      </c>
      <c r="D1" s="15" t="str">
        <f>IFERROR(__xludf.DUMMYFUNCTION("""COMPUTED_VALUE"""),"PE Ratio")</f>
        <v>PE Ratio</v>
      </c>
      <c r="E1" s="15" t="str">
        <f>IFERROR(__xludf.DUMMYFUNCTION("""COMPUTED_VALUE"""),"52 Week High")</f>
        <v>52 Week High</v>
      </c>
      <c r="F1" s="15" t="str">
        <f>IFERROR(__xludf.DUMMYFUNCTION("""COMPUTED_VALUE"""),"% Below 52 week high")</f>
        <v>% Below 52 week high</v>
      </c>
      <c r="G1" s="15" t="str">
        <f>IFERROR(__xludf.DUMMYFUNCTION("""COMPUTED_VALUE"""),"52 Week Low")</f>
        <v>52 Week Low</v>
      </c>
      <c r="H1" s="15" t="str">
        <f>IFERROR(__xludf.DUMMYFUNCTION("""COMPUTED_VALUE"""),"% Above 52 Week low")</f>
        <v>% Above 52 Week low</v>
      </c>
      <c r="I1" s="15" t="str">
        <f>IFERROR(__xludf.DUMMYFUNCTION("""COMPUTED_VALUE"""),"Yesterday Closing Price")</f>
        <v>Yesterday Closing Price</v>
      </c>
      <c r="J1" s="15" t="str">
        <f>IFERROR(__xludf.DUMMYFUNCTION("""COMPUTED_VALUE"""),"% Change")</f>
        <v>% Change</v>
      </c>
      <c r="K1" s="15" t="str">
        <f>IFERROR(__xludf.DUMMYFUNCTION("""COMPUTED_VALUE"""),"Industry")</f>
        <v>Industry</v>
      </c>
      <c r="L1" s="15" t="str">
        <f>IFERROR(__xludf.DUMMYFUNCTION("""COMPUTED_VALUE"""),"NSE/BSE Code")</f>
        <v>NSE/BSE Code</v>
      </c>
      <c r="M1" s="15" t="str">
        <f>IFERROR(__xludf.DUMMYFUNCTION("""COMPUTED_VALUE"""),"Bear Mode1")</f>
        <v>Bear Mode1</v>
      </c>
      <c r="N1" s="15" t="str">
        <f>IFERROR(__xludf.DUMMYFUNCTION("""COMPUTED_VALUE"""),"Bear Mode2")</f>
        <v>Bear Mode2</v>
      </c>
      <c r="O1" s="15" t="str">
        <f>IFERROR(__xludf.DUMMYFUNCTION("""COMPUTED_VALUE"""),"Stock Status")</f>
        <v>Stock Status</v>
      </c>
      <c r="P1" s="15" t="str">
        <f>IFERROR(__xludf.DUMMYFUNCTION("""COMPUTED_VALUE"""),"Cap Size")</f>
        <v>Cap Size</v>
      </c>
      <c r="Q1" s="16"/>
      <c r="R1" s="16"/>
      <c r="S1" s="16"/>
      <c r="T1" s="16"/>
      <c r="U1" s="16"/>
      <c r="V1" s="16"/>
      <c r="W1" s="16"/>
      <c r="X1" s="16"/>
      <c r="Y1" s="16"/>
    </row>
    <row r="2">
      <c r="A2" s="16" t="str">
        <f>IFERROR(__xludf.DUMMYFUNCTION("""COMPUTED_VALUE"""),"HUL")</f>
        <v>HUL</v>
      </c>
      <c r="B2" s="17">
        <f>IFERROR(__xludf.DUMMYFUNCTION("""COMPUTED_VALUE"""),616301.326875)</f>
        <v>616301.3269</v>
      </c>
      <c r="C2" s="16">
        <f>IFERROR(__xludf.DUMMYFUNCTION("""COMPUTED_VALUE"""),2620.6)</f>
        <v>2620.6</v>
      </c>
      <c r="D2" s="16">
        <f>IFERROR(__xludf.DUMMYFUNCTION("""COMPUTED_VALUE"""),63.81)</f>
        <v>63.81</v>
      </c>
      <c r="E2" s="16">
        <f>IFERROR(__xludf.DUMMYFUNCTION("""COMPUTED_VALUE"""),2741.6)</f>
        <v>2741.6</v>
      </c>
      <c r="F2" s="18">
        <f>IFERROR(__xludf.DUMMYFUNCTION("""COMPUTED_VALUE"""),0.0441348117887365)</f>
        <v>0.04413481179</v>
      </c>
      <c r="G2" s="16">
        <f>IFERROR(__xludf.DUMMYFUNCTION("""COMPUTED_VALUE"""),1901.55)</f>
        <v>1901.55</v>
      </c>
      <c r="H2" s="18">
        <f>IFERROR(__xludf.DUMMYFUNCTION("""COMPUTED_VALUE"""),0.37813888669769397)</f>
        <v>0.3781388867</v>
      </c>
      <c r="I2" s="16">
        <f>IFERROR(__xludf.DUMMYFUNCTION("""COMPUTED_VALUE"""),2590.05)</f>
        <v>2590.05</v>
      </c>
      <c r="J2" s="18">
        <f>IFERROR(__xludf.DUMMYFUNCTION("""COMPUTED_VALUE"""),0.011795139089978852)</f>
        <v>0.01179513909</v>
      </c>
      <c r="K2" s="16" t="str">
        <f>IFERROR(__xludf.DUMMYFUNCTION("""COMPUTED_VALUE"""),"FMCG")</f>
        <v>FMCG</v>
      </c>
      <c r="L2" s="16" t="str">
        <f>IFERROR(__xludf.DUMMYFUNCTION("""COMPUTED_VALUE"""),"HINDUNILVR")</f>
        <v>HINDUNILVR</v>
      </c>
      <c r="M2" s="16" t="str">
        <f>IFERROR(__xludf.DUMMYFUNCTION("""COMPUTED_VALUE"""),"No")</f>
        <v>No</v>
      </c>
      <c r="N2" s="16" t="str">
        <f>IFERROR(__xludf.DUMMYFUNCTION("""COMPUTED_VALUE"""),"No")</f>
        <v>No</v>
      </c>
      <c r="O2" s="16" t="str">
        <f>IFERROR(__xludf.DUMMYFUNCTION("""COMPUTED_VALUE"""),"Good Stock")</f>
        <v>Good Stock</v>
      </c>
      <c r="P2" s="16" t="str">
        <f>IFERROR(__xludf.DUMMYFUNCTION("""COMPUTED_VALUE"""),"Medium Cap Stocks")</f>
        <v>Medium Cap Stocks</v>
      </c>
      <c r="Q2" s="16"/>
      <c r="R2" s="16"/>
      <c r="S2" s="16"/>
      <c r="T2" s="16"/>
      <c r="U2" s="16"/>
      <c r="V2" s="16"/>
      <c r="W2" s="16"/>
      <c r="X2" s="16"/>
      <c r="Y2" s="16"/>
    </row>
    <row r="3">
      <c r="A3" s="16" t="str">
        <f>IFERROR(__xludf.DUMMYFUNCTION("""COMPUTED_VALUE"""),"L&amp;T")</f>
        <v>L&amp;T</v>
      </c>
      <c r="B3" s="17">
        <f>IFERROR(__xludf.DUMMYFUNCTION("""COMPUTED_VALUE"""),302617.166625)</f>
        <v>302617.1666</v>
      </c>
      <c r="C3" s="16">
        <f>IFERROR(__xludf.DUMMYFUNCTION("""COMPUTED_VALUE"""),2153.75)</f>
        <v>2153.75</v>
      </c>
      <c r="D3" s="16">
        <f>IFERROR(__xludf.DUMMYFUNCTION("""COMPUTED_VALUE"""),31.53)</f>
        <v>31.53</v>
      </c>
      <c r="E3" s="16">
        <f>IFERROR(__xludf.DUMMYFUNCTION("""COMPUTED_VALUE"""),2210.5)</f>
        <v>2210.5</v>
      </c>
      <c r="F3" s="18">
        <f>IFERROR(__xludf.DUMMYFUNCTION("""COMPUTED_VALUE"""),0.025672924677674736)</f>
        <v>0.02567292468</v>
      </c>
      <c r="G3" s="16">
        <f>IFERROR(__xludf.DUMMYFUNCTION("""COMPUTED_VALUE"""),1456.8)</f>
        <v>1456.8</v>
      </c>
      <c r="H3" s="18">
        <f>IFERROR(__xludf.DUMMYFUNCTION("""COMPUTED_VALUE"""),0.4784115870400879)</f>
        <v>0.478411587</v>
      </c>
      <c r="I3" s="16">
        <f>IFERROR(__xludf.DUMMYFUNCTION("""COMPUTED_VALUE"""),2160.2)</f>
        <v>2160.2</v>
      </c>
      <c r="J3" s="18">
        <f>IFERROR(__xludf.DUMMYFUNCTION("""COMPUTED_VALUE"""),-0.0029858346449401995)</f>
        <v>-0.002985834645</v>
      </c>
      <c r="K3" s="16" t="str">
        <f>IFERROR(__xludf.DUMMYFUNCTION("""COMPUTED_VALUE"""),"Infrastructure")</f>
        <v>Infrastructure</v>
      </c>
      <c r="L3" s="16" t="str">
        <f>IFERROR(__xludf.DUMMYFUNCTION("""COMPUTED_VALUE"""),"BOM:500510")</f>
        <v>BOM:500510</v>
      </c>
      <c r="M3" s="16" t="str">
        <f>IFERROR(__xludf.DUMMYFUNCTION("""COMPUTED_VALUE"""),"No")</f>
        <v>No</v>
      </c>
      <c r="N3" s="16" t="str">
        <f>IFERROR(__xludf.DUMMYFUNCTION("""COMPUTED_VALUE"""),"No")</f>
        <v>No</v>
      </c>
      <c r="O3" s="16" t="str">
        <f>IFERROR(__xludf.DUMMYFUNCTION("""COMPUTED_VALUE"""),"Good Stock")</f>
        <v>Good Stock</v>
      </c>
      <c r="P3" s="16" t="str">
        <f>IFERROR(__xludf.DUMMYFUNCTION("""COMPUTED_VALUE"""),"Low Cap Stocks")</f>
        <v>Low Cap Stocks</v>
      </c>
      <c r="Q3" s="16"/>
      <c r="R3" s="16"/>
      <c r="S3" s="16"/>
      <c r="T3" s="16"/>
      <c r="U3" s="16"/>
      <c r="V3" s="16"/>
      <c r="W3" s="16"/>
      <c r="X3" s="16"/>
      <c r="Y3" s="16"/>
    </row>
    <row r="4">
      <c r="A4" s="16" t="str">
        <f>IFERROR(__xludf.DUMMYFUNCTION("""COMPUTED_VALUE"""),"Ultratech Cement")</f>
        <v>Ultratech Cement</v>
      </c>
      <c r="B4" s="17">
        <f>IFERROR(__xludf.DUMMYFUNCTION("""COMPUTED_VALUE"""),208975.8)</f>
        <v>208975.8</v>
      </c>
      <c r="C4" s="16">
        <f>IFERROR(__xludf.DUMMYFUNCTION("""COMPUTED_VALUE"""),7244.95)</f>
        <v>7244.95</v>
      </c>
      <c r="D4" s="16">
        <f>IFERROR(__xludf.DUMMYFUNCTION("""COMPUTED_VALUE"""),31.35)</f>
        <v>31.35</v>
      </c>
      <c r="E4" s="16">
        <f>IFERROR(__xludf.DUMMYFUNCTION("""COMPUTED_VALUE"""),7946.0)</f>
        <v>7946</v>
      </c>
      <c r="F4" s="18">
        <f>IFERROR(__xludf.DUMMYFUNCTION("""COMPUTED_VALUE"""),0.08822678077019887)</f>
        <v>0.08822678077</v>
      </c>
      <c r="G4" s="16">
        <f>IFERROR(__xludf.DUMMYFUNCTION("""COMPUTED_VALUE"""),5157.05)</f>
        <v>5157.05</v>
      </c>
      <c r="H4" s="18">
        <f>IFERROR(__xludf.DUMMYFUNCTION("""COMPUTED_VALUE"""),0.4048632454600982)</f>
        <v>0.4048632455</v>
      </c>
      <c r="I4" s="16">
        <f>IFERROR(__xludf.DUMMYFUNCTION("""COMPUTED_VALUE"""),7153.35)</f>
        <v>7153.35</v>
      </c>
      <c r="J4" s="18">
        <f>IFERROR(__xludf.DUMMYFUNCTION("""COMPUTED_VALUE"""),0.012805189177098764)</f>
        <v>0.01280518918</v>
      </c>
      <c r="K4" s="16" t="str">
        <f>IFERROR(__xludf.DUMMYFUNCTION("""COMPUTED_VALUE"""),"Cement")</f>
        <v>Cement</v>
      </c>
      <c r="L4" s="16" t="str">
        <f>IFERROR(__xludf.DUMMYFUNCTION("""COMPUTED_VALUE"""),"ULTRACEMCO")</f>
        <v>ULTRACEMCO</v>
      </c>
      <c r="M4" s="16" t="str">
        <f>IFERROR(__xludf.DUMMYFUNCTION("""COMPUTED_VALUE"""),"No")</f>
        <v>No</v>
      </c>
      <c r="N4" s="16" t="str">
        <f>IFERROR(__xludf.DUMMYFUNCTION("""COMPUTED_VALUE"""),"No")</f>
        <v>No</v>
      </c>
      <c r="O4" s="16" t="str">
        <f>IFERROR(__xludf.DUMMYFUNCTION("""COMPUTED_VALUE"""),"Good Stock")</f>
        <v>Good Stock</v>
      </c>
      <c r="P4" s="16" t="str">
        <f>IFERROR(__xludf.DUMMYFUNCTION("""COMPUTED_VALUE"""),"Low Cap Stocks")</f>
        <v>Low Cap Stocks</v>
      </c>
      <c r="Q4" s="16"/>
      <c r="R4" s="16"/>
      <c r="S4" s="16"/>
      <c r="T4" s="16"/>
      <c r="U4" s="16"/>
      <c r="V4" s="16"/>
      <c r="W4" s="16"/>
      <c r="X4" s="16"/>
      <c r="Y4" s="16"/>
    </row>
    <row r="5">
      <c r="A5" s="16" t="str">
        <f>IFERROR(__xludf.DUMMYFUNCTION("""COMPUTED_VALUE"""),"M&amp;M")</f>
        <v>M&amp;M</v>
      </c>
      <c r="B5" s="17">
        <f>IFERROR(__xludf.DUMMYFUNCTION("""COMPUTED_VALUE"""),158785.3716893)</f>
        <v>158785.3717</v>
      </c>
      <c r="C5" s="16">
        <f>IFERROR(__xludf.DUMMYFUNCTION("""COMPUTED_VALUE"""),1327.55)</f>
        <v>1327.55</v>
      </c>
      <c r="D5" s="16">
        <f>IFERROR(__xludf.DUMMYFUNCTION("""COMPUTED_VALUE"""),16.12)</f>
        <v>16.12</v>
      </c>
      <c r="E5" s="16">
        <f>IFERROR(__xludf.DUMMYFUNCTION("""COMPUTED_VALUE"""),1366.55)</f>
        <v>1366.55</v>
      </c>
      <c r="F5" s="18">
        <f>IFERROR(__xludf.DUMMYFUNCTION("""COMPUTED_VALUE"""),0.028539021623797154)</f>
        <v>0.02853902162</v>
      </c>
      <c r="G5" s="16">
        <f>IFERROR(__xludf.DUMMYFUNCTION("""COMPUTED_VALUE"""),671.15)</f>
        <v>671.15</v>
      </c>
      <c r="H5" s="18">
        <f>IFERROR(__xludf.DUMMYFUNCTION("""COMPUTED_VALUE"""),0.9780227966922447)</f>
        <v>0.9780227967</v>
      </c>
      <c r="I5" s="16">
        <f>IFERROR(__xludf.DUMMYFUNCTION("""COMPUTED_VALUE"""),1319.9)</f>
        <v>1319.9</v>
      </c>
      <c r="J5" s="18">
        <f>IFERROR(__xludf.DUMMYFUNCTION("""COMPUTED_VALUE"""),0.005795893628305071)</f>
        <v>0.005795893628</v>
      </c>
      <c r="K5" s="16" t="str">
        <f>IFERROR(__xludf.DUMMYFUNCTION("""COMPUTED_VALUE"""),"Automobile")</f>
        <v>Automobile</v>
      </c>
      <c r="L5" s="16" t="str">
        <f>IFERROR(__xludf.DUMMYFUNCTION("""COMPUTED_VALUE"""),"M&amp;M")</f>
        <v>M&amp;M</v>
      </c>
      <c r="M5" s="16" t="str">
        <f>IFERROR(__xludf.DUMMYFUNCTION("""COMPUTED_VALUE"""),"No")</f>
        <v>No</v>
      </c>
      <c r="N5" s="16" t="str">
        <f>IFERROR(__xludf.DUMMYFUNCTION("""COMPUTED_VALUE"""),"No")</f>
        <v>No</v>
      </c>
      <c r="O5" s="16" t="str">
        <f>IFERROR(__xludf.DUMMYFUNCTION("""COMPUTED_VALUE"""),"Good Stock")</f>
        <v>Good Stock</v>
      </c>
      <c r="P5" s="16" t="str">
        <f>IFERROR(__xludf.DUMMYFUNCTION("""COMPUTED_VALUE"""),"Low Cap Stocks")</f>
        <v>Low Cap Stocks</v>
      </c>
      <c r="Q5" s="16"/>
      <c r="R5" s="16"/>
      <c r="S5" s="16"/>
      <c r="T5" s="16"/>
      <c r="U5" s="16"/>
      <c r="V5" s="16"/>
      <c r="W5" s="16"/>
      <c r="X5" s="16"/>
      <c r="Y5" s="16"/>
    </row>
    <row r="6">
      <c r="A6" s="16" t="str">
        <f>IFERROR(__xludf.DUMMYFUNCTION("""COMPUTED_VALUE"""),"Tata Steel")</f>
        <v>Tata Steel</v>
      </c>
      <c r="B6" s="17">
        <f>IFERROR(__xludf.DUMMYFUNCTION("""COMPUTED_VALUE"""),147293.6037181)</f>
        <v>147293.6037</v>
      </c>
      <c r="C6" s="16">
        <f>IFERROR(__xludf.DUMMYFUNCTION("""COMPUTED_VALUE"""),120.45)</f>
        <v>120.45</v>
      </c>
      <c r="D6" s="16">
        <f>IFERROR(__xludf.DUMMYFUNCTION("""COMPUTED_VALUE"""),5.13)</f>
        <v>5.13</v>
      </c>
      <c r="E6" s="16">
        <f>IFERROR(__xludf.DUMMYFUNCTION("""COMPUTED_VALUE"""),138.63)</f>
        <v>138.63</v>
      </c>
      <c r="F6" s="18">
        <f>IFERROR(__xludf.DUMMYFUNCTION("""COMPUTED_VALUE"""),0.1311404457909543)</f>
        <v>0.1311404458</v>
      </c>
      <c r="G6" s="16">
        <f>IFERROR(__xludf.DUMMYFUNCTION("""COMPUTED_VALUE"""),82.71)</f>
        <v>82.71</v>
      </c>
      <c r="H6" s="18">
        <f>IFERROR(__xludf.DUMMYFUNCTION("""COMPUTED_VALUE"""),0.45629307217990583)</f>
        <v>0.4562930722</v>
      </c>
      <c r="I6" s="16">
        <f>IFERROR(__xludf.DUMMYFUNCTION("""COMPUTED_VALUE"""),118.05)</f>
        <v>118.05</v>
      </c>
      <c r="J6" s="18">
        <f>IFERROR(__xludf.DUMMYFUNCTION("""COMPUTED_VALUE"""),0.020330368487928893)</f>
        <v>0.02033036849</v>
      </c>
      <c r="K6" s="16" t="str">
        <f>IFERROR(__xludf.DUMMYFUNCTION("""COMPUTED_VALUE"""),"Infrastructure")</f>
        <v>Infrastructure</v>
      </c>
      <c r="L6" s="16" t="str">
        <f>IFERROR(__xludf.DUMMYFUNCTION("""COMPUTED_VALUE"""),"BOM:500470")</f>
        <v>BOM:500470</v>
      </c>
      <c r="M6" s="16" t="str">
        <f>IFERROR(__xludf.DUMMYFUNCTION("""COMPUTED_VALUE"""),"No")</f>
        <v>No</v>
      </c>
      <c r="N6" s="16" t="str">
        <f>IFERROR(__xludf.DUMMYFUNCTION("""COMPUTED_VALUE"""),"No")</f>
        <v>No</v>
      </c>
      <c r="O6" s="16" t="str">
        <f>IFERROR(__xludf.DUMMYFUNCTION("""COMPUTED_VALUE"""),"Good Stock")</f>
        <v>Good Stock</v>
      </c>
      <c r="P6" s="16" t="str">
        <f>IFERROR(__xludf.DUMMYFUNCTION("""COMPUTED_VALUE"""),"Low Cap Stocks")</f>
        <v>Low Cap Stocks</v>
      </c>
      <c r="Q6" s="16"/>
      <c r="R6" s="16"/>
      <c r="S6" s="16"/>
      <c r="T6" s="16"/>
      <c r="U6" s="16"/>
      <c r="V6" s="16"/>
      <c r="W6" s="16"/>
      <c r="X6" s="16"/>
      <c r="Y6" s="16"/>
    </row>
    <row r="7">
      <c r="A7" s="16" t="str">
        <f>IFERROR(__xludf.DUMMYFUNCTION("""COMPUTED_VALUE"""),"Ambuja Cement")</f>
        <v>Ambuja Cement</v>
      </c>
      <c r="B7" s="17">
        <f>IFERROR(__xludf.DUMMYFUNCTION("""COMPUTED_VALUE"""),102995.3567038)</f>
        <v>102995.3567</v>
      </c>
      <c r="C7" s="16">
        <f>IFERROR(__xludf.DUMMYFUNCTION("""COMPUTED_VALUE"""),518.7)</f>
        <v>518.7</v>
      </c>
      <c r="D7" s="16">
        <f>IFERROR(__xludf.DUMMYFUNCTION("""COMPUTED_VALUE"""),57.36)</f>
        <v>57.36</v>
      </c>
      <c r="E7" s="16">
        <f>IFERROR(__xludf.DUMMYFUNCTION("""COMPUTED_VALUE"""),598.15)</f>
        <v>598.15</v>
      </c>
      <c r="F7" s="18">
        <f>IFERROR(__xludf.DUMMYFUNCTION("""COMPUTED_VALUE"""),0.13282621416032755)</f>
        <v>0.1328262142</v>
      </c>
      <c r="G7" s="16">
        <f>IFERROR(__xludf.DUMMYFUNCTION("""COMPUTED_VALUE"""),274.0)</f>
        <v>274</v>
      </c>
      <c r="H7" s="18">
        <f>IFERROR(__xludf.DUMMYFUNCTION("""COMPUTED_VALUE"""),0.8930656934306571)</f>
        <v>0.8930656934</v>
      </c>
      <c r="I7" s="16">
        <f>IFERROR(__xludf.DUMMYFUNCTION("""COMPUTED_VALUE"""),510.4)</f>
        <v>510.4</v>
      </c>
      <c r="J7" s="18">
        <f>IFERROR(__xludf.DUMMYFUNCTION("""COMPUTED_VALUE"""),0.01626175548589355)</f>
        <v>0.01626175549</v>
      </c>
      <c r="K7" s="16" t="str">
        <f>IFERROR(__xludf.DUMMYFUNCTION("""COMPUTED_VALUE"""),"Cement")</f>
        <v>Cement</v>
      </c>
      <c r="L7" s="16" t="str">
        <f>IFERROR(__xludf.DUMMYFUNCTION("""COMPUTED_VALUE"""),"BOM:500425")</f>
        <v>BOM:500425</v>
      </c>
      <c r="M7" s="16" t="str">
        <f>IFERROR(__xludf.DUMMYFUNCTION("""COMPUTED_VALUE"""),"No")</f>
        <v>No</v>
      </c>
      <c r="N7" s="16" t="str">
        <f>IFERROR(__xludf.DUMMYFUNCTION("""COMPUTED_VALUE"""),"No")</f>
        <v>No</v>
      </c>
      <c r="O7" s="16" t="str">
        <f>IFERROR(__xludf.DUMMYFUNCTION("""COMPUTED_VALUE"""),"Good Stock")</f>
        <v>Good Stock</v>
      </c>
      <c r="P7" s="16" t="str">
        <f>IFERROR(__xludf.DUMMYFUNCTION("""COMPUTED_VALUE"""),"Low Cap Stocks")</f>
        <v>Low Cap Stocks</v>
      </c>
      <c r="Q7" s="16"/>
      <c r="R7" s="16"/>
      <c r="S7" s="16"/>
      <c r="T7" s="16"/>
      <c r="U7" s="16"/>
      <c r="V7" s="16"/>
      <c r="W7" s="16"/>
      <c r="X7" s="16"/>
      <c r="Y7" s="16"/>
    </row>
    <row r="8">
      <c r="A8" s="16" t="str">
        <f>IFERROR(__xludf.DUMMYFUNCTION("""COMPUTED_VALUE"""),"Eicher Motor")</f>
        <v>Eicher Motor</v>
      </c>
      <c r="B8" s="17">
        <f>IFERROR(__xludf.DUMMYFUNCTION("""COMPUTED_VALUE"""),86543.2296232)</f>
        <v>86543.22962</v>
      </c>
      <c r="C8" s="16">
        <f>IFERROR(__xludf.DUMMYFUNCTION("""COMPUTED_VALUE"""),3164.9)</f>
        <v>3164.9</v>
      </c>
      <c r="D8" s="16">
        <f>IFERROR(__xludf.DUMMYFUNCTION("""COMPUTED_VALUE"""),37.12)</f>
        <v>37.12</v>
      </c>
      <c r="E8" s="16">
        <f>IFERROR(__xludf.DUMMYFUNCTION("""COMPUTED_VALUE"""),3889.65)</f>
        <v>3889.65</v>
      </c>
      <c r="F8" s="18">
        <f>IFERROR(__xludf.DUMMYFUNCTION("""COMPUTED_VALUE"""),0.18632781869834047)</f>
        <v>0.1863278187</v>
      </c>
      <c r="G8" s="16">
        <f>IFERROR(__xludf.DUMMYFUNCTION("""COMPUTED_VALUE"""),2159.55)</f>
        <v>2159.55</v>
      </c>
      <c r="H8" s="18">
        <f>IFERROR(__xludf.DUMMYFUNCTION("""COMPUTED_VALUE"""),0.4655368016484915)</f>
        <v>0.4655368016</v>
      </c>
      <c r="I8" s="16">
        <f>IFERROR(__xludf.DUMMYFUNCTION("""COMPUTED_VALUE"""),3103.25)</f>
        <v>3103.25</v>
      </c>
      <c r="J8" s="18">
        <f>IFERROR(__xludf.DUMMYFUNCTION("""COMPUTED_VALUE"""),0.019866269233867747)</f>
        <v>0.01986626923</v>
      </c>
      <c r="K8" s="16" t="str">
        <f>IFERROR(__xludf.DUMMYFUNCTION("""COMPUTED_VALUE"""),"Automobile")</f>
        <v>Automobile</v>
      </c>
      <c r="L8" s="16" t="str">
        <f>IFERROR(__xludf.DUMMYFUNCTION("""COMPUTED_VALUE"""),"EICHERMOT")</f>
        <v>EICHERMOT</v>
      </c>
      <c r="M8" s="16" t="str">
        <f>IFERROR(__xludf.DUMMYFUNCTION("""COMPUTED_VALUE"""),"No")</f>
        <v>No</v>
      </c>
      <c r="N8" s="16" t="str">
        <f>IFERROR(__xludf.DUMMYFUNCTION("""COMPUTED_VALUE"""),"No")</f>
        <v>No</v>
      </c>
      <c r="O8" s="16" t="str">
        <f>IFERROR(__xludf.DUMMYFUNCTION("""COMPUTED_VALUE"""),"Good Stock")</f>
        <v>Good Stock</v>
      </c>
      <c r="P8" s="16" t="str">
        <f>IFERROR(__xludf.DUMMYFUNCTION("""COMPUTED_VALUE"""),"Low Cap Stocks")</f>
        <v>Low Cap Stocks</v>
      </c>
      <c r="Q8" s="16"/>
      <c r="R8" s="16"/>
      <c r="S8" s="16"/>
      <c r="T8" s="16"/>
      <c r="U8" s="16"/>
      <c r="V8" s="16"/>
      <c r="W8" s="16"/>
      <c r="X8" s="16"/>
      <c r="Y8" s="16"/>
    </row>
    <row r="9">
      <c r="A9" s="16" t="str">
        <f>IFERROR(__xludf.DUMMYFUNCTION("""COMPUTED_VALUE"""),"PI industries")</f>
        <v>PI industries</v>
      </c>
      <c r="B9" s="17">
        <f>IFERROR(__xludf.DUMMYFUNCTION("""COMPUTED_VALUE"""),49475.63474)</f>
        <v>49475.63474</v>
      </c>
      <c r="C9" s="16">
        <f>IFERROR(__xludf.DUMMYFUNCTION("""COMPUTED_VALUE"""),3262.0)</f>
        <v>3262</v>
      </c>
      <c r="D9" s="16">
        <f>IFERROR(__xludf.DUMMYFUNCTION("""COMPUTED_VALUE"""),48.33)</f>
        <v>48.33</v>
      </c>
      <c r="E9" s="16">
        <f>IFERROR(__xludf.DUMMYFUNCTION("""COMPUTED_VALUE"""),3698.45)</f>
        <v>3698.45</v>
      </c>
      <c r="F9" s="18">
        <f>IFERROR(__xludf.DUMMYFUNCTION("""COMPUTED_VALUE"""),0.11800889561843471)</f>
        <v>0.1180088956</v>
      </c>
      <c r="G9" s="16">
        <f>IFERROR(__xludf.DUMMYFUNCTION("""COMPUTED_VALUE"""),2333.55)</f>
        <v>2333.55</v>
      </c>
      <c r="H9" s="18">
        <f>IFERROR(__xludf.DUMMYFUNCTION("""COMPUTED_VALUE"""),0.39787019776735005)</f>
        <v>0.3978701978</v>
      </c>
      <c r="I9" s="16">
        <f>IFERROR(__xludf.DUMMYFUNCTION("""COMPUTED_VALUE"""),3292.65)</f>
        <v>3292.65</v>
      </c>
      <c r="J9" s="18">
        <f>IFERROR(__xludf.DUMMYFUNCTION("""COMPUTED_VALUE"""),-0.009308611604634592)</f>
        <v>-0.009308611605</v>
      </c>
      <c r="K9" s="16" t="str">
        <f>IFERROR(__xludf.DUMMYFUNCTION("""COMPUTED_VALUE"""),"Agrochemical")</f>
        <v>Agrochemical</v>
      </c>
      <c r="L9" s="16" t="str">
        <f>IFERROR(__xludf.DUMMYFUNCTION("""COMPUTED_VALUE"""),"PIIND")</f>
        <v>PIIND</v>
      </c>
      <c r="M9" s="16" t="str">
        <f>IFERROR(__xludf.DUMMYFUNCTION("""COMPUTED_VALUE"""),"No")</f>
        <v>No</v>
      </c>
      <c r="N9" s="16" t="str">
        <f>IFERROR(__xludf.DUMMYFUNCTION("""COMPUTED_VALUE"""),"No")</f>
        <v>No</v>
      </c>
      <c r="O9" s="16" t="str">
        <f>IFERROR(__xludf.DUMMYFUNCTION("""COMPUTED_VALUE"""),"Good Stock")</f>
        <v>Good Stock</v>
      </c>
      <c r="P9" s="16" t="str">
        <f>IFERROR(__xludf.DUMMYFUNCTION("""COMPUTED_VALUE"""),"Low Cap Stocks")</f>
        <v>Low Cap Stocks</v>
      </c>
      <c r="Q9" s="16"/>
      <c r="R9" s="16"/>
      <c r="S9" s="16"/>
      <c r="T9" s="16"/>
      <c r="U9" s="16"/>
      <c r="V9" s="16"/>
      <c r="W9" s="16"/>
      <c r="X9" s="16"/>
      <c r="Y9" s="16"/>
    </row>
    <row r="10">
      <c r="A10" s="16" t="str">
        <f>IFERROR(__xludf.DUMMYFUNCTION("""COMPUTED_VALUE"""),"TVS")</f>
        <v>TVS</v>
      </c>
      <c r="B10" s="17">
        <f>IFERROR(__xludf.DUMMYFUNCTION("""COMPUTED_VALUE"""),47610.86)</f>
        <v>47610.86</v>
      </c>
      <c r="C10" s="16">
        <f>IFERROR(__xludf.DUMMYFUNCTION("""COMPUTED_VALUE"""),999.5)</f>
        <v>999.5</v>
      </c>
      <c r="D10" s="16">
        <f>IFERROR(__xludf.DUMMYFUNCTION("""COMPUTED_VALUE"""),39.03)</f>
        <v>39.03</v>
      </c>
      <c r="E10" s="16">
        <f>IFERROR(__xludf.DUMMYFUNCTION("""COMPUTED_VALUE"""),1177.0)</f>
        <v>1177</v>
      </c>
      <c r="F10" s="18">
        <f>IFERROR(__xludf.DUMMYFUNCTION("""COMPUTED_VALUE"""),0.1508071367884452)</f>
        <v>0.1508071368</v>
      </c>
      <c r="G10" s="16">
        <f>IFERROR(__xludf.DUMMYFUNCTION("""COMPUTED_VALUE"""),513.0)</f>
        <v>513</v>
      </c>
      <c r="H10" s="18">
        <f>IFERROR(__xludf.DUMMYFUNCTION("""COMPUTED_VALUE"""),0.9483430799220273)</f>
        <v>0.9483430799</v>
      </c>
      <c r="I10" s="16">
        <f>IFERROR(__xludf.DUMMYFUNCTION("""COMPUTED_VALUE"""),1005.2)</f>
        <v>1005.2</v>
      </c>
      <c r="J10" s="18">
        <f>IFERROR(__xludf.DUMMYFUNCTION("""COMPUTED_VALUE"""),-0.005670513330680507)</f>
        <v>-0.005670513331</v>
      </c>
      <c r="K10" s="16" t="str">
        <f>IFERROR(__xludf.DUMMYFUNCTION("""COMPUTED_VALUE"""),"Automobile")</f>
        <v>Automobile</v>
      </c>
      <c r="L10" s="16" t="str">
        <f>IFERROR(__xludf.DUMMYFUNCTION("""COMPUTED_VALUE"""),"BOM:532343")</f>
        <v>BOM:532343</v>
      </c>
      <c r="M10" s="16" t="str">
        <f>IFERROR(__xludf.DUMMYFUNCTION("""COMPUTED_VALUE"""),"No")</f>
        <v>No</v>
      </c>
      <c r="N10" s="16" t="str">
        <f>IFERROR(__xludf.DUMMYFUNCTION("""COMPUTED_VALUE"""),"No")</f>
        <v>No</v>
      </c>
      <c r="O10" s="16" t="str">
        <f>IFERROR(__xludf.DUMMYFUNCTION("""COMPUTED_VALUE"""),"Good Stock")</f>
        <v>Good Stock</v>
      </c>
      <c r="P10" s="16" t="str">
        <f>IFERROR(__xludf.DUMMYFUNCTION("""COMPUTED_VALUE"""),"Low Cap Stocks")</f>
        <v>Low Cap Stocks</v>
      </c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16" t="str">
        <f>IFERROR(__xludf.DUMMYFUNCTION("""COMPUTED_VALUE"""),"Balkrishna Industries")</f>
        <v>Balkrishna Industries</v>
      </c>
      <c r="B11" s="17">
        <f>IFERROR(__xludf.DUMMYFUNCTION("""COMPUTED_VALUE"""),43195.8704177)</f>
        <v>43195.87042</v>
      </c>
      <c r="C11" s="16">
        <f>IFERROR(__xludf.DUMMYFUNCTION("""COMPUTED_VALUE"""),2229.0)</f>
        <v>2229</v>
      </c>
      <c r="D11" s="16">
        <f>IFERROR(__xludf.DUMMYFUNCTION("""COMPUTED_VALUE"""),30.72)</f>
        <v>30.72</v>
      </c>
      <c r="E11" s="16">
        <f>IFERROR(__xludf.DUMMYFUNCTION("""COMPUTED_VALUE"""),2537.45)</f>
        <v>2537.45</v>
      </c>
      <c r="F11" s="18">
        <f>IFERROR(__xludf.DUMMYFUNCTION("""COMPUTED_VALUE"""),0.12155904549843341)</f>
        <v>0.1215590455</v>
      </c>
      <c r="G11" s="16">
        <f>IFERROR(__xludf.DUMMYFUNCTION("""COMPUTED_VALUE"""),1690.55)</f>
        <v>1690.55</v>
      </c>
      <c r="H11" s="18">
        <f>IFERROR(__xludf.DUMMYFUNCTION("""COMPUTED_VALUE"""),0.31850581171807996)</f>
        <v>0.3185058117</v>
      </c>
      <c r="I11" s="16">
        <f>IFERROR(__xludf.DUMMYFUNCTION("""COMPUTED_VALUE"""),2214.25)</f>
        <v>2214.25</v>
      </c>
      <c r="J11" s="18">
        <f>IFERROR(__xludf.DUMMYFUNCTION("""COMPUTED_VALUE"""),0.0066613977644800725)</f>
        <v>0.006661397764</v>
      </c>
      <c r="K11" s="16" t="str">
        <f>IFERROR(__xludf.DUMMYFUNCTION("""COMPUTED_VALUE"""),"Tyre")</f>
        <v>Tyre</v>
      </c>
      <c r="L11" s="16" t="str">
        <f>IFERROR(__xludf.DUMMYFUNCTION("""COMPUTED_VALUE"""),"BALKRISIND")</f>
        <v>BALKRISIND</v>
      </c>
      <c r="M11" s="16" t="str">
        <f>IFERROR(__xludf.DUMMYFUNCTION("""COMPUTED_VALUE"""),"No")</f>
        <v>No</v>
      </c>
      <c r="N11" s="16" t="str">
        <f>IFERROR(__xludf.DUMMYFUNCTION("""COMPUTED_VALUE"""),"No")</f>
        <v>No</v>
      </c>
      <c r="O11" s="16" t="str">
        <f>IFERROR(__xludf.DUMMYFUNCTION("""COMPUTED_VALUE"""),"Good Stock")</f>
        <v>Good Stock</v>
      </c>
      <c r="P11" s="16" t="str">
        <f>IFERROR(__xludf.DUMMYFUNCTION("""COMPUTED_VALUE"""),"Low Cap Stocks")</f>
        <v>Low Cap Stocks</v>
      </c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6" t="str">
        <f>IFERROR(__xludf.DUMMYFUNCTION("""COMPUTED_VALUE"""),"Polycab")</f>
        <v>Polycab</v>
      </c>
      <c r="B12" s="17">
        <f>IFERROR(__xludf.DUMMYFUNCTION("""COMPUTED_VALUE"""),39945.4022299)</f>
        <v>39945.40223</v>
      </c>
      <c r="C12" s="16">
        <f>IFERROR(__xludf.DUMMYFUNCTION("""COMPUTED_VALUE"""),2662.0)</f>
        <v>2662</v>
      </c>
      <c r="D12" s="16">
        <f>IFERROR(__xludf.DUMMYFUNCTION("""COMPUTED_VALUE"""),35.5)</f>
        <v>35.5</v>
      </c>
      <c r="E12" s="16">
        <f>IFERROR(__xludf.DUMMYFUNCTION("""COMPUTED_VALUE"""),3025.0)</f>
        <v>3025</v>
      </c>
      <c r="F12" s="18">
        <f>IFERROR(__xludf.DUMMYFUNCTION("""COMPUTED_VALUE"""),0.12)</f>
        <v>0.12</v>
      </c>
      <c r="G12" s="16">
        <f>IFERROR(__xludf.DUMMYFUNCTION("""COMPUTED_VALUE"""),2043.85)</f>
        <v>2043.85</v>
      </c>
      <c r="H12" s="18">
        <f>IFERROR(__xludf.DUMMYFUNCTION("""COMPUTED_VALUE"""),0.3024439171172053)</f>
        <v>0.3024439171</v>
      </c>
      <c r="I12" s="16">
        <f>IFERROR(__xludf.DUMMYFUNCTION("""COMPUTED_VALUE"""),2677.05)</f>
        <v>2677.05</v>
      </c>
      <c r="J12" s="18">
        <f>IFERROR(__xludf.DUMMYFUNCTION("""COMPUTED_VALUE"""),-0.005621859883080324)</f>
        <v>-0.005621859883</v>
      </c>
      <c r="K12" s="16" t="str">
        <f>IFERROR(__xludf.DUMMYFUNCTION("""COMPUTED_VALUE"""),"Consumer Electrical")</f>
        <v>Consumer Electrical</v>
      </c>
      <c r="L12" s="16" t="str">
        <f>IFERROR(__xludf.DUMMYFUNCTION("""COMPUTED_VALUE"""),"POLYCAB")</f>
        <v>POLYCAB</v>
      </c>
      <c r="M12" s="16" t="str">
        <f>IFERROR(__xludf.DUMMYFUNCTION("""COMPUTED_VALUE"""),"No")</f>
        <v>No</v>
      </c>
      <c r="N12" s="16" t="str">
        <f>IFERROR(__xludf.DUMMYFUNCTION("""COMPUTED_VALUE"""),"No")</f>
        <v>No</v>
      </c>
      <c r="O12" s="16" t="str">
        <f>IFERROR(__xludf.DUMMYFUNCTION("""COMPUTED_VALUE"""),"Good Stock")</f>
        <v>Good Stock</v>
      </c>
      <c r="P12" s="16" t="str">
        <f>IFERROR(__xludf.DUMMYFUNCTION("""COMPUTED_VALUE"""),"Low Cap Stocks")</f>
        <v>Low Cap Stocks</v>
      </c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6" t="str">
        <f>IFERROR(__xludf.DUMMYFUNCTION("""COMPUTED_VALUE"""),"APL Apollo")</f>
        <v>APL Apollo</v>
      </c>
      <c r="B13" s="17">
        <f>IFERROR(__xludf.DUMMYFUNCTION("""COMPUTED_VALUE"""),31477.05)</f>
        <v>31477.05</v>
      </c>
      <c r="C13" s="16">
        <f>IFERROR(__xludf.DUMMYFUNCTION("""COMPUTED_VALUE"""),1136.0)</f>
        <v>1136</v>
      </c>
      <c r="D13" s="16">
        <f>IFERROR(__xludf.DUMMYFUNCTION("""COMPUTED_VALUE"""),54.9)</f>
        <v>54.9</v>
      </c>
      <c r="E13" s="16">
        <f>IFERROR(__xludf.DUMMYFUNCTION("""COMPUTED_VALUE"""),1193.85)</f>
        <v>1193.85</v>
      </c>
      <c r="F13" s="18">
        <f>IFERROR(__xludf.DUMMYFUNCTION("""COMPUTED_VALUE"""),0.04845667378648902)</f>
        <v>0.04845667379</v>
      </c>
      <c r="G13" s="16">
        <f>IFERROR(__xludf.DUMMYFUNCTION("""COMPUTED_VALUE"""),771.0)</f>
        <v>771</v>
      </c>
      <c r="H13" s="18">
        <f>IFERROR(__xludf.DUMMYFUNCTION("""COMPUTED_VALUE"""),0.47341115434500647)</f>
        <v>0.4734111543</v>
      </c>
      <c r="I13" s="16">
        <f>IFERROR(__xludf.DUMMYFUNCTION("""COMPUTED_VALUE"""),1127.95)</f>
        <v>1127.95</v>
      </c>
      <c r="J13" s="18">
        <f>IFERROR(__xludf.DUMMYFUNCTION("""COMPUTED_VALUE"""),0.007136841172037727)</f>
        <v>0.007136841172</v>
      </c>
      <c r="K13" s="16" t="str">
        <f>IFERROR(__xludf.DUMMYFUNCTION("""COMPUTED_VALUE"""),"Steel")</f>
        <v>Steel</v>
      </c>
      <c r="L13" s="16" t="str">
        <f>IFERROR(__xludf.DUMMYFUNCTION("""COMPUTED_VALUE"""),"BOM:533758")</f>
        <v>BOM:533758</v>
      </c>
      <c r="M13" s="16" t="str">
        <f>IFERROR(__xludf.DUMMYFUNCTION("""COMPUTED_VALUE"""),"No")</f>
        <v>No</v>
      </c>
      <c r="N13" s="16" t="str">
        <f>IFERROR(__xludf.DUMMYFUNCTION("""COMPUTED_VALUE"""),"No")</f>
        <v>No</v>
      </c>
      <c r="O13" s="16" t="str">
        <f>IFERROR(__xludf.DUMMYFUNCTION("""COMPUTED_VALUE"""),"Good Stock")</f>
        <v>Good Stock</v>
      </c>
      <c r="P13" s="16" t="str">
        <f>IFERROR(__xludf.DUMMYFUNCTION("""COMPUTED_VALUE"""),"Low Cap Stocks")</f>
        <v>Low Cap Stocks</v>
      </c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6" t="str">
        <f>IFERROR(__xludf.DUMMYFUNCTION("""COMPUTED_VALUE"""),"Supreme Industries")</f>
        <v>Supreme Industries</v>
      </c>
      <c r="B14" s="17">
        <f>IFERROR(__xludf.DUMMYFUNCTION("""COMPUTED_VALUE"""),31369.92)</f>
        <v>31369.92</v>
      </c>
      <c r="C14" s="16">
        <f>IFERROR(__xludf.DUMMYFUNCTION("""COMPUTED_VALUE"""),2461.0)</f>
        <v>2461</v>
      </c>
      <c r="D14" s="16">
        <f>IFERROR(__xludf.DUMMYFUNCTION("""COMPUTED_VALUE"""),36.12)</f>
        <v>36.12</v>
      </c>
      <c r="E14" s="16">
        <f>IFERROR(__xludf.DUMMYFUNCTION("""COMPUTED_VALUE"""),2607.65)</f>
        <v>2607.65</v>
      </c>
      <c r="F14" s="18">
        <f>IFERROR(__xludf.DUMMYFUNCTION("""COMPUTED_VALUE"""),0.05623837554886587)</f>
        <v>0.05623837555</v>
      </c>
      <c r="G14" s="16">
        <f>IFERROR(__xludf.DUMMYFUNCTION("""COMPUTED_VALUE"""),1666.25)</f>
        <v>1666.25</v>
      </c>
      <c r="H14" s="18">
        <f>IFERROR(__xludf.DUMMYFUNCTION("""COMPUTED_VALUE"""),0.47696924231057763)</f>
        <v>0.4769692423</v>
      </c>
      <c r="I14" s="16">
        <f>IFERROR(__xludf.DUMMYFUNCTION("""COMPUTED_VALUE"""),2452.7)</f>
        <v>2452.7</v>
      </c>
      <c r="J14" s="18">
        <f>IFERROR(__xludf.DUMMYFUNCTION("""COMPUTED_VALUE"""),0.003384025767521581)</f>
        <v>0.003384025768</v>
      </c>
      <c r="K14" s="16" t="str">
        <f>IFERROR(__xludf.DUMMYFUNCTION("""COMPUTED_VALUE"""),"Plastic")</f>
        <v>Plastic</v>
      </c>
      <c r="L14" s="16" t="str">
        <f>IFERROR(__xludf.DUMMYFUNCTION("""COMPUTED_VALUE"""),"SUPREMEIND")</f>
        <v>SUPREMEIND</v>
      </c>
      <c r="M14" s="16" t="str">
        <f>IFERROR(__xludf.DUMMYFUNCTION("""COMPUTED_VALUE"""),"No")</f>
        <v>No</v>
      </c>
      <c r="N14" s="16" t="str">
        <f>IFERROR(__xludf.DUMMYFUNCTION("""COMPUTED_VALUE"""),"No")</f>
        <v>No</v>
      </c>
      <c r="O14" s="16" t="str">
        <f>IFERROR(__xludf.DUMMYFUNCTION("""COMPUTED_VALUE"""),"Good Stock")</f>
        <v>Good Stock</v>
      </c>
      <c r="P14" s="16" t="str">
        <f>IFERROR(__xludf.DUMMYFUNCTION("""COMPUTED_VALUE"""),"Low Cap Stocks")</f>
        <v>Low Cap Stocks</v>
      </c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6" t="str">
        <f>IFERROR(__xludf.DUMMYFUNCTION("""COMPUTED_VALUE"""),"Sumitomo Chemicals")</f>
        <v>Sumitomo Chemicals</v>
      </c>
      <c r="B15" s="17">
        <f>IFERROR(__xludf.DUMMYFUNCTION("""COMPUTED_VALUE"""),24637.83)</f>
        <v>24637.83</v>
      </c>
      <c r="C15" s="16">
        <f>IFERROR(__xludf.DUMMYFUNCTION("""COMPUTED_VALUE"""),493.2)</f>
        <v>493.2</v>
      </c>
      <c r="D15" s="16">
        <f>IFERROR(__xludf.DUMMYFUNCTION("""COMPUTED_VALUE"""),48.9)</f>
        <v>48.9</v>
      </c>
      <c r="E15" s="16">
        <f>IFERROR(__xludf.DUMMYFUNCTION("""COMPUTED_VALUE"""),540.8)</f>
        <v>540.8</v>
      </c>
      <c r="F15" s="18">
        <f>IFERROR(__xludf.DUMMYFUNCTION("""COMPUTED_VALUE"""),0.08801775147928989)</f>
        <v>0.08801775148</v>
      </c>
      <c r="G15" s="16">
        <f>IFERROR(__xludf.DUMMYFUNCTION("""COMPUTED_VALUE"""),351.5)</f>
        <v>351.5</v>
      </c>
      <c r="H15" s="18">
        <f>IFERROR(__xludf.DUMMYFUNCTION("""COMPUTED_VALUE"""),0.40312944523470834)</f>
        <v>0.4031294452</v>
      </c>
      <c r="I15" s="16">
        <f>IFERROR(__xludf.DUMMYFUNCTION("""COMPUTED_VALUE"""),487.95)</f>
        <v>487.95</v>
      </c>
      <c r="J15" s="18">
        <f>IFERROR(__xludf.DUMMYFUNCTION("""COMPUTED_VALUE"""),0.010759299108515218)</f>
        <v>0.01075929911</v>
      </c>
      <c r="K15" s="16" t="str">
        <f>IFERROR(__xludf.DUMMYFUNCTION("""COMPUTED_VALUE"""),"Agrochemical")</f>
        <v>Agrochemical</v>
      </c>
      <c r="L15" s="16" t="str">
        <f>IFERROR(__xludf.DUMMYFUNCTION("""COMPUTED_VALUE"""),"SUMICHEM")</f>
        <v>SUMICHEM</v>
      </c>
      <c r="M15" s="16" t="str">
        <f>IFERROR(__xludf.DUMMYFUNCTION("""COMPUTED_VALUE"""),"No")</f>
        <v>No</v>
      </c>
      <c r="N15" s="16" t="str">
        <f>IFERROR(__xludf.DUMMYFUNCTION("""COMPUTED_VALUE"""),"No")</f>
        <v>No</v>
      </c>
      <c r="O15" s="16" t="str">
        <f>IFERROR(__xludf.DUMMYFUNCTION("""COMPUTED_VALUE"""),"Good Stock")</f>
        <v>Good Stock</v>
      </c>
      <c r="P15" s="16" t="str">
        <f>IFERROR(__xludf.DUMMYFUNCTION("""COMPUTED_VALUE"""),"Low Cap Stocks")</f>
        <v>Low Cap Stocks</v>
      </c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 t="str">
        <f>IFERROR(__xludf.DUMMYFUNCTION("""COMPUTED_VALUE"""),"LIC Housing Finance")</f>
        <v>LIC Housing Finance</v>
      </c>
      <c r="B16" s="17">
        <f>IFERROR(__xludf.DUMMYFUNCTION("""COMPUTED_VALUE"""),22159.2659823)</f>
        <v>22159.26598</v>
      </c>
      <c r="C16" s="16">
        <f>IFERROR(__xludf.DUMMYFUNCTION("""COMPUTED_VALUE"""),402.9)</f>
        <v>402.9</v>
      </c>
      <c r="D16" s="16">
        <f>IFERROR(__xludf.DUMMYFUNCTION("""COMPUTED_VALUE"""),6.85)</f>
        <v>6.85</v>
      </c>
      <c r="E16" s="16">
        <f>IFERROR(__xludf.DUMMYFUNCTION("""COMPUTED_VALUE"""),443.5)</f>
        <v>443.5</v>
      </c>
      <c r="F16" s="18">
        <f>IFERROR(__xludf.DUMMYFUNCTION("""COMPUTED_VALUE"""),0.09154453213077796)</f>
        <v>0.09154453213</v>
      </c>
      <c r="G16" s="16">
        <f>IFERROR(__xludf.DUMMYFUNCTION("""COMPUTED_VALUE"""),291.75)</f>
        <v>291.75</v>
      </c>
      <c r="H16" s="18">
        <f>IFERROR(__xludf.DUMMYFUNCTION("""COMPUTED_VALUE"""),0.38097686375321327)</f>
        <v>0.3809768638</v>
      </c>
      <c r="I16" s="16">
        <f>IFERROR(__xludf.DUMMYFUNCTION("""COMPUTED_VALUE"""),400.2)</f>
        <v>400.2</v>
      </c>
      <c r="J16" s="18">
        <f>IFERROR(__xludf.DUMMYFUNCTION("""COMPUTED_VALUE"""),0.006746626686656643)</f>
        <v>0.006746626687</v>
      </c>
      <c r="K16" s="16" t="str">
        <f>IFERROR(__xludf.DUMMYFUNCTION("""COMPUTED_VALUE"""),"NBFC")</f>
        <v>NBFC</v>
      </c>
      <c r="L16" s="16" t="str">
        <f>IFERROR(__xludf.DUMMYFUNCTION("""COMPUTED_VALUE"""),"BOM:500253")</f>
        <v>BOM:500253</v>
      </c>
      <c r="M16" s="16" t="str">
        <f>IFERROR(__xludf.DUMMYFUNCTION("""COMPUTED_VALUE"""),"No")</f>
        <v>No</v>
      </c>
      <c r="N16" s="16" t="str">
        <f>IFERROR(__xludf.DUMMYFUNCTION("""COMPUTED_VALUE"""),"No")</f>
        <v>No</v>
      </c>
      <c r="O16" s="16" t="str">
        <f>IFERROR(__xludf.DUMMYFUNCTION("""COMPUTED_VALUE"""),"Good Stock")</f>
        <v>Good Stock</v>
      </c>
      <c r="P16" s="16" t="str">
        <f>IFERROR(__xludf.DUMMYFUNCTION("""COMPUTED_VALUE"""),"Low Cap Stocks")</f>
        <v>Low Cap Stocks</v>
      </c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 t="str">
        <f>IFERROR(__xludf.DUMMYFUNCTION("""COMPUTED_VALUE"""),"Endurance Technology")</f>
        <v>Endurance Technology</v>
      </c>
      <c r="B17" s="17">
        <f>IFERROR(__xludf.DUMMYFUNCTION("""COMPUTED_VALUE"""),19679.44)</f>
        <v>19679.44</v>
      </c>
      <c r="C17" s="16">
        <f>IFERROR(__xludf.DUMMYFUNCTION("""COMPUTED_VALUE"""),1398.5)</f>
        <v>1398.5</v>
      </c>
      <c r="D17" s="16">
        <f>IFERROR(__xludf.DUMMYFUNCTION("""COMPUTED_VALUE"""),42.23)</f>
        <v>42.23</v>
      </c>
      <c r="E17" s="16">
        <f>IFERROR(__xludf.DUMMYFUNCTION("""COMPUTED_VALUE"""),1736.15)</f>
        <v>1736.15</v>
      </c>
      <c r="F17" s="18">
        <f>IFERROR(__xludf.DUMMYFUNCTION("""COMPUTED_VALUE"""),0.19448204360222335)</f>
        <v>0.1944820436</v>
      </c>
      <c r="G17" s="16">
        <f>IFERROR(__xludf.DUMMYFUNCTION("""COMPUTED_VALUE"""),1047.2)</f>
        <v>1047.2</v>
      </c>
      <c r="H17" s="18">
        <f>IFERROR(__xludf.DUMMYFUNCTION("""COMPUTED_VALUE"""),0.3354660045836516)</f>
        <v>0.3354660046</v>
      </c>
      <c r="I17" s="16">
        <f>IFERROR(__xludf.DUMMYFUNCTION("""COMPUTED_VALUE"""),1401.15)</f>
        <v>1401.15</v>
      </c>
      <c r="J17" s="18">
        <f>IFERROR(__xludf.DUMMYFUNCTION("""COMPUTED_VALUE"""),-0.001891303572065868)</f>
        <v>-0.001891303572</v>
      </c>
      <c r="K17" s="16" t="str">
        <f>IFERROR(__xludf.DUMMYFUNCTION("""COMPUTED_VALUE"""),"Automobile Ancilliary")</f>
        <v>Automobile Ancilliary</v>
      </c>
      <c r="L17" s="16" t="str">
        <f>IFERROR(__xludf.DUMMYFUNCTION("""COMPUTED_VALUE"""),"ENDURANCE")</f>
        <v>ENDURANCE</v>
      </c>
      <c r="M17" s="16" t="str">
        <f>IFERROR(__xludf.DUMMYFUNCTION("""COMPUTED_VALUE"""),"No")</f>
        <v>No</v>
      </c>
      <c r="N17" s="16" t="str">
        <f>IFERROR(__xludf.DUMMYFUNCTION("""COMPUTED_VALUE"""),"No")</f>
        <v>No</v>
      </c>
      <c r="O17" s="16" t="str">
        <f>IFERROR(__xludf.DUMMYFUNCTION("""COMPUTED_VALUE"""),"Good Stock")</f>
        <v>Good Stock</v>
      </c>
      <c r="P17" s="16" t="str">
        <f>IFERROR(__xludf.DUMMYFUNCTION("""COMPUTED_VALUE"""),"Low Cap Stocks")</f>
        <v>Low Cap Stocks</v>
      </c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 t="str">
        <f>IFERROR(__xludf.DUMMYFUNCTION("""COMPUTED_VALUE"""),"KPIT")</f>
        <v>KPIT</v>
      </c>
      <c r="B18" s="17">
        <f>IFERROR(__xludf.DUMMYFUNCTION("""COMPUTED_VALUE"""),18827.9516699)</f>
        <v>18827.95167</v>
      </c>
      <c r="C18" s="16">
        <f>IFERROR(__xludf.DUMMYFUNCTION("""COMPUTED_VALUE"""),696.3)</f>
        <v>696.3</v>
      </c>
      <c r="D18" s="16">
        <f>IFERROR(__xludf.DUMMYFUNCTION("""COMPUTED_VALUE"""),59.82)</f>
        <v>59.82</v>
      </c>
      <c r="E18" s="16">
        <f>IFERROR(__xludf.DUMMYFUNCTION("""COMPUTED_VALUE"""),764.25)</f>
        <v>764.25</v>
      </c>
      <c r="F18" s="18">
        <f>IFERROR(__xludf.DUMMYFUNCTION("""COMPUTED_VALUE"""),0.08891069676153097)</f>
        <v>0.08891069676</v>
      </c>
      <c r="G18" s="16">
        <f>IFERROR(__xludf.DUMMYFUNCTION("""COMPUTED_VALUE"""),440.0)</f>
        <v>440</v>
      </c>
      <c r="H18" s="18">
        <f>IFERROR(__xludf.DUMMYFUNCTION("""COMPUTED_VALUE"""),0.5824999999999999)</f>
        <v>0.5825</v>
      </c>
      <c r="I18" s="16">
        <f>IFERROR(__xludf.DUMMYFUNCTION("""COMPUTED_VALUE"""),692.45)</f>
        <v>692.45</v>
      </c>
      <c r="J18" s="18">
        <f>IFERROR(__xludf.DUMMYFUNCTION("""COMPUTED_VALUE"""),0.005559968228752847)</f>
        <v>0.005559968229</v>
      </c>
      <c r="K18" s="16" t="str">
        <f>IFERROR(__xludf.DUMMYFUNCTION("""COMPUTED_VALUE"""),"IT")</f>
        <v>IT</v>
      </c>
      <c r="L18" s="16" t="str">
        <f>IFERROR(__xludf.DUMMYFUNCTION("""COMPUTED_VALUE"""),"BOM:542651")</f>
        <v>BOM:542651</v>
      </c>
      <c r="M18" s="16" t="str">
        <f>IFERROR(__xludf.DUMMYFUNCTION("""COMPUTED_VALUE"""),"No")</f>
        <v>No</v>
      </c>
      <c r="N18" s="16" t="str">
        <f>IFERROR(__xludf.DUMMYFUNCTION("""COMPUTED_VALUE"""),"No")</f>
        <v>No</v>
      </c>
      <c r="O18" s="16" t="str">
        <f>IFERROR(__xludf.DUMMYFUNCTION("""COMPUTED_VALUE"""),"Good Stock")</f>
        <v>Good Stock</v>
      </c>
      <c r="P18" s="16" t="str">
        <f>IFERROR(__xludf.DUMMYFUNCTION("""COMPUTED_VALUE"""),"Low Cap Stocks")</f>
        <v>Low Cap Stocks</v>
      </c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6" t="str">
        <f>IFERROR(__xludf.DUMMYFUNCTION("""COMPUTED_VALUE"""),"Fine Organics")</f>
        <v>Fine Organics</v>
      </c>
      <c r="B19" s="17">
        <f>IFERROR(__xludf.DUMMYFUNCTION("""COMPUTED_VALUE"""),17277.2)</f>
        <v>17277.2</v>
      </c>
      <c r="C19" s="16">
        <f>IFERROR(__xludf.DUMMYFUNCTION("""COMPUTED_VALUE"""),5630.0)</f>
        <v>5630</v>
      </c>
      <c r="D19" s="16">
        <f>IFERROR(__xludf.DUMMYFUNCTION("""COMPUTED_VALUE"""),32.19)</f>
        <v>32.19</v>
      </c>
      <c r="E19" s="16">
        <f>IFERROR(__xludf.DUMMYFUNCTION("""COMPUTED_VALUE"""),7328.75)</f>
        <v>7328.75</v>
      </c>
      <c r="F19" s="18">
        <f>IFERROR(__xludf.DUMMYFUNCTION("""COMPUTED_VALUE"""),0.23179259764625618)</f>
        <v>0.2317925976</v>
      </c>
      <c r="G19" s="16">
        <f>IFERROR(__xludf.DUMMYFUNCTION("""COMPUTED_VALUE"""),3457.1)</f>
        <v>3457.1</v>
      </c>
      <c r="H19" s="18">
        <f>IFERROR(__xludf.DUMMYFUNCTION("""COMPUTED_VALUE"""),0.6285325851146916)</f>
        <v>0.6285325851</v>
      </c>
      <c r="I19" s="16">
        <f>IFERROR(__xludf.DUMMYFUNCTION("""COMPUTED_VALUE"""),5672.25)</f>
        <v>5672.25</v>
      </c>
      <c r="J19" s="18">
        <f>IFERROR(__xludf.DUMMYFUNCTION("""COMPUTED_VALUE"""),-0.0074485433469963416)</f>
        <v>-0.007448543347</v>
      </c>
      <c r="K19" s="16" t="str">
        <f>IFERROR(__xludf.DUMMYFUNCTION("""COMPUTED_VALUE"""),"Chemical")</f>
        <v>Chemical</v>
      </c>
      <c r="L19" s="16" t="str">
        <f>IFERROR(__xludf.DUMMYFUNCTION("""COMPUTED_VALUE"""),"FINEORG")</f>
        <v>FINEORG</v>
      </c>
      <c r="M19" s="16" t="str">
        <f>IFERROR(__xludf.DUMMYFUNCTION("""COMPUTED_VALUE"""),"No")</f>
        <v>No</v>
      </c>
      <c r="N19" s="16" t="str">
        <f>IFERROR(__xludf.DUMMYFUNCTION("""COMPUTED_VALUE"""),"No")</f>
        <v>No</v>
      </c>
      <c r="O19" s="16" t="str">
        <f>IFERROR(__xludf.DUMMYFUNCTION("""COMPUTED_VALUE"""),"Good Stock")</f>
        <v>Good Stock</v>
      </c>
      <c r="P19" s="16" t="str">
        <f>IFERROR(__xludf.DUMMYFUNCTION("""COMPUTED_VALUE"""),"Low Cap Stocks")</f>
        <v>Low Cap Stocks</v>
      </c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6" t="str">
        <f>IFERROR(__xludf.DUMMYFUNCTION("""COMPUTED_VALUE"""),"Exide Battery")</f>
        <v>Exide Battery</v>
      </c>
      <c r="B20" s="17">
        <f>IFERROR(__xludf.DUMMYFUNCTION("""COMPUTED_VALUE"""),15554.9906858)</f>
        <v>15554.99069</v>
      </c>
      <c r="C20" s="16">
        <f>IFERROR(__xludf.DUMMYFUNCTION("""COMPUTED_VALUE"""),182.85)</f>
        <v>182.85</v>
      </c>
      <c r="D20" s="16">
        <f>IFERROR(__xludf.DUMMYFUNCTION("""COMPUTED_VALUE"""),3.39)</f>
        <v>3.39</v>
      </c>
      <c r="E20" s="16">
        <f>IFERROR(__xludf.DUMMYFUNCTION("""COMPUTED_VALUE"""),194.2)</f>
        <v>194.2</v>
      </c>
      <c r="F20" s="18">
        <f>IFERROR(__xludf.DUMMYFUNCTION("""COMPUTED_VALUE"""),0.05844490216271882)</f>
        <v>0.05844490216</v>
      </c>
      <c r="G20" s="16">
        <f>IFERROR(__xludf.DUMMYFUNCTION("""COMPUTED_VALUE"""),130.25)</f>
        <v>130.25</v>
      </c>
      <c r="H20" s="18">
        <f>IFERROR(__xludf.DUMMYFUNCTION("""COMPUTED_VALUE"""),0.4038387715930902)</f>
        <v>0.4038387716</v>
      </c>
      <c r="I20" s="16">
        <f>IFERROR(__xludf.DUMMYFUNCTION("""COMPUTED_VALUE"""),182.65)</f>
        <v>182.65</v>
      </c>
      <c r="J20" s="18">
        <f>IFERROR(__xludf.DUMMYFUNCTION("""COMPUTED_VALUE"""),0.001094990418833773)</f>
        <v>0.001094990419</v>
      </c>
      <c r="K20" s="16" t="str">
        <f>IFERROR(__xludf.DUMMYFUNCTION("""COMPUTED_VALUE"""),"Automobile Ancilliary")</f>
        <v>Automobile Ancilliary</v>
      </c>
      <c r="L20" s="16" t="str">
        <f>IFERROR(__xludf.DUMMYFUNCTION("""COMPUTED_VALUE"""),"EXIDEIND")</f>
        <v>EXIDEIND</v>
      </c>
      <c r="M20" s="16" t="str">
        <f>IFERROR(__xludf.DUMMYFUNCTION("""COMPUTED_VALUE"""),"No")</f>
        <v>No</v>
      </c>
      <c r="N20" s="16" t="str">
        <f>IFERROR(__xludf.DUMMYFUNCTION("""COMPUTED_VALUE"""),"No")</f>
        <v>No</v>
      </c>
      <c r="O20" s="16" t="str">
        <f>IFERROR(__xludf.DUMMYFUNCTION("""COMPUTED_VALUE"""),"Good Stock")</f>
        <v>Good Stock</v>
      </c>
      <c r="P20" s="16" t="str">
        <f>IFERROR(__xludf.DUMMYFUNCTION("""COMPUTED_VALUE"""),"Low Cap Stocks")</f>
        <v>Low Cap Stocks</v>
      </c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6" t="str">
        <f>IFERROR(__xludf.DUMMYFUNCTION("""COMPUTED_VALUE"""),"KEI Industries")</f>
        <v>KEI Industries</v>
      </c>
      <c r="B21" s="17">
        <f>IFERROR(__xludf.DUMMYFUNCTION("""COMPUTED_VALUE"""),12966.0743501)</f>
        <v>12966.07435</v>
      </c>
      <c r="C21" s="16">
        <f>IFERROR(__xludf.DUMMYFUNCTION("""COMPUTED_VALUE"""),1436.05)</f>
        <v>1436.05</v>
      </c>
      <c r="D21" s="16">
        <f>IFERROR(__xludf.DUMMYFUNCTION("""COMPUTED_VALUE"""),30.59)</f>
        <v>30.59</v>
      </c>
      <c r="E21" s="16">
        <f>IFERROR(__xludf.DUMMYFUNCTION("""COMPUTED_VALUE"""),1662.45)</f>
        <v>1662.45</v>
      </c>
      <c r="F21" s="18">
        <f>IFERROR(__xludf.DUMMYFUNCTION("""COMPUTED_VALUE"""),0.13618454690366633)</f>
        <v>0.1361845469</v>
      </c>
      <c r="G21" s="16">
        <f>IFERROR(__xludf.DUMMYFUNCTION("""COMPUTED_VALUE"""),905.2)</f>
        <v>905.2</v>
      </c>
      <c r="H21" s="18">
        <f>IFERROR(__xludf.DUMMYFUNCTION("""COMPUTED_VALUE"""),0.5864449845338046)</f>
        <v>0.5864449845</v>
      </c>
      <c r="I21" s="16">
        <f>IFERROR(__xludf.DUMMYFUNCTION("""COMPUTED_VALUE"""),1435.2)</f>
        <v>1435.2</v>
      </c>
      <c r="J21" s="18">
        <f>IFERROR(__xludf.DUMMYFUNCTION("""COMPUTED_VALUE"""),5.922519509475397E-4)</f>
        <v>0.0005922519509</v>
      </c>
      <c r="K21" s="16" t="str">
        <f>IFERROR(__xludf.DUMMYFUNCTION("""COMPUTED_VALUE"""),"Consumer Electrical")</f>
        <v>Consumer Electrical</v>
      </c>
      <c r="L21" s="16" t="str">
        <f>IFERROR(__xludf.DUMMYFUNCTION("""COMPUTED_VALUE"""),"BOM:517569")</f>
        <v>BOM:517569</v>
      </c>
      <c r="M21" s="16" t="str">
        <f>IFERROR(__xludf.DUMMYFUNCTION("""COMPUTED_VALUE"""),"No")</f>
        <v>No</v>
      </c>
      <c r="N21" s="16" t="str">
        <f>IFERROR(__xludf.DUMMYFUNCTION("""COMPUTED_VALUE"""),"No")</f>
        <v>No</v>
      </c>
      <c r="O21" s="16" t="str">
        <f>IFERROR(__xludf.DUMMYFUNCTION("""COMPUTED_VALUE"""),"Good Stock")</f>
        <v>Good Stock</v>
      </c>
      <c r="P21" s="16" t="str">
        <f>IFERROR(__xludf.DUMMYFUNCTION("""COMPUTED_VALUE"""),"Low Cap Stocks")</f>
        <v>Low Cap Stocks</v>
      </c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6" t="str">
        <f>IFERROR(__xludf.DUMMYFUNCTION("""COMPUTED_VALUE"""),"Finolex Industries")</f>
        <v>Finolex Industries</v>
      </c>
      <c r="B22" s="17">
        <f>IFERROR(__xludf.DUMMYFUNCTION("""COMPUTED_VALUE"""),10644.74)</f>
        <v>10644.74</v>
      </c>
      <c r="C22" s="16">
        <f>IFERROR(__xludf.DUMMYFUNCTION("""COMPUTED_VALUE"""),173.0)</f>
        <v>173</v>
      </c>
      <c r="D22" s="16">
        <f>IFERROR(__xludf.DUMMYFUNCTION("""COMPUTED_VALUE"""),15.85)</f>
        <v>15.85</v>
      </c>
      <c r="E22" s="16">
        <f>IFERROR(__xludf.DUMMYFUNCTION("""COMPUTED_VALUE"""),204.5)</f>
        <v>204.5</v>
      </c>
      <c r="F22" s="18">
        <f>IFERROR(__xludf.DUMMYFUNCTION("""COMPUTED_VALUE"""),0.15403422982885084)</f>
        <v>0.1540342298</v>
      </c>
      <c r="G22" s="16">
        <f>IFERROR(__xludf.DUMMYFUNCTION("""COMPUTED_VALUE"""),128.0)</f>
        <v>128</v>
      </c>
      <c r="H22" s="18">
        <f>IFERROR(__xludf.DUMMYFUNCTION("""COMPUTED_VALUE"""),0.3515625)</f>
        <v>0.3515625</v>
      </c>
      <c r="I22" s="16">
        <f>IFERROR(__xludf.DUMMYFUNCTION("""COMPUTED_VALUE"""),170.9)</f>
        <v>170.9</v>
      </c>
      <c r="J22" s="18">
        <f>IFERROR(__xludf.DUMMYFUNCTION("""COMPUTED_VALUE"""),0.012287887653598561)</f>
        <v>0.01228788765</v>
      </c>
      <c r="K22" s="16" t="str">
        <f>IFERROR(__xludf.DUMMYFUNCTION("""COMPUTED_VALUE"""),"Piping")</f>
        <v>Piping</v>
      </c>
      <c r="L22" s="16" t="str">
        <f>IFERROR(__xludf.DUMMYFUNCTION("""COMPUTED_VALUE"""),"BOM:500940")</f>
        <v>BOM:500940</v>
      </c>
      <c r="M22" s="16" t="str">
        <f>IFERROR(__xludf.DUMMYFUNCTION("""COMPUTED_VALUE"""),"No")</f>
        <v>No</v>
      </c>
      <c r="N22" s="16" t="str">
        <f>IFERROR(__xludf.DUMMYFUNCTION("""COMPUTED_VALUE"""),"No")</f>
        <v>No</v>
      </c>
      <c r="O22" s="16" t="str">
        <f>IFERROR(__xludf.DUMMYFUNCTION("""COMPUTED_VALUE"""),"Good Stock")</f>
        <v>Good Stock</v>
      </c>
      <c r="P22" s="16" t="str">
        <f>IFERROR(__xludf.DUMMYFUNCTION("""COMPUTED_VALUE"""),"Low Cap Stocks")</f>
        <v>Low Cap Stocks</v>
      </c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6" t="str">
        <f>IFERROR(__xludf.DUMMYFUNCTION("""COMPUTED_VALUE"""),"UTI AMC")</f>
        <v>UTI AMC</v>
      </c>
      <c r="B23" s="17">
        <f>IFERROR(__xludf.DUMMYFUNCTION("""COMPUTED_VALUE"""),10284.2865)</f>
        <v>10284.2865</v>
      </c>
      <c r="C23" s="16">
        <f>IFERROR(__xludf.DUMMYFUNCTION("""COMPUTED_VALUE"""),807.2)</f>
        <v>807.2</v>
      </c>
      <c r="D23" s="16">
        <f>IFERROR(__xludf.DUMMYFUNCTION("""COMPUTED_VALUE"""),21.59)</f>
        <v>21.59</v>
      </c>
      <c r="E23" s="16">
        <f>IFERROR(__xludf.DUMMYFUNCTION("""COMPUTED_VALUE"""),1096.05)</f>
        <v>1096.05</v>
      </c>
      <c r="F23" s="18">
        <f>IFERROR(__xludf.DUMMYFUNCTION("""COMPUTED_VALUE"""),0.263537247388349)</f>
        <v>0.2635372474</v>
      </c>
      <c r="G23" s="16">
        <f>IFERROR(__xludf.DUMMYFUNCTION("""COMPUTED_VALUE"""),595.0)</f>
        <v>595</v>
      </c>
      <c r="H23" s="18">
        <f>IFERROR(__xludf.DUMMYFUNCTION("""COMPUTED_VALUE"""),0.35663865546218493)</f>
        <v>0.3566386555</v>
      </c>
      <c r="I23" s="16">
        <f>IFERROR(__xludf.DUMMYFUNCTION("""COMPUTED_VALUE"""),812.9)</f>
        <v>812.9</v>
      </c>
      <c r="J23" s="18">
        <f>IFERROR(__xludf.DUMMYFUNCTION("""COMPUTED_VALUE"""),-0.007011932587033992)</f>
        <v>-0.007011932587</v>
      </c>
      <c r="K23" s="16" t="str">
        <f>IFERROR(__xludf.DUMMYFUNCTION("""COMPUTED_VALUE"""),"AMC")</f>
        <v>AMC</v>
      </c>
      <c r="L23" s="16" t="str">
        <f>IFERROR(__xludf.DUMMYFUNCTION("""COMPUTED_VALUE"""),"BOM:543238")</f>
        <v>BOM:543238</v>
      </c>
      <c r="M23" s="16" t="str">
        <f>IFERROR(__xludf.DUMMYFUNCTION("""COMPUTED_VALUE"""),"No")</f>
        <v>No</v>
      </c>
      <c r="N23" s="16" t="str">
        <f>IFERROR(__xludf.DUMMYFUNCTION("""COMPUTED_VALUE"""),"No")</f>
        <v>No</v>
      </c>
      <c r="O23" s="16" t="str">
        <f>IFERROR(__xludf.DUMMYFUNCTION("""COMPUTED_VALUE"""),"Good Stock")</f>
        <v>Good Stock</v>
      </c>
      <c r="P23" s="16" t="str">
        <f>IFERROR(__xludf.DUMMYFUNCTION("""COMPUTED_VALUE"""),"Low Cap Stocks")</f>
        <v>Low Cap Stocks</v>
      </c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 t="str">
        <f>IFERROR(__xludf.DUMMYFUNCTION("""COMPUTED_VALUE"""),"HFCL")</f>
        <v>HFCL</v>
      </c>
      <c r="B24" s="17">
        <f>IFERROR(__xludf.DUMMYFUNCTION("""COMPUTED_VALUE"""),10126.79307)</f>
        <v>10126.79307</v>
      </c>
      <c r="C24" s="16">
        <f>IFERROR(__xludf.DUMMYFUNCTION("""COMPUTED_VALUE"""),73.6)</f>
        <v>73.6</v>
      </c>
      <c r="D24" s="16">
        <f>IFERROR(__xludf.DUMMYFUNCTION("""COMPUTED_VALUE"""),36.15)</f>
        <v>36.15</v>
      </c>
      <c r="E24" s="16">
        <f>IFERROR(__xludf.DUMMYFUNCTION("""COMPUTED_VALUE"""),101.35)</f>
        <v>101.35</v>
      </c>
      <c r="F24" s="18">
        <f>IFERROR(__xludf.DUMMYFUNCTION("""COMPUTED_VALUE"""),0.2738036507153429)</f>
        <v>0.2738036507</v>
      </c>
      <c r="G24" s="16">
        <f>IFERROR(__xludf.DUMMYFUNCTION("""COMPUTED_VALUE"""),51.55)</f>
        <v>51.55</v>
      </c>
      <c r="H24" s="18">
        <f>IFERROR(__xludf.DUMMYFUNCTION("""COMPUTED_VALUE"""),0.42774005819592625)</f>
        <v>0.4277400582</v>
      </c>
      <c r="I24" s="16">
        <f>IFERROR(__xludf.DUMMYFUNCTION("""COMPUTED_VALUE"""),72.4)</f>
        <v>72.4</v>
      </c>
      <c r="J24" s="18">
        <f>IFERROR(__xludf.DUMMYFUNCTION("""COMPUTED_VALUE"""),0.01657458563535896)</f>
        <v>0.01657458564</v>
      </c>
      <c r="K24" s="16" t="str">
        <f>IFERROR(__xludf.DUMMYFUNCTION("""COMPUTED_VALUE"""),"Telecom")</f>
        <v>Telecom</v>
      </c>
      <c r="L24" s="16" t="str">
        <f>IFERROR(__xludf.DUMMYFUNCTION("""COMPUTED_VALUE"""),"BOM:500183")</f>
        <v>BOM:500183</v>
      </c>
      <c r="M24" s="16" t="str">
        <f>IFERROR(__xludf.DUMMYFUNCTION("""COMPUTED_VALUE"""),"No")</f>
        <v>No</v>
      </c>
      <c r="N24" s="16" t="str">
        <f>IFERROR(__xludf.DUMMYFUNCTION("""COMPUTED_VALUE"""),"No")</f>
        <v>No</v>
      </c>
      <c r="O24" s="16" t="str">
        <f>IFERROR(__xludf.DUMMYFUNCTION("""COMPUTED_VALUE"""),"Good Stock")</f>
        <v>Good Stock</v>
      </c>
      <c r="P24" s="16" t="str">
        <f>IFERROR(__xludf.DUMMYFUNCTION("""COMPUTED_VALUE"""),"Low Cap Stocks")</f>
        <v>Low Cap Stocks</v>
      </c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 t="str">
        <f>IFERROR(__xludf.DUMMYFUNCTION("""COMPUTED_VALUE"""),"Amara Raja Batter")</f>
        <v>Amara Raja Batter</v>
      </c>
      <c r="B25" s="17">
        <f>IFERROR(__xludf.DUMMYFUNCTION("""COMPUTED_VALUE"""),9847.33486)</f>
        <v>9847.33486</v>
      </c>
      <c r="C25" s="16">
        <f>IFERROR(__xludf.DUMMYFUNCTION("""COMPUTED_VALUE"""),576.5)</f>
        <v>576.5</v>
      </c>
      <c r="D25" s="16">
        <f>IFERROR(__xludf.DUMMYFUNCTION("""COMPUTED_VALUE"""),17.05)</f>
        <v>17.05</v>
      </c>
      <c r="E25" s="16">
        <f>IFERROR(__xludf.DUMMYFUNCTION("""COMPUTED_VALUE"""),668.15)</f>
        <v>668.15</v>
      </c>
      <c r="F25" s="18">
        <f>IFERROR(__xludf.DUMMYFUNCTION("""COMPUTED_VALUE"""),0.13716979720122724)</f>
        <v>0.1371697972</v>
      </c>
      <c r="G25" s="16">
        <f>IFERROR(__xludf.DUMMYFUNCTION("""COMPUTED_VALUE"""),438.05)</f>
        <v>438.05</v>
      </c>
      <c r="H25" s="18">
        <f>IFERROR(__xludf.DUMMYFUNCTION("""COMPUTED_VALUE"""),0.31605981052391274)</f>
        <v>0.3160598105</v>
      </c>
      <c r="I25" s="16">
        <f>IFERROR(__xludf.DUMMYFUNCTION("""COMPUTED_VALUE"""),590.95)</f>
        <v>590.95</v>
      </c>
      <c r="J25" s="18">
        <f>IFERROR(__xludf.DUMMYFUNCTION("""COMPUTED_VALUE"""),-0.02445215331246306)</f>
        <v>-0.02445215331</v>
      </c>
      <c r="K25" s="16" t="str">
        <f>IFERROR(__xludf.DUMMYFUNCTION("""COMPUTED_VALUE"""),"Automobile Ancilliary")</f>
        <v>Automobile Ancilliary</v>
      </c>
      <c r="L25" s="16" t="str">
        <f>IFERROR(__xludf.DUMMYFUNCTION("""COMPUTED_VALUE"""),"AMARAJABAT")</f>
        <v>AMARAJABAT</v>
      </c>
      <c r="M25" s="16" t="str">
        <f>IFERROR(__xludf.DUMMYFUNCTION("""COMPUTED_VALUE"""),"No")</f>
        <v>No</v>
      </c>
      <c r="N25" s="16" t="str">
        <f>IFERROR(__xludf.DUMMYFUNCTION("""COMPUTED_VALUE"""),"No")</f>
        <v>No</v>
      </c>
      <c r="O25" s="16" t="str">
        <f>IFERROR(__xludf.DUMMYFUNCTION("""COMPUTED_VALUE"""),"Good Stock")</f>
        <v>Good Stock</v>
      </c>
      <c r="P25" s="16" t="str">
        <f>IFERROR(__xludf.DUMMYFUNCTION("""COMPUTED_VALUE"""),"Low Cap Stocks")</f>
        <v>Low Cap Stocks</v>
      </c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 t="str">
        <f>IFERROR(__xludf.DUMMYFUNCTION("""COMPUTED_VALUE"""),"Poly Medicure Ltd")</f>
        <v>Poly Medicure Ltd</v>
      </c>
      <c r="B26" s="17">
        <f>IFERROR(__xludf.DUMMYFUNCTION("""COMPUTED_VALUE"""),8584.669055)</f>
        <v>8584.669055</v>
      </c>
      <c r="C26" s="16">
        <f>IFERROR(__xludf.DUMMYFUNCTION("""COMPUTED_VALUE"""),891.5)</f>
        <v>891.5</v>
      </c>
      <c r="D26" s="16">
        <f>IFERROR(__xludf.DUMMYFUNCTION("""COMPUTED_VALUE"""),61.12)</f>
        <v>61.12</v>
      </c>
      <c r="E26" s="16">
        <f>IFERROR(__xludf.DUMMYFUNCTION("""COMPUTED_VALUE"""),1044.4)</f>
        <v>1044.4</v>
      </c>
      <c r="F26" s="18">
        <f>IFERROR(__xludf.DUMMYFUNCTION("""COMPUTED_VALUE"""),0.14639984680199164)</f>
        <v>0.1463998468</v>
      </c>
      <c r="G26" s="16">
        <f>IFERROR(__xludf.DUMMYFUNCTION("""COMPUTED_VALUE"""),652.3)</f>
        <v>652.3</v>
      </c>
      <c r="H26" s="18">
        <f>IFERROR(__xludf.DUMMYFUNCTION("""COMPUTED_VALUE"""),0.36670243752874454)</f>
        <v>0.3667024375</v>
      </c>
      <c r="I26" s="16">
        <f>IFERROR(__xludf.DUMMYFUNCTION("""COMPUTED_VALUE"""),897.9)</f>
        <v>897.9</v>
      </c>
      <c r="J26" s="18">
        <f>IFERROR(__xludf.DUMMYFUNCTION("""COMPUTED_VALUE"""),-0.00712774251030179)</f>
        <v>-0.00712774251</v>
      </c>
      <c r="K26" s="16" t="str">
        <f>IFERROR(__xludf.DUMMYFUNCTION("""COMPUTED_VALUE"""),"Healthcare")</f>
        <v>Healthcare</v>
      </c>
      <c r="L26" s="16" t="str">
        <f>IFERROR(__xludf.DUMMYFUNCTION("""COMPUTED_VALUE"""),"BOM:531768")</f>
        <v>BOM:531768</v>
      </c>
      <c r="M26" s="16" t="str">
        <f>IFERROR(__xludf.DUMMYFUNCTION("""COMPUTED_VALUE"""),"No")</f>
        <v>No</v>
      </c>
      <c r="N26" s="16" t="str">
        <f>IFERROR(__xludf.DUMMYFUNCTION("""COMPUTED_VALUE"""),"No")</f>
        <v>No</v>
      </c>
      <c r="O26" s="16" t="str">
        <f>IFERROR(__xludf.DUMMYFUNCTION("""COMPUTED_VALUE"""),"Good Stock")</f>
        <v>Good Stock</v>
      </c>
      <c r="P26" s="16" t="str">
        <f>IFERROR(__xludf.DUMMYFUNCTION("""COMPUTED_VALUE"""),"Low Cap Stocks")</f>
        <v>Low Cap Stocks</v>
      </c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 t="str">
        <f>IFERROR(__xludf.DUMMYFUNCTION("""COMPUTED_VALUE"""),"ICICI Bank")</f>
        <v>ICICI Bank</v>
      </c>
      <c r="B27" s="17">
        <f>IFERROR(__xludf.DUMMYFUNCTION("""COMPUTED_VALUE"""),7451.4657292)</f>
        <v>7451.465729</v>
      </c>
      <c r="C27" s="16">
        <f>IFERROR(__xludf.DUMMYFUNCTION("""COMPUTED_VALUE"""),873.25)</f>
        <v>873.25</v>
      </c>
      <c r="D27" s="16">
        <f>IFERROR(__xludf.DUMMYFUNCTION("""COMPUTED_VALUE"""),20.88)</f>
        <v>20.88</v>
      </c>
      <c r="E27" s="16">
        <f>IFERROR(__xludf.DUMMYFUNCTION("""COMPUTED_VALUE"""),958.0)</f>
        <v>958</v>
      </c>
      <c r="F27" s="18">
        <f>IFERROR(__xludf.DUMMYFUNCTION("""COMPUTED_VALUE"""),0.08846555323590814)</f>
        <v>0.08846555324</v>
      </c>
      <c r="G27" s="16">
        <f>IFERROR(__xludf.DUMMYFUNCTION("""COMPUTED_VALUE"""),642.0)</f>
        <v>642</v>
      </c>
      <c r="H27" s="18">
        <f>IFERROR(__xludf.DUMMYFUNCTION("""COMPUTED_VALUE"""),0.36020249221183803)</f>
        <v>0.3602024922</v>
      </c>
      <c r="I27" s="16">
        <f>IFERROR(__xludf.DUMMYFUNCTION("""COMPUTED_VALUE"""),861.2)</f>
        <v>861.2</v>
      </c>
      <c r="J27" s="18">
        <f>IFERROR(__xludf.DUMMYFUNCTION("""COMPUTED_VALUE"""),0.013992104040873147)</f>
        <v>0.01399210404</v>
      </c>
      <c r="K27" s="16" t="str">
        <f>IFERROR(__xludf.DUMMYFUNCTION("""COMPUTED_VALUE"""),"Bank")</f>
        <v>Bank</v>
      </c>
      <c r="L27" s="16" t="str">
        <f>IFERROR(__xludf.DUMMYFUNCTION("""COMPUTED_VALUE"""),"BOM:532174")</f>
        <v>BOM:532174</v>
      </c>
      <c r="M27" s="16" t="str">
        <f>IFERROR(__xludf.DUMMYFUNCTION("""COMPUTED_VALUE"""),"No")</f>
        <v>No</v>
      </c>
      <c r="N27" s="16" t="str">
        <f>IFERROR(__xludf.DUMMYFUNCTION("""COMPUTED_VALUE"""),"No")</f>
        <v>No</v>
      </c>
      <c r="O27" s="16" t="str">
        <f>IFERROR(__xludf.DUMMYFUNCTION("""COMPUTED_VALUE"""),"Good Stock")</f>
        <v>Good Stock</v>
      </c>
      <c r="P27" s="16" t="str">
        <f>IFERROR(__xludf.DUMMYFUNCTION("""COMPUTED_VALUE"""),"Low Cap Stocks")</f>
        <v>Low Cap Stocks</v>
      </c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conditionalFormatting sqref="D2">
    <cfRule type="containsBlanks" dxfId="9" priority="1">
      <formula>LEN(TRIM(D2))=0</formula>
    </cfRule>
  </conditionalFormatting>
  <conditionalFormatting sqref="D1:D27">
    <cfRule type="cellIs" dxfId="10" priority="2" operator="greaterThan">
      <formula>33.98576923</formula>
    </cfRule>
  </conditionalFormatting>
  <conditionalFormatting sqref="D1:D1000">
    <cfRule type="cellIs" dxfId="11" priority="3" operator="lessThan">
      <formula>33.98576923</formula>
    </cfRule>
  </conditionalFormatting>
  <conditionalFormatting sqref="B2:B27">
    <cfRule type="colorScale" priority="4">
      <colorScale>
        <cfvo type="formula" val="7451.465729"/>
        <cfvo type="formula" val="31369.92"/>
        <cfvo type="formula" val="616301.3269"/>
        <color rgb="FFFFFFFF"/>
        <color rgb="FFEA9999"/>
        <color rgb="FFEA4335"/>
      </colorScale>
    </cfRule>
  </conditionalFormatting>
  <conditionalFormatting sqref="C1:C1000">
    <cfRule type="cellIs" dxfId="12" priority="5" operator="lessThan">
      <formula>1000</formula>
    </cfRule>
  </conditionalFormatting>
  <conditionalFormatting sqref="C1:C1000">
    <cfRule type="cellIs" dxfId="13" priority="6" operator="greaterThanOrEqual">
      <formula>5000</formula>
    </cfRule>
  </conditionalFormatting>
  <conditionalFormatting sqref="C1:C1000">
    <cfRule type="cellIs" dxfId="14" priority="7" operator="between">
      <formula>1000</formula>
      <formula>5000</formula>
    </cfRule>
  </conditionalFormatting>
  <conditionalFormatting sqref="J1:J1000">
    <cfRule type="colorScale" priority="8">
      <colorScale>
        <cfvo type="percent" val="-0.02445215331"/>
        <cfvo type="percent" val="50"/>
        <cfvo type="percent" val="100"/>
        <color rgb="FF57BB8A"/>
        <color rgb="FFABDDC5"/>
        <color rgb="FFFFFFFF"/>
      </colorScale>
    </cfRule>
  </conditionalFormatting>
  <conditionalFormatting sqref="P1:P1000">
    <cfRule type="beginsWith" dxfId="15" priority="9" operator="beginsWith" text="Medium">
      <formula>LEFT((P1),LEN("Medium"))=("Medium")</formula>
    </cfRule>
  </conditionalFormatting>
  <conditionalFormatting sqref="P1:P1000">
    <cfRule type="beginsWith" dxfId="16" priority="10" operator="beginsWith" text="Low">
      <formula>LEFT((P1),LEN("Low"))=("Low")</formula>
    </cfRule>
  </conditionalFormatting>
  <conditionalFormatting sqref="P1:P1000">
    <cfRule type="beginsWith" dxfId="17" priority="11" operator="beginsWith" text="Large">
      <formula>LEFT((P1),LEN("Large"))=("Large")</formula>
    </cfRule>
  </conditionalFormatting>
  <conditionalFormatting sqref="I1:I1000">
    <cfRule type="cellIs" dxfId="18" priority="12" operator="greaterThanOrEqual">
      <formula>1000</formula>
    </cfRule>
  </conditionalFormatting>
  <conditionalFormatting sqref="I1:I1000">
    <cfRule type="cellIs" dxfId="19" priority="13" operator="greaterThanOrEqual">
      <formula>2000</formula>
    </cfRule>
  </conditionalFormatting>
  <conditionalFormatting sqref="I1:I1000">
    <cfRule type="cellIs" dxfId="20" priority="14" operator="lessThan">
      <formula>1000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  <col customWidth="1" min="6" max="6" width="15.5"/>
    <col customWidth="1" min="7" max="7" width="17.63"/>
    <col customWidth="1" min="8" max="8" width="17.75"/>
  </cols>
  <sheetData>
    <row r="1">
      <c r="A1" s="19" t="str">
        <f>IFERROR(__xludf.DUMMYFUNCTION("QUERY('Data Set'!A1:J127, ""SELECT * WHERE D IS NOT NULL AND D &lt; 100 ORDER BY B DESC"", 1)
"),"Stock")</f>
        <v>Stock</v>
      </c>
      <c r="B1" s="19" t="str">
        <f>IFERROR(__xludf.DUMMYFUNCTION("""COMPUTED_VALUE"""),"Market cap (in Rs Cr.)")</f>
        <v>Market cap (in Rs Cr.)</v>
      </c>
      <c r="C1" s="19" t="str">
        <f>IFERROR(__xludf.DUMMYFUNCTION("""COMPUTED_VALUE"""),"Current price")</f>
        <v>Current price</v>
      </c>
      <c r="D1" s="19" t="str">
        <f>IFERROR(__xludf.DUMMYFUNCTION("""COMPUTED_VALUE"""),"PE Ratio")</f>
        <v>PE Ratio</v>
      </c>
      <c r="E1" s="19" t="str">
        <f>IFERROR(__xludf.DUMMYFUNCTION("""COMPUTED_VALUE"""),"52 Week High")</f>
        <v>52 Week High</v>
      </c>
      <c r="F1" s="19" t="str">
        <f>IFERROR(__xludf.DUMMYFUNCTION("""COMPUTED_VALUE"""),"% Below 52 week high")</f>
        <v>% Below 52 week high</v>
      </c>
      <c r="G1" s="19" t="str">
        <f>IFERROR(__xludf.DUMMYFUNCTION("""COMPUTED_VALUE"""),"52 Week Low")</f>
        <v>52 Week Low</v>
      </c>
      <c r="H1" s="19" t="str">
        <f>IFERROR(__xludf.DUMMYFUNCTION("""COMPUTED_VALUE"""),"% Above 52 Week low")</f>
        <v>% Above 52 Week low</v>
      </c>
      <c r="I1" s="19" t="str">
        <f>IFERROR(__xludf.DUMMYFUNCTION("""COMPUTED_VALUE"""),"Yesterday Closing Price")</f>
        <v>Yesterday Closing Price</v>
      </c>
      <c r="J1" s="19" t="str">
        <f>IFERROR(__xludf.DUMMYFUNCTION("""COMPUTED_VALUE"""),"% Change")</f>
        <v>% Change</v>
      </c>
      <c r="K1" s="20" t="s">
        <v>228</v>
      </c>
      <c r="L1" s="20" t="s">
        <v>229</v>
      </c>
      <c r="M1" s="20" t="s">
        <v>230</v>
      </c>
      <c r="N1" s="20" t="s">
        <v>231</v>
      </c>
      <c r="O1" s="20" t="s">
        <v>232</v>
      </c>
      <c r="P1" s="20" t="s">
        <v>233</v>
      </c>
    </row>
    <row r="2">
      <c r="A2" s="19" t="str">
        <f>IFERROR(__xludf.DUMMYFUNCTION("""COMPUTED_VALUE"""),"TCS")</f>
        <v>TCS</v>
      </c>
      <c r="B2" s="21">
        <f>IFERROR(__xludf.DUMMYFUNCTION("""COMPUTED_VALUE"""),1234544.5174748)</f>
        <v>1234544.517</v>
      </c>
      <c r="C2" s="19">
        <f>IFERROR(__xludf.DUMMYFUNCTION("""COMPUTED_VALUE"""),3374.2)</f>
        <v>3374.2</v>
      </c>
      <c r="D2" s="19">
        <f>IFERROR(__xludf.DUMMYFUNCTION("""COMPUTED_VALUE"""),30.43)</f>
        <v>30.43</v>
      </c>
      <c r="E2" s="19">
        <f>IFERROR(__xludf.DUMMYFUNCTION("""COMPUTED_VALUE"""),4045.5)</f>
        <v>4045.5</v>
      </c>
      <c r="F2" s="22">
        <f>IFERROR(__xludf.DUMMYFUNCTION("""COMPUTED_VALUE"""),0.1659374613768385)</f>
        <v>0.1659374614</v>
      </c>
      <c r="G2" s="19">
        <f>IFERROR(__xludf.DUMMYFUNCTION("""COMPUTED_VALUE"""),2926.0)</f>
        <v>2926</v>
      </c>
      <c r="H2" s="22">
        <f>IFERROR(__xludf.DUMMYFUNCTION("""COMPUTED_VALUE"""),0.15317840054682152)</f>
        <v>0.1531784005</v>
      </c>
      <c r="I2" s="19">
        <f>IFERROR(__xludf.DUMMYFUNCTION("""COMPUTED_VALUE"""),3334.6)</f>
        <v>3334.6</v>
      </c>
      <c r="J2" s="22">
        <f>IFERROR(__xludf.DUMMYFUNCTION("""COMPUTED_VALUE"""),0.01187548731482034)</f>
        <v>0.01187548731</v>
      </c>
      <c r="K2" s="23" t="str">
        <f t="array" ref="K2">IF(A2&lt;&gt;" ", (VLOOKUP(A2, 'NSEBSE Code'!A:C, 2, FALSE)), " ")</f>
        <v>IT</v>
      </c>
      <c r="L2" s="23" t="str">
        <f t="array" ref="L2">IF(A2&lt;&gt;" ", (VLOOKUP(A2, 'NSEBSE Code'!A:C, 3, FALSE)), " ")</f>
        <v>BOM:532540</v>
      </c>
      <c r="M2" s="23" t="str">
        <f t="array" ref="M2">IF(F2 &gt; 0.3, "Yes", "No")</f>
        <v>No</v>
      </c>
      <c r="N2" s="19" t="str">
        <f t="array" ref="N2">IF(H2 &lt;0.3, "Yes", "No")</f>
        <v>Yes</v>
      </c>
      <c r="O2" s="19" t="str">
        <f t="array" ref="O2">IF(AND(D2&lt;65, M2="No",N2="No"), "Good Stock", " ")</f>
        <v> </v>
      </c>
      <c r="P2" s="19" t="str">
        <f t="array" ref="P2">IF(B2 &gt;= $Q$2 * 0.6, "Large Cap Stocks", IF(B2 &gt;= $Q$2 * 0.4, "Medium Cap Stocks", "Low Cap Stocks"))</f>
        <v>Large Cap Stocks</v>
      </c>
      <c r="Q2" s="24">
        <f>MAX(B2:B113)</f>
        <v>1234544.517</v>
      </c>
    </row>
    <row r="3">
      <c r="A3" s="19" t="str">
        <f>IFERROR(__xludf.DUMMYFUNCTION("""COMPUTED_VALUE"""),"HUL")</f>
        <v>HUL</v>
      </c>
      <c r="B3" s="21">
        <f>IFERROR(__xludf.DUMMYFUNCTION("""COMPUTED_VALUE"""),616301.326875)</f>
        <v>616301.3269</v>
      </c>
      <c r="C3" s="19">
        <f>IFERROR(__xludf.DUMMYFUNCTION("""COMPUTED_VALUE"""),2620.6)</f>
        <v>2620.6</v>
      </c>
      <c r="D3" s="19">
        <f>IFERROR(__xludf.DUMMYFUNCTION("""COMPUTED_VALUE"""),63.81)</f>
        <v>63.81</v>
      </c>
      <c r="E3" s="19">
        <f>IFERROR(__xludf.DUMMYFUNCTION("""COMPUTED_VALUE"""),2741.6)</f>
        <v>2741.6</v>
      </c>
      <c r="F3" s="22">
        <f>IFERROR(__xludf.DUMMYFUNCTION("""COMPUTED_VALUE"""),0.0441348117887365)</f>
        <v>0.04413481179</v>
      </c>
      <c r="G3" s="19">
        <f>IFERROR(__xludf.DUMMYFUNCTION("""COMPUTED_VALUE"""),1901.55)</f>
        <v>1901.55</v>
      </c>
      <c r="H3" s="22">
        <f>IFERROR(__xludf.DUMMYFUNCTION("""COMPUTED_VALUE"""),0.37813888669769397)</f>
        <v>0.3781388867</v>
      </c>
      <c r="I3" s="19">
        <f>IFERROR(__xludf.DUMMYFUNCTION("""COMPUTED_VALUE"""),2590.05)</f>
        <v>2590.05</v>
      </c>
      <c r="J3" s="22">
        <f>IFERROR(__xludf.DUMMYFUNCTION("""COMPUTED_VALUE"""),0.011795139089978852)</f>
        <v>0.01179513909</v>
      </c>
      <c r="K3" s="23" t="str">
        <f t="array" ref="K3">IF(A3&lt;&gt;" ", (VLOOKUP(A3, 'NSEBSE Code'!A:C, 2, FALSE)), " ")</f>
        <v>FMCG</v>
      </c>
      <c r="L3" s="23" t="str">
        <f t="array" ref="L3">IF(A3&lt;&gt;" ", (VLOOKUP(A3, 'NSEBSE Code'!A:C, 3, FALSE)), " ")</f>
        <v>HINDUNILVR</v>
      </c>
      <c r="M3" s="23" t="str">
        <f t="array" ref="M3">IF(F3 &gt; 0.3, "Yes", "No")</f>
        <v>No</v>
      </c>
      <c r="N3" s="19" t="str">
        <f t="array" ref="N3">IF(H3 &lt;0.3, "Yes", "No")</f>
        <v>No</v>
      </c>
      <c r="O3" s="19" t="str">
        <f t="array" ref="O3">IF(AND(D3&lt;65, M3="No",N3="No"), "Good Stock", " ")</f>
        <v>Good Stock</v>
      </c>
      <c r="P3" s="19" t="str">
        <f t="array" ref="P3">IF(B3 &gt;= $Q$2 * 0.6, "Large Cap Stocks", IF(B3 &gt;= $Q$2 * 0.4, "Medium Cap Stocks", "Low Cap Stocks"))</f>
        <v>Medium Cap Stocks</v>
      </c>
    </row>
    <row r="4">
      <c r="A4" s="19" t="str">
        <f>IFERROR(__xludf.DUMMYFUNCTION("""COMPUTED_VALUE"""),"Airtel")</f>
        <v>Airtel</v>
      </c>
      <c r="B4" s="21">
        <f>IFERROR(__xludf.DUMMYFUNCTION("""COMPUTED_VALUE"""),441027.3972459)</f>
        <v>441027.3972</v>
      </c>
      <c r="C4" s="19">
        <f>IFERROR(__xludf.DUMMYFUNCTION("""COMPUTED_VALUE"""),764.6)</f>
        <v>764.6</v>
      </c>
      <c r="D4" s="19">
        <f>IFERROR(__xludf.DUMMYFUNCTION("""COMPUTED_VALUE"""),65.86)</f>
        <v>65.86</v>
      </c>
      <c r="E4" s="19">
        <f>IFERROR(__xludf.DUMMYFUNCTION("""COMPUTED_VALUE"""),860.55)</f>
        <v>860.55</v>
      </c>
      <c r="F4" s="22">
        <f>IFERROR(__xludf.DUMMYFUNCTION("""COMPUTED_VALUE"""),0.11149846028702566)</f>
        <v>0.1114984603</v>
      </c>
      <c r="G4" s="19">
        <f>IFERROR(__xludf.DUMMYFUNCTION("""COMPUTED_VALUE"""),628.75)</f>
        <v>628.75</v>
      </c>
      <c r="H4" s="22">
        <f>IFERROR(__xludf.DUMMYFUNCTION("""COMPUTED_VALUE"""),0.2160636182902585)</f>
        <v>0.2160636183</v>
      </c>
      <c r="I4" s="19">
        <f>IFERROR(__xludf.DUMMYFUNCTION("""COMPUTED_VALUE"""),756.9)</f>
        <v>756.9</v>
      </c>
      <c r="J4" s="22">
        <f>IFERROR(__xludf.DUMMYFUNCTION("""COMPUTED_VALUE"""),0.010173074382349117)</f>
        <v>0.01017307438</v>
      </c>
      <c r="K4" s="23" t="str">
        <f t="array" ref="K4">IF(A4&lt;&gt;" ", (VLOOKUP(A4, 'NSEBSE Code'!A:C, 2, FALSE)), " ")</f>
        <v>Telecom</v>
      </c>
      <c r="L4" s="23" t="str">
        <f t="array" ref="L4">IF(A4&lt;&gt;" ", (VLOOKUP(A4, 'NSEBSE Code'!A:C, 3, FALSE)), " ")</f>
        <v>BHARTIARTL</v>
      </c>
      <c r="M4" s="23" t="str">
        <f t="array" ref="M4">IF(F4 &gt; 0.3, "Yes", "No")</f>
        <v>No</v>
      </c>
      <c r="N4" s="19" t="str">
        <f t="array" ref="N4">IF(H4 &lt;0.3, "Yes", "No")</f>
        <v>Yes</v>
      </c>
      <c r="O4" s="19" t="str">
        <f t="array" ref="O4">IF(AND(D4&lt;65, M4="No",N4="No"), "Good Stock", " ")</f>
        <v> </v>
      </c>
      <c r="P4" s="19" t="str">
        <f t="array" ref="P4">IF(B4 &gt;= $Q$2 * 0.6, "Large Cap Stocks", IF(B4 &gt;= $Q$2 * 0.4, "Medium Cap Stocks", "Low Cap Stocks"))</f>
        <v>Low Cap Stocks</v>
      </c>
    </row>
    <row r="5">
      <c r="A5" s="19" t="str">
        <f>IFERROR(__xludf.DUMMYFUNCTION("""COMPUTED_VALUE"""),"Bajaj Finance")</f>
        <v>Bajaj Finance</v>
      </c>
      <c r="B5" s="21">
        <f>IFERROR(__xludf.DUMMYFUNCTION("""COMPUTED_VALUE"""),361172.6351402)</f>
        <v>361172.6351</v>
      </c>
      <c r="C5" s="19">
        <f>IFERROR(__xludf.DUMMYFUNCTION("""COMPUTED_VALUE"""),5977.0)</f>
        <v>5977</v>
      </c>
      <c r="D5" s="19">
        <f>IFERROR(__xludf.DUMMYFUNCTION("""COMPUTED_VALUE"""),36.52)</f>
        <v>36.52</v>
      </c>
      <c r="E5" s="19">
        <f>IFERROR(__xludf.DUMMYFUNCTION("""COMPUTED_VALUE"""),8045.0)</f>
        <v>8045</v>
      </c>
      <c r="F5" s="22">
        <f>IFERROR(__xludf.DUMMYFUNCTION("""COMPUTED_VALUE"""),0.25705407085146054)</f>
        <v>0.2570540709</v>
      </c>
      <c r="G5" s="19">
        <f>IFERROR(__xludf.DUMMYFUNCTION("""COMPUTED_VALUE"""),5220.0)</f>
        <v>5220</v>
      </c>
      <c r="H5" s="22">
        <f>IFERROR(__xludf.DUMMYFUNCTION("""COMPUTED_VALUE"""),0.1450191570881226)</f>
        <v>0.1450191571</v>
      </c>
      <c r="I5" s="19">
        <f>IFERROR(__xludf.DUMMYFUNCTION("""COMPUTED_VALUE"""),5898.4)</f>
        <v>5898.4</v>
      </c>
      <c r="J5" s="22">
        <f>IFERROR(__xludf.DUMMYFUNCTION("""COMPUTED_VALUE"""),0.013325647633256539)</f>
        <v>0.01332564763</v>
      </c>
      <c r="K5" s="23" t="str">
        <f t="array" ref="K5">IF(A5&lt;&gt;" ", (VLOOKUP(A5, 'NSEBSE Code'!A:C, 2, FALSE)), " ")</f>
        <v>NBFC</v>
      </c>
      <c r="L5" s="23" t="str">
        <f t="array" ref="L5">IF(A5&lt;&gt;" ", (VLOOKUP(A5, 'NSEBSE Code'!A:C, 3, FALSE)), " ")</f>
        <v>BAJFINANCE</v>
      </c>
      <c r="M5" s="23" t="str">
        <f t="array" ref="M5">IF(F5 &gt; 0.3, "Yes", "No")</f>
        <v>No</v>
      </c>
      <c r="N5" s="19" t="str">
        <f t="array" ref="N5">IF(H5 &lt;0.3, "Yes", "No")</f>
        <v>Yes</v>
      </c>
      <c r="O5" s="19" t="str">
        <f t="array" ref="O5">IF(AND(D5&lt;65, M5="No",N5="No"), "Good Stock", " ")</f>
        <v> </v>
      </c>
      <c r="P5" s="19" t="str">
        <f t="array" ref="P5">IF(B5 &gt;= $Q$2 * 0.6, "Large Cap Stocks", IF(B5 &gt;= $Q$2 * 0.4, "Medium Cap Stocks", "Low Cap Stocks"))</f>
        <v>Low Cap Stocks</v>
      </c>
    </row>
    <row r="6">
      <c r="A6" s="19" t="str">
        <f>IFERROR(__xludf.DUMMYFUNCTION("""COMPUTED_VALUE"""),"L&amp;T")</f>
        <v>L&amp;T</v>
      </c>
      <c r="B6" s="21">
        <f>IFERROR(__xludf.DUMMYFUNCTION("""COMPUTED_VALUE"""),302617.166625)</f>
        <v>302617.1666</v>
      </c>
      <c r="C6" s="19">
        <f>IFERROR(__xludf.DUMMYFUNCTION("""COMPUTED_VALUE"""),2153.75)</f>
        <v>2153.75</v>
      </c>
      <c r="D6" s="19">
        <f>IFERROR(__xludf.DUMMYFUNCTION("""COMPUTED_VALUE"""),31.53)</f>
        <v>31.53</v>
      </c>
      <c r="E6" s="19">
        <f>IFERROR(__xludf.DUMMYFUNCTION("""COMPUTED_VALUE"""),2210.5)</f>
        <v>2210.5</v>
      </c>
      <c r="F6" s="22">
        <f>IFERROR(__xludf.DUMMYFUNCTION("""COMPUTED_VALUE"""),0.025672924677674736)</f>
        <v>0.02567292468</v>
      </c>
      <c r="G6" s="19">
        <f>IFERROR(__xludf.DUMMYFUNCTION("""COMPUTED_VALUE"""),1456.8)</f>
        <v>1456.8</v>
      </c>
      <c r="H6" s="22">
        <f>IFERROR(__xludf.DUMMYFUNCTION("""COMPUTED_VALUE"""),0.4784115870400879)</f>
        <v>0.478411587</v>
      </c>
      <c r="I6" s="19">
        <f>IFERROR(__xludf.DUMMYFUNCTION("""COMPUTED_VALUE"""),2160.2)</f>
        <v>2160.2</v>
      </c>
      <c r="J6" s="22">
        <f>IFERROR(__xludf.DUMMYFUNCTION("""COMPUTED_VALUE"""),-0.0029858346449401995)</f>
        <v>-0.002985834645</v>
      </c>
      <c r="K6" s="23" t="str">
        <f t="array" ref="K6">IF(A6&lt;&gt;" ", (VLOOKUP(A6, 'NSEBSE Code'!A:C, 2, FALSE)), " ")</f>
        <v>Infrastructure</v>
      </c>
      <c r="L6" s="23" t="str">
        <f t="array" ref="L6">IF(A6&lt;&gt;" ", (VLOOKUP(A6, 'NSEBSE Code'!A:C, 3, FALSE)), " ")</f>
        <v>BOM:500510</v>
      </c>
      <c r="M6" s="23" t="str">
        <f t="array" ref="M6">IF(F6 &gt; 0.3, "Yes", "No")</f>
        <v>No</v>
      </c>
      <c r="N6" s="19" t="str">
        <f t="array" ref="N6">IF(H6 &lt;0.3, "Yes", "No")</f>
        <v>No</v>
      </c>
      <c r="O6" s="19" t="str">
        <f t="array" ref="O6">IF(AND(D6&lt;65, M6="No",N6="No"), "Good Stock", " ")</f>
        <v>Good Stock</v>
      </c>
      <c r="P6" s="19" t="str">
        <f t="array" ref="P6">IF(B6 &gt;= $Q$2 * 0.6, "Large Cap Stocks", IF(B6 &gt;= $Q$2 * 0.4, "Medium Cap Stocks", "Low Cap Stocks"))</f>
        <v>Low Cap Stocks</v>
      </c>
    </row>
    <row r="7">
      <c r="A7" s="19" t="str">
        <f>IFERROR(__xludf.DUMMYFUNCTION("""COMPUTED_VALUE"""),"Asian Paints")</f>
        <v>Asian Paints</v>
      </c>
      <c r="B7" s="21">
        <f>IFERROR(__xludf.DUMMYFUNCTION("""COMPUTED_VALUE"""),278960.0995659)</f>
        <v>278960.0996</v>
      </c>
      <c r="C7" s="19">
        <f>IFERROR(__xludf.DUMMYFUNCTION("""COMPUTED_VALUE"""),2912.0)</f>
        <v>2912</v>
      </c>
      <c r="D7" s="19">
        <f>IFERROR(__xludf.DUMMYFUNCTION("""COMPUTED_VALUE"""),76.19)</f>
        <v>76.19</v>
      </c>
      <c r="E7" s="19">
        <f>IFERROR(__xludf.DUMMYFUNCTION("""COMPUTED_VALUE"""),3582.9)</f>
        <v>3582.9</v>
      </c>
      <c r="F7" s="22">
        <f>IFERROR(__xludf.DUMMYFUNCTION("""COMPUTED_VALUE"""),0.18725055122945103)</f>
        <v>0.1872505512</v>
      </c>
      <c r="G7" s="19">
        <f>IFERROR(__xludf.DUMMYFUNCTION("""COMPUTED_VALUE"""),2560.0)</f>
        <v>2560</v>
      </c>
      <c r="H7" s="22">
        <f>IFERROR(__xludf.DUMMYFUNCTION("""COMPUTED_VALUE"""),0.1375)</f>
        <v>0.1375</v>
      </c>
      <c r="I7" s="19">
        <f>IFERROR(__xludf.DUMMYFUNCTION("""COMPUTED_VALUE"""),2915.95)</f>
        <v>2915.95</v>
      </c>
      <c r="J7" s="22">
        <f>IFERROR(__xludf.DUMMYFUNCTION("""COMPUTED_VALUE"""),-0.0013546185634183776)</f>
        <v>-0.001354618563</v>
      </c>
      <c r="K7" s="23" t="str">
        <f t="array" ref="K7">IF(A7&lt;&gt;" ", (VLOOKUP(A7, 'NSEBSE Code'!A:C, 2, FALSE)), " ")</f>
        <v>Paint</v>
      </c>
      <c r="L7" s="23" t="str">
        <f t="array" ref="L7">IF(A7&lt;&gt;" ", (VLOOKUP(A7, 'NSEBSE Code'!A:C, 3, FALSE)), " ")</f>
        <v>ASIANPAINT</v>
      </c>
      <c r="M7" s="23" t="str">
        <f t="array" ref="M7">IF(F7 &gt; 0.3, "Yes", "No")</f>
        <v>No</v>
      </c>
      <c r="N7" s="19" t="str">
        <f t="array" ref="N7">IF(H7 &lt;0.3, "Yes", "No")</f>
        <v>Yes</v>
      </c>
      <c r="O7" s="19" t="str">
        <f t="array" ref="O7">IF(AND(D7&lt;65, M7="No",N7="No"), "Good Stock", " ")</f>
        <v> </v>
      </c>
      <c r="P7" s="19" t="str">
        <f t="array" ref="P7">IF(B7 &gt;= $Q$2 * 0.6, "Large Cap Stocks", IF(B7 &gt;= $Q$2 * 0.4, "Medium Cap Stocks", "Low Cap Stocks"))</f>
        <v>Low Cap Stocks</v>
      </c>
    </row>
    <row r="8">
      <c r="A8" s="19" t="str">
        <f>IFERROR(__xludf.DUMMYFUNCTION("""COMPUTED_VALUE"""),"Maruti Suzuki")</f>
        <v>Maruti Suzuki</v>
      </c>
      <c r="B8" s="21">
        <f>IFERROR(__xludf.DUMMYFUNCTION("""COMPUTED_VALUE"""),255438.4185926)</f>
        <v>255438.4186</v>
      </c>
      <c r="C8" s="19">
        <f>IFERROR(__xludf.DUMMYFUNCTION("""COMPUTED_VALUE"""),8454.2)</f>
        <v>8454.2</v>
      </c>
      <c r="D8" s="19">
        <f>IFERROR(__xludf.DUMMYFUNCTION("""COMPUTED_VALUE"""),42.1)</f>
        <v>42.1</v>
      </c>
      <c r="E8" s="19">
        <f>IFERROR(__xludf.DUMMYFUNCTION("""COMPUTED_VALUE"""),9769.0)</f>
        <v>9769</v>
      </c>
      <c r="F8" s="22">
        <f>IFERROR(__xludf.DUMMYFUNCTION("""COMPUTED_VALUE"""),0.13458900603951268)</f>
        <v>0.134589006</v>
      </c>
      <c r="G8" s="19">
        <f>IFERROR(__xludf.DUMMYFUNCTION("""COMPUTED_VALUE"""),6536.55)</f>
        <v>6536.55</v>
      </c>
      <c r="H8" s="22">
        <f>IFERROR(__xludf.DUMMYFUNCTION("""COMPUTED_VALUE"""),0.2933734156397489)</f>
        <v>0.2933734156</v>
      </c>
      <c r="I8" s="19">
        <f>IFERROR(__xludf.DUMMYFUNCTION("""COMPUTED_VALUE"""),8369.2)</f>
        <v>8369.2</v>
      </c>
      <c r="J8" s="22">
        <f>IFERROR(__xludf.DUMMYFUNCTION("""COMPUTED_VALUE"""),0.010156287339291688)</f>
        <v>0.01015628734</v>
      </c>
      <c r="K8" s="23" t="str">
        <f t="array" ref="K8">IF(A8&lt;&gt;" ", (VLOOKUP(A8, 'NSEBSE Code'!A:C, 2, FALSE)), " ")</f>
        <v>Automobile</v>
      </c>
      <c r="L8" s="23" t="str">
        <f t="array" ref="L8">IF(A8&lt;&gt;" ", (VLOOKUP(A8, 'NSEBSE Code'!A:C, 3, FALSE)), " ")</f>
        <v>MARUTI</v>
      </c>
      <c r="M8" s="23" t="str">
        <f t="array" ref="M8">IF(F8 &gt; 0.3, "Yes", "No")</f>
        <v>No</v>
      </c>
      <c r="N8" s="19" t="str">
        <f t="array" ref="N8">IF(H8 &lt;0.3, "Yes", "No")</f>
        <v>Yes</v>
      </c>
      <c r="O8" s="19" t="str">
        <f t="array" ref="O8">IF(AND(D8&lt;65, M8="No",N8="No"), "Good Stock", " ")</f>
        <v> </v>
      </c>
      <c r="P8" s="19" t="str">
        <f t="array" ref="P8">IF(B8 &gt;= $Q$2 * 0.6, "Large Cap Stocks", IF(B8 &gt;= $Q$2 * 0.4, "Medium Cap Stocks", "Low Cap Stocks"))</f>
        <v>Low Cap Stocks</v>
      </c>
    </row>
    <row r="9">
      <c r="A9" s="19" t="str">
        <f>IFERROR(__xludf.DUMMYFUNCTION("""COMPUTED_VALUE"""),"Bajaj Finserv")</f>
        <v>Bajaj Finserv</v>
      </c>
      <c r="B9" s="21">
        <f>IFERROR(__xludf.DUMMYFUNCTION("""COMPUTED_VALUE"""),221292.5064376)</f>
        <v>221292.5064</v>
      </c>
      <c r="C9" s="19">
        <f>IFERROR(__xludf.DUMMYFUNCTION("""COMPUTED_VALUE"""),1391.0)</f>
        <v>1391</v>
      </c>
      <c r="D9" s="19">
        <f>IFERROR(__xludf.DUMMYFUNCTION("""COMPUTED_VALUE"""),40.48)</f>
        <v>40.48</v>
      </c>
      <c r="E9" s="19">
        <f>IFERROR(__xludf.DUMMYFUNCTION("""COMPUTED_VALUE"""),3724.2)</f>
        <v>3724.2</v>
      </c>
      <c r="F9" s="22">
        <f>IFERROR(__xludf.DUMMYFUNCTION("""COMPUTED_VALUE"""),0.6264969657913109)</f>
        <v>0.6264969658</v>
      </c>
      <c r="G9" s="19">
        <f>IFERROR(__xludf.DUMMYFUNCTION("""COMPUTED_VALUE"""),1374.35)</f>
        <v>1374.35</v>
      </c>
      <c r="H9" s="22">
        <f>IFERROR(__xludf.DUMMYFUNCTION("""COMPUTED_VALUE"""),0.012114817913923012)</f>
        <v>0.01211481791</v>
      </c>
      <c r="I9" s="19">
        <f>IFERROR(__xludf.DUMMYFUNCTION("""COMPUTED_VALUE"""),1387.8)</f>
        <v>1387.8</v>
      </c>
      <c r="J9" s="22">
        <f>IFERROR(__xludf.DUMMYFUNCTION("""COMPUTED_VALUE"""),0.002305807753278603)</f>
        <v>0.002305807753</v>
      </c>
      <c r="K9" s="23" t="str">
        <f t="array" ref="K9">IF(A9&lt;&gt;" ", (VLOOKUP(A9, 'NSEBSE Code'!A:C, 2, FALSE)), " ")</f>
        <v>Financial Servcies</v>
      </c>
      <c r="L9" s="23" t="str">
        <f t="array" ref="L9">IF(A9&lt;&gt;" ", (VLOOKUP(A9, 'NSEBSE Code'!A:C, 3, FALSE)), " ")</f>
        <v>BAJAJFINSV</v>
      </c>
      <c r="M9" s="23" t="str">
        <f t="array" ref="M9">IF(F9 &gt; 0.3, "Yes", "No")</f>
        <v>Yes</v>
      </c>
      <c r="N9" s="19" t="str">
        <f t="array" ref="N9">IF(H9 &lt;0.3, "Yes", "No")</f>
        <v>Yes</v>
      </c>
      <c r="O9" s="19" t="str">
        <f t="array" ref="O9">IF(AND(D9&lt;65, M9="No",N9="No"), "Good Stock", " ")</f>
        <v> </v>
      </c>
      <c r="P9" s="19" t="str">
        <f t="array" ref="P9">IF(B9 &gt;= $Q$2 * 0.6, "Large Cap Stocks", IF(B9 &gt;= $Q$2 * 0.4, "Medium Cap Stocks", "Low Cap Stocks"))</f>
        <v>Low Cap Stocks</v>
      </c>
    </row>
    <row r="10">
      <c r="A10" s="19" t="str">
        <f>IFERROR(__xludf.DUMMYFUNCTION("""COMPUTED_VALUE"""),"Ultratech Cement")</f>
        <v>Ultratech Cement</v>
      </c>
      <c r="B10" s="21">
        <f>IFERROR(__xludf.DUMMYFUNCTION("""COMPUTED_VALUE"""),208975.8)</f>
        <v>208975.8</v>
      </c>
      <c r="C10" s="19">
        <f>IFERROR(__xludf.DUMMYFUNCTION("""COMPUTED_VALUE"""),7244.95)</f>
        <v>7244.95</v>
      </c>
      <c r="D10" s="19">
        <f>IFERROR(__xludf.DUMMYFUNCTION("""COMPUTED_VALUE"""),31.35)</f>
        <v>31.35</v>
      </c>
      <c r="E10" s="19">
        <f>IFERROR(__xludf.DUMMYFUNCTION("""COMPUTED_VALUE"""),7946.0)</f>
        <v>7946</v>
      </c>
      <c r="F10" s="22">
        <f>IFERROR(__xludf.DUMMYFUNCTION("""COMPUTED_VALUE"""),0.08822678077019887)</f>
        <v>0.08822678077</v>
      </c>
      <c r="G10" s="19">
        <f>IFERROR(__xludf.DUMMYFUNCTION("""COMPUTED_VALUE"""),5157.05)</f>
        <v>5157.05</v>
      </c>
      <c r="H10" s="22">
        <f>IFERROR(__xludf.DUMMYFUNCTION("""COMPUTED_VALUE"""),0.4048632454600982)</f>
        <v>0.4048632455</v>
      </c>
      <c r="I10" s="19">
        <f>IFERROR(__xludf.DUMMYFUNCTION("""COMPUTED_VALUE"""),7153.35)</f>
        <v>7153.35</v>
      </c>
      <c r="J10" s="22">
        <f>IFERROR(__xludf.DUMMYFUNCTION("""COMPUTED_VALUE"""),0.012805189177098764)</f>
        <v>0.01280518918</v>
      </c>
      <c r="K10" s="23" t="str">
        <f t="array" ref="K10">IF(A10&lt;&gt;" ", (VLOOKUP(A10, 'NSEBSE Code'!A:C, 2, FALSE)), " ")</f>
        <v>Cement</v>
      </c>
      <c r="L10" s="23" t="str">
        <f t="array" ref="L10">IF(A10&lt;&gt;" ", (VLOOKUP(A10, 'NSEBSE Code'!A:C, 3, FALSE)), " ")</f>
        <v>ULTRACEMCO</v>
      </c>
      <c r="M10" s="23" t="str">
        <f t="array" ref="M10">IF(F10 &gt; 0.3, "Yes", "No")</f>
        <v>No</v>
      </c>
      <c r="N10" s="19" t="str">
        <f t="array" ref="N10">IF(H10 &lt;0.3, "Yes", "No")</f>
        <v>No</v>
      </c>
      <c r="O10" s="19" t="str">
        <f t="array" ref="O10">IF(AND(D10&lt;65, M10="No",N10="No"), "Good Stock", " ")</f>
        <v>Good Stock</v>
      </c>
      <c r="P10" s="19" t="str">
        <f t="array" ref="P10">IF(B10 &gt;= $Q$2 * 0.6, "Large Cap Stocks", IF(B10 &gt;= $Q$2 * 0.4, "Medium Cap Stocks", "Low Cap Stocks"))</f>
        <v>Low Cap Stocks</v>
      </c>
    </row>
    <row r="11">
      <c r="A11" s="19" t="str">
        <f>IFERROR(__xludf.DUMMYFUNCTION("""COMPUTED_VALUE"""),"Nestle")</f>
        <v>Nestle</v>
      </c>
      <c r="B11" s="21">
        <f>IFERROR(__xludf.DUMMYFUNCTION("""COMPUTED_VALUE"""),190752.2)</f>
        <v>190752.2</v>
      </c>
      <c r="C11" s="19">
        <f>IFERROR(__xludf.DUMMYFUNCTION("""COMPUTED_VALUE"""),19782.3)</f>
        <v>19782.3</v>
      </c>
      <c r="D11" s="19">
        <f>IFERROR(__xludf.DUMMYFUNCTION("""COMPUTED_VALUE"""),88.1)</f>
        <v>88.1</v>
      </c>
      <c r="E11" s="19">
        <f>IFERROR(__xludf.DUMMYFUNCTION("""COMPUTED_VALUE"""),21050.0)</f>
        <v>21050</v>
      </c>
      <c r="F11" s="22">
        <f>IFERROR(__xludf.DUMMYFUNCTION("""COMPUTED_VALUE"""),0.060223277909738755)</f>
        <v>0.06022327791</v>
      </c>
      <c r="G11" s="19">
        <f>IFERROR(__xludf.DUMMYFUNCTION("""COMPUTED_VALUE"""),16000.0)</f>
        <v>16000</v>
      </c>
      <c r="H11" s="22">
        <f>IFERROR(__xludf.DUMMYFUNCTION("""COMPUTED_VALUE"""),0.23639374999999996)</f>
        <v>0.23639375</v>
      </c>
      <c r="I11" s="19">
        <f>IFERROR(__xludf.DUMMYFUNCTION("""COMPUTED_VALUE"""),19873.25)</f>
        <v>19873.25</v>
      </c>
      <c r="J11" s="22">
        <f>IFERROR(__xludf.DUMMYFUNCTION("""COMPUTED_VALUE"""),-0.004576503591511238)</f>
        <v>-0.004576503592</v>
      </c>
      <c r="K11" s="23" t="str">
        <f t="array" ref="K11">IF(A11&lt;&gt;" ", (VLOOKUP(A11, 'NSEBSE Code'!A:C, 2, FALSE)), " ")</f>
        <v>FMCG</v>
      </c>
      <c r="L11" s="23" t="str">
        <f t="array" ref="L11">IF(A11&lt;&gt;" ", (VLOOKUP(A11, 'NSEBSE Code'!A:C, 3, FALSE)), " ")</f>
        <v>NESTLEIND</v>
      </c>
      <c r="M11" s="23" t="str">
        <f t="array" ref="M11">IF(F11 &gt; 0.3, "Yes", "No")</f>
        <v>No</v>
      </c>
      <c r="N11" s="19" t="str">
        <f t="array" ref="N11">IF(H11 &lt;0.3, "Yes", "No")</f>
        <v>Yes</v>
      </c>
      <c r="O11" s="19" t="str">
        <f t="array" ref="O11">IF(AND(D11&lt;65, M11="No",N11="No"), "Good Stock", " ")</f>
        <v> </v>
      </c>
      <c r="P11" s="19" t="str">
        <f t="array" ref="P11">IF(B11 &gt;= $Q$2 * 0.6, "Large Cap Stocks", IF(B11 &gt;= $Q$2 * 0.4, "Medium Cap Stocks", "Low Cap Stocks"))</f>
        <v>Low Cap Stocks</v>
      </c>
    </row>
    <row r="12">
      <c r="A12" s="19" t="str">
        <f>IFERROR(__xludf.DUMMYFUNCTION("""COMPUTED_VALUE"""),"M&amp;M")</f>
        <v>M&amp;M</v>
      </c>
      <c r="B12" s="21">
        <f>IFERROR(__xludf.DUMMYFUNCTION("""COMPUTED_VALUE"""),158785.3716893)</f>
        <v>158785.3717</v>
      </c>
      <c r="C12" s="19">
        <f>IFERROR(__xludf.DUMMYFUNCTION("""COMPUTED_VALUE"""),1327.55)</f>
        <v>1327.55</v>
      </c>
      <c r="D12" s="19">
        <f>IFERROR(__xludf.DUMMYFUNCTION("""COMPUTED_VALUE"""),16.12)</f>
        <v>16.12</v>
      </c>
      <c r="E12" s="19">
        <f>IFERROR(__xludf.DUMMYFUNCTION("""COMPUTED_VALUE"""),1366.55)</f>
        <v>1366.55</v>
      </c>
      <c r="F12" s="22">
        <f>IFERROR(__xludf.DUMMYFUNCTION("""COMPUTED_VALUE"""),0.028539021623797154)</f>
        <v>0.02853902162</v>
      </c>
      <c r="G12" s="19">
        <f>IFERROR(__xludf.DUMMYFUNCTION("""COMPUTED_VALUE"""),671.15)</f>
        <v>671.15</v>
      </c>
      <c r="H12" s="22">
        <f>IFERROR(__xludf.DUMMYFUNCTION("""COMPUTED_VALUE"""),0.9780227966922447)</f>
        <v>0.9780227967</v>
      </c>
      <c r="I12" s="19">
        <f>IFERROR(__xludf.DUMMYFUNCTION("""COMPUTED_VALUE"""),1319.9)</f>
        <v>1319.9</v>
      </c>
      <c r="J12" s="22">
        <f>IFERROR(__xludf.DUMMYFUNCTION("""COMPUTED_VALUE"""),0.005795893628305071)</f>
        <v>0.005795893628</v>
      </c>
      <c r="K12" s="23" t="str">
        <f t="array" ref="K12">IF(A12&lt;&gt;" ", (VLOOKUP(A12, 'NSEBSE Code'!A:C, 2, FALSE)), " ")</f>
        <v>Automobile</v>
      </c>
      <c r="L12" s="23" t="str">
        <f t="array" ref="L12">IF(A12&lt;&gt;" ", (VLOOKUP(A12, 'NSEBSE Code'!A:C, 3, FALSE)), " ")</f>
        <v>M&amp;M</v>
      </c>
      <c r="M12" s="23" t="str">
        <f t="array" ref="M12">IF(F12 &gt; 0.3, "Yes", "No")</f>
        <v>No</v>
      </c>
      <c r="N12" s="19" t="str">
        <f t="array" ref="N12">IF(H12 &lt;0.3, "Yes", "No")</f>
        <v>No</v>
      </c>
      <c r="O12" s="19" t="str">
        <f t="array" ref="O12">IF(AND(D12&lt;65, M12="No",N12="No"), "Good Stock", " ")</f>
        <v>Good Stock</v>
      </c>
      <c r="P12" s="19" t="str">
        <f t="array" ref="P12">IF(B12 &gt;= $Q$2 * 0.6, "Large Cap Stocks", IF(B12 &gt;= $Q$2 * 0.4, "Medium Cap Stocks", "Low Cap Stocks"))</f>
        <v>Low Cap Stocks</v>
      </c>
    </row>
    <row r="13">
      <c r="A13" s="19" t="str">
        <f>IFERROR(__xludf.DUMMYFUNCTION("""COMPUTED_VALUE"""),"Tata Steel")</f>
        <v>Tata Steel</v>
      </c>
      <c r="B13" s="21">
        <f>IFERROR(__xludf.DUMMYFUNCTION("""COMPUTED_VALUE"""),147293.6037181)</f>
        <v>147293.6037</v>
      </c>
      <c r="C13" s="19">
        <f>IFERROR(__xludf.DUMMYFUNCTION("""COMPUTED_VALUE"""),120.45)</f>
        <v>120.45</v>
      </c>
      <c r="D13" s="19">
        <f>IFERROR(__xludf.DUMMYFUNCTION("""COMPUTED_VALUE"""),5.13)</f>
        <v>5.13</v>
      </c>
      <c r="E13" s="19">
        <f>IFERROR(__xludf.DUMMYFUNCTION("""COMPUTED_VALUE"""),138.63)</f>
        <v>138.63</v>
      </c>
      <c r="F13" s="22">
        <f>IFERROR(__xludf.DUMMYFUNCTION("""COMPUTED_VALUE"""),0.1311404457909543)</f>
        <v>0.1311404458</v>
      </c>
      <c r="G13" s="19">
        <f>IFERROR(__xludf.DUMMYFUNCTION("""COMPUTED_VALUE"""),82.71)</f>
        <v>82.71</v>
      </c>
      <c r="H13" s="22">
        <f>IFERROR(__xludf.DUMMYFUNCTION("""COMPUTED_VALUE"""),0.45629307217990583)</f>
        <v>0.4562930722</v>
      </c>
      <c r="I13" s="19">
        <f>IFERROR(__xludf.DUMMYFUNCTION("""COMPUTED_VALUE"""),118.05)</f>
        <v>118.05</v>
      </c>
      <c r="J13" s="22">
        <f>IFERROR(__xludf.DUMMYFUNCTION("""COMPUTED_VALUE"""),0.020330368487928893)</f>
        <v>0.02033036849</v>
      </c>
      <c r="K13" s="23" t="str">
        <f t="array" ref="K13">IF(A13&lt;&gt;" ", (VLOOKUP(A13, 'NSEBSE Code'!A:C, 2, FALSE)), " ")</f>
        <v>Infrastructure</v>
      </c>
      <c r="L13" s="23" t="str">
        <f t="array" ref="L13">IF(A13&lt;&gt;" ", (VLOOKUP(A13, 'NSEBSE Code'!A:C, 3, FALSE)), " ")</f>
        <v>BOM:500470</v>
      </c>
      <c r="M13" s="23" t="str">
        <f t="array" ref="M13">IF(F13 &gt; 0.3, "Yes", "No")</f>
        <v>No</v>
      </c>
      <c r="N13" s="19" t="str">
        <f t="array" ref="N13">IF(H13 &lt;0.3, "Yes", "No")</f>
        <v>No</v>
      </c>
      <c r="O13" s="19" t="str">
        <f t="array" ref="O13">IF(AND(D13&lt;65, M13="No",N13="No"), "Good Stock", " ")</f>
        <v>Good Stock</v>
      </c>
      <c r="P13" s="19" t="str">
        <f t="array" ref="P13">IF(B13 &gt;= $Q$2 * 0.6, "Large Cap Stocks", IF(B13 &gt;= $Q$2 * 0.4, "Medium Cap Stocks", "Low Cap Stocks"))</f>
        <v>Low Cap Stocks</v>
      </c>
    </row>
    <row r="14">
      <c r="A14" s="19" t="str">
        <f>IFERROR(__xludf.DUMMYFUNCTION("""COMPUTED_VALUE"""),"SBI life Insurance")</f>
        <v>SBI life Insurance</v>
      </c>
      <c r="B14" s="21">
        <f>IFERROR(__xludf.DUMMYFUNCTION("""COMPUTED_VALUE"""),130568.986925)</f>
        <v>130568.9869</v>
      </c>
      <c r="C14" s="19">
        <f>IFERROR(__xludf.DUMMYFUNCTION("""COMPUTED_VALUE"""),1307.0)</f>
        <v>1307</v>
      </c>
      <c r="D14" s="19">
        <f>IFERROR(__xludf.DUMMYFUNCTION("""COMPUTED_VALUE"""),78.07)</f>
        <v>78.07</v>
      </c>
      <c r="E14" s="19">
        <f>IFERROR(__xludf.DUMMYFUNCTION("""COMPUTED_VALUE"""),1340.35)</f>
        <v>1340.35</v>
      </c>
      <c r="F14" s="22">
        <f>IFERROR(__xludf.DUMMYFUNCTION("""COMPUTED_VALUE"""),0.024881560786361705)</f>
        <v>0.02488156079</v>
      </c>
      <c r="G14" s="19">
        <f>IFERROR(__xludf.DUMMYFUNCTION("""COMPUTED_VALUE"""),1003.5)</f>
        <v>1003.5</v>
      </c>
      <c r="H14" s="22">
        <f>IFERROR(__xludf.DUMMYFUNCTION("""COMPUTED_VALUE"""),0.3024414549078226)</f>
        <v>0.3024414549</v>
      </c>
      <c r="I14" s="19">
        <f>IFERROR(__xludf.DUMMYFUNCTION("""COMPUTED_VALUE"""),1315.7)</f>
        <v>1315.7</v>
      </c>
      <c r="J14" s="22">
        <f>IFERROR(__xludf.DUMMYFUNCTION("""COMPUTED_VALUE"""),-0.006612449646576001)</f>
        <v>-0.006612449647</v>
      </c>
      <c r="K14" s="23" t="str">
        <f t="array" ref="K14">IF(A14&lt;&gt;" ", (VLOOKUP(A14, 'NSEBSE Code'!A:C, 2, FALSE)), " ")</f>
        <v>Insurance</v>
      </c>
      <c r="L14" s="23" t="str">
        <f t="array" ref="L14">IF(A14&lt;&gt;" ", (VLOOKUP(A14, 'NSEBSE Code'!A:C, 3, FALSE)), " ")</f>
        <v>SBILIFE</v>
      </c>
      <c r="M14" s="23" t="str">
        <f t="array" ref="M14">IF(F14 &gt; 0.3, "Yes", "No")</f>
        <v>No</v>
      </c>
      <c r="N14" s="19" t="str">
        <f t="array" ref="N14">IF(H14 &lt;0.3, "Yes", "No")</f>
        <v>No</v>
      </c>
      <c r="O14" s="19" t="str">
        <f t="array" ref="O14">IF(AND(D14&lt;65, M14="No",N14="No"), "Good Stock", " ")</f>
        <v> </v>
      </c>
      <c r="P14" s="19" t="str">
        <f t="array" ref="P14">IF(B14 &gt;= $Q$2 * 0.6, "Large Cap Stocks", IF(B14 &gt;= $Q$2 * 0.4, "Medium Cap Stocks", "Low Cap Stocks"))</f>
        <v>Low Cap Stocks</v>
      </c>
    </row>
    <row r="15">
      <c r="A15" s="19" t="str">
        <f>IFERROR(__xludf.DUMMYFUNCTION("""COMPUTED_VALUE"""),"Pidilite Industries")</f>
        <v>Pidilite Industries</v>
      </c>
      <c r="B15" s="21">
        <f>IFERROR(__xludf.DUMMYFUNCTION("""COMPUTED_VALUE"""),127340.0)</f>
        <v>127340</v>
      </c>
      <c r="C15" s="19">
        <f>IFERROR(__xludf.DUMMYFUNCTION("""COMPUTED_VALUE"""),2513.0)</f>
        <v>2513</v>
      </c>
      <c r="D15" s="19">
        <f>IFERROR(__xludf.DUMMYFUNCTION("""COMPUTED_VALUE"""),98.38)</f>
        <v>98.38</v>
      </c>
      <c r="E15" s="19">
        <f>IFERROR(__xludf.DUMMYFUNCTION("""COMPUTED_VALUE"""),2918.95)</f>
        <v>2918.95</v>
      </c>
      <c r="F15" s="22">
        <f>IFERROR(__xludf.DUMMYFUNCTION("""COMPUTED_VALUE"""),0.13907398208259814)</f>
        <v>0.1390739821</v>
      </c>
      <c r="G15" s="19">
        <f>IFERROR(__xludf.DUMMYFUNCTION("""COMPUTED_VALUE"""),1988.55)</f>
        <v>1988.55</v>
      </c>
      <c r="H15" s="22">
        <f>IFERROR(__xludf.DUMMYFUNCTION("""COMPUTED_VALUE"""),0.26373488220059843)</f>
        <v>0.2637348822</v>
      </c>
      <c r="I15" s="19">
        <f>IFERROR(__xludf.DUMMYFUNCTION("""COMPUTED_VALUE"""),2495.5)</f>
        <v>2495.5</v>
      </c>
      <c r="J15" s="22">
        <f>IFERROR(__xludf.DUMMYFUNCTION("""COMPUTED_VALUE"""),0.0070126227208976155)</f>
        <v>0.007012622721</v>
      </c>
      <c r="K15" s="23" t="str">
        <f t="array" ref="K15">IF(A15&lt;&gt;" ", (VLOOKUP(A15, 'NSEBSE Code'!A:C, 2, FALSE)), " ")</f>
        <v>Chemical</v>
      </c>
      <c r="L15" s="23" t="str">
        <f t="array" ref="L15">IF(A15&lt;&gt;" ", (VLOOKUP(A15, 'NSEBSE Code'!A:C, 3, FALSE)), " ")</f>
        <v>PIDILITIND</v>
      </c>
      <c r="M15" s="23" t="str">
        <f t="array" ref="M15">IF(F15 &gt; 0.3, "Yes", "No")</f>
        <v>No</v>
      </c>
      <c r="N15" s="19" t="str">
        <f t="array" ref="N15">IF(H15 &lt;0.3, "Yes", "No")</f>
        <v>Yes</v>
      </c>
      <c r="O15" s="19" t="str">
        <f t="array" ref="O15">IF(AND(D15&lt;65, M15="No",N15="No"), "Good Stock", " ")</f>
        <v> </v>
      </c>
      <c r="P15" s="19" t="str">
        <f t="array" ref="P15">IF(B15 &gt;= $Q$2 * 0.6, "Large Cap Stocks", IF(B15 &gt;= $Q$2 * 0.4, "Medium Cap Stocks", "Low Cap Stocks"))</f>
        <v>Low Cap Stocks</v>
      </c>
    </row>
    <row r="16">
      <c r="A16" s="19" t="str">
        <f>IFERROR(__xludf.DUMMYFUNCTION("""COMPUTED_VALUE"""),"L&amp;T Infotech")</f>
        <v>L&amp;T Infotech</v>
      </c>
      <c r="B16" s="21">
        <f>IFERROR(__xludf.DUMMYFUNCTION("""COMPUTED_VALUE"""),126813.4)</f>
        <v>126813.4</v>
      </c>
      <c r="C16" s="19">
        <f>IFERROR(__xludf.DUMMYFUNCTION("""COMPUTED_VALUE"""),4289.8)</f>
        <v>4289.8</v>
      </c>
      <c r="D16" s="19">
        <f>IFERROR(__xludf.DUMMYFUNCTION("""COMPUTED_VALUE"""),34.73)</f>
        <v>34.73</v>
      </c>
      <c r="E16" s="19">
        <f>IFERROR(__xludf.DUMMYFUNCTION("""COMPUTED_VALUE"""),4293.25)</f>
        <v>4293.25</v>
      </c>
      <c r="F16" s="22">
        <f>IFERROR(__xludf.DUMMYFUNCTION("""COMPUTED_VALUE"""),8.035870261456514E-4)</f>
        <v>0.0008035870261</v>
      </c>
      <c r="G16" s="19">
        <f>IFERROR(__xludf.DUMMYFUNCTION("""COMPUTED_VALUE"""),4147.45)</f>
        <v>4147.45</v>
      </c>
      <c r="H16" s="22">
        <f>IFERROR(__xludf.DUMMYFUNCTION("""COMPUTED_VALUE"""),0.03432229442187377)</f>
        <v>0.03432229442</v>
      </c>
      <c r="I16" s="19">
        <f>IFERROR(__xludf.DUMMYFUNCTION("""COMPUTED_VALUE"""),4279.2)</f>
        <v>4279.2</v>
      </c>
      <c r="J16" s="22">
        <f>IFERROR(__xludf.DUMMYFUNCTION("""COMPUTED_VALUE"""),0.0024770985230885127)</f>
        <v>0.002477098523</v>
      </c>
      <c r="K16" s="23" t="str">
        <f t="array" ref="K16">IF(A16&lt;&gt;" ", (VLOOKUP(A16, 'NSEBSE Code'!A:C, 2, FALSE)), " ")</f>
        <v>IT</v>
      </c>
      <c r="L16" s="23" t="str">
        <f t="array" ref="L16">IF(A16&lt;&gt;" ", (VLOOKUP(A16, 'NSEBSE Code'!A:C, 3, FALSE)), " ")</f>
        <v>BOM:540005</v>
      </c>
      <c r="M16" s="23" t="str">
        <f t="array" ref="M16">IF(F16 &gt; 0.3, "Yes", "No")</f>
        <v>No</v>
      </c>
      <c r="N16" s="19" t="str">
        <f t="array" ref="N16">IF(H16 &lt;0.3, "Yes", "No")</f>
        <v>Yes</v>
      </c>
      <c r="O16" s="19" t="str">
        <f t="array" ref="O16">IF(AND(D16&lt;65, M16="No",N16="No"), "Good Stock", " ")</f>
        <v> </v>
      </c>
      <c r="P16" s="19" t="str">
        <f t="array" ref="P16">IF(B16 &gt;= $Q$2 * 0.6, "Large Cap Stocks", IF(B16 &gt;= $Q$2 * 0.4, "Medium Cap Stocks", "Low Cap Stocks"))</f>
        <v>Low Cap Stocks</v>
      </c>
    </row>
    <row r="17">
      <c r="A17" s="19" t="str">
        <f>IFERROR(__xludf.DUMMYFUNCTION("""COMPUTED_VALUE"""),"Britannia")</f>
        <v>Britannia</v>
      </c>
      <c r="B17" s="21">
        <f>IFERROR(__xludf.DUMMYFUNCTION("""COMPUTED_VALUE"""),104442.9)</f>
        <v>104442.9</v>
      </c>
      <c r="C17" s="19">
        <f>IFERROR(__xludf.DUMMYFUNCTION("""COMPUTED_VALUE"""),4328.0)</f>
        <v>4328</v>
      </c>
      <c r="D17" s="19">
        <f>IFERROR(__xludf.DUMMYFUNCTION("""COMPUTED_VALUE"""),65.9)</f>
        <v>65.9</v>
      </c>
      <c r="E17" s="19">
        <f>IFERROR(__xludf.DUMMYFUNCTION("""COMPUTED_VALUE"""),4537.0)</f>
        <v>4537</v>
      </c>
      <c r="F17" s="22">
        <f>IFERROR(__xludf.DUMMYFUNCTION("""COMPUTED_VALUE"""),0.046065682168834034)</f>
        <v>0.04606568217</v>
      </c>
      <c r="G17" s="19">
        <f>IFERROR(__xludf.DUMMYFUNCTION("""COMPUTED_VALUE"""),3050.0)</f>
        <v>3050</v>
      </c>
      <c r="H17" s="22">
        <f>IFERROR(__xludf.DUMMYFUNCTION("""COMPUTED_VALUE"""),0.4190163934426229)</f>
        <v>0.4190163934</v>
      </c>
      <c r="I17" s="19">
        <f>IFERROR(__xludf.DUMMYFUNCTION("""COMPUTED_VALUE"""),4299.25)</f>
        <v>4299.25</v>
      </c>
      <c r="J17" s="22">
        <f>IFERROR(__xludf.DUMMYFUNCTION("""COMPUTED_VALUE"""),0.006687212885968483)</f>
        <v>0.006687212886</v>
      </c>
      <c r="K17" s="23" t="str">
        <f t="array" ref="K17">IF(A17&lt;&gt;" ", (VLOOKUP(A17, 'NSEBSE Code'!A:C, 2, FALSE)), " ")</f>
        <v>FMCG</v>
      </c>
      <c r="L17" s="23" t="str">
        <f t="array" ref="L17">IF(A17&lt;&gt;" ", (VLOOKUP(A17, 'NSEBSE Code'!A:C, 3, FALSE)), " ")</f>
        <v>BRITANNIA</v>
      </c>
      <c r="M17" s="23" t="str">
        <f t="array" ref="M17">IF(F17 &gt; 0.3, "Yes", "No")</f>
        <v>No</v>
      </c>
      <c r="N17" s="19" t="str">
        <f t="array" ref="N17">IF(H17 &lt;0.3, "Yes", "No")</f>
        <v>No</v>
      </c>
      <c r="O17" s="19" t="str">
        <f t="array" ref="O17">IF(AND(D17&lt;65, M17="No",N17="No"), "Good Stock", " ")</f>
        <v> </v>
      </c>
      <c r="P17" s="19" t="str">
        <f t="array" ref="P17">IF(B17 &gt;= $Q$2 * 0.6, "Large Cap Stocks", IF(B17 &gt;= $Q$2 * 0.4, "Medium Cap Stocks", "Low Cap Stocks"))</f>
        <v>Low Cap Stocks</v>
      </c>
    </row>
    <row r="18">
      <c r="A18" s="19" t="str">
        <f>IFERROR(__xludf.DUMMYFUNCTION("""COMPUTED_VALUE"""),"Ambuja Cement")</f>
        <v>Ambuja Cement</v>
      </c>
      <c r="B18" s="21">
        <f>IFERROR(__xludf.DUMMYFUNCTION("""COMPUTED_VALUE"""),102995.3567038)</f>
        <v>102995.3567</v>
      </c>
      <c r="C18" s="19">
        <f>IFERROR(__xludf.DUMMYFUNCTION("""COMPUTED_VALUE"""),518.7)</f>
        <v>518.7</v>
      </c>
      <c r="D18" s="19">
        <f>IFERROR(__xludf.DUMMYFUNCTION("""COMPUTED_VALUE"""),57.36)</f>
        <v>57.36</v>
      </c>
      <c r="E18" s="19">
        <f>IFERROR(__xludf.DUMMYFUNCTION("""COMPUTED_VALUE"""),598.15)</f>
        <v>598.15</v>
      </c>
      <c r="F18" s="22">
        <f>IFERROR(__xludf.DUMMYFUNCTION("""COMPUTED_VALUE"""),0.13282621416032755)</f>
        <v>0.1328262142</v>
      </c>
      <c r="G18" s="19">
        <f>IFERROR(__xludf.DUMMYFUNCTION("""COMPUTED_VALUE"""),274.0)</f>
        <v>274</v>
      </c>
      <c r="H18" s="22">
        <f>IFERROR(__xludf.DUMMYFUNCTION("""COMPUTED_VALUE"""),0.8930656934306571)</f>
        <v>0.8930656934</v>
      </c>
      <c r="I18" s="19">
        <f>IFERROR(__xludf.DUMMYFUNCTION("""COMPUTED_VALUE"""),510.4)</f>
        <v>510.4</v>
      </c>
      <c r="J18" s="22">
        <f>IFERROR(__xludf.DUMMYFUNCTION("""COMPUTED_VALUE"""),0.01626175548589355)</f>
        <v>0.01626175549</v>
      </c>
      <c r="K18" s="23" t="str">
        <f t="array" ref="K18">IF(A18&lt;&gt;" ", (VLOOKUP(A18, 'NSEBSE Code'!A:C, 2, FALSE)), " ")</f>
        <v>Cement</v>
      </c>
      <c r="L18" s="23" t="str">
        <f t="array" ref="L18">IF(A18&lt;&gt;" ", (VLOOKUP(A18, 'NSEBSE Code'!A:C, 3, FALSE)), " ")</f>
        <v>BOM:500425</v>
      </c>
      <c r="M18" s="23" t="str">
        <f t="array" ref="M18">IF(F18 &gt; 0.3, "Yes", "No")</f>
        <v>No</v>
      </c>
      <c r="N18" s="19" t="str">
        <f t="array" ref="N18">IF(H18 &lt;0.3, "Yes", "No")</f>
        <v>No</v>
      </c>
      <c r="O18" s="19" t="str">
        <f t="array" ref="O18">IF(AND(D18&lt;65, M18="No",N18="No"), "Good Stock", " ")</f>
        <v>Good Stock</v>
      </c>
      <c r="P18" s="19" t="str">
        <f t="array" ref="P18">IF(B18 &gt;= $Q$2 * 0.6, "Large Cap Stocks", IF(B18 &gt;= $Q$2 * 0.4, "Medium Cap Stocks", "Low Cap Stocks"))</f>
        <v>Low Cap Stocks</v>
      </c>
    </row>
    <row r="19">
      <c r="A19" s="19" t="str">
        <f>IFERROR(__xludf.DUMMYFUNCTION("""COMPUTED_VALUE"""),"Bajaj Auto")</f>
        <v>Bajaj Auto</v>
      </c>
      <c r="B19" s="21">
        <f>IFERROR(__xludf.DUMMYFUNCTION("""COMPUTED_VALUE"""),101964.8629622)</f>
        <v>101964.863</v>
      </c>
      <c r="C19" s="19">
        <f>IFERROR(__xludf.DUMMYFUNCTION("""COMPUTED_VALUE"""),3602.45)</f>
        <v>3602.45</v>
      </c>
      <c r="D19" s="19">
        <f>IFERROR(__xludf.DUMMYFUNCTION("""COMPUTED_VALUE"""),17.79)</f>
        <v>17.79</v>
      </c>
      <c r="E19" s="19">
        <f>IFERROR(__xludf.DUMMYFUNCTION("""COMPUTED_VALUE"""),4131.75)</f>
        <v>4131.75</v>
      </c>
      <c r="F19" s="22">
        <f>IFERROR(__xludf.DUMMYFUNCTION("""COMPUTED_VALUE"""),0.12810552429358024)</f>
        <v>0.1281055243</v>
      </c>
      <c r="G19" s="19">
        <f>IFERROR(__xludf.DUMMYFUNCTION("""COMPUTED_VALUE"""),3125.0)</f>
        <v>3125</v>
      </c>
      <c r="H19" s="22">
        <f>IFERROR(__xludf.DUMMYFUNCTION("""COMPUTED_VALUE"""),0.15278399999999995)</f>
        <v>0.152784</v>
      </c>
      <c r="I19" s="19">
        <f>IFERROR(__xludf.DUMMYFUNCTION("""COMPUTED_VALUE"""),3570.3)</f>
        <v>3570.3</v>
      </c>
      <c r="J19" s="22">
        <f>IFERROR(__xludf.DUMMYFUNCTION("""COMPUTED_VALUE"""),0.009004845531187753)</f>
        <v>0.009004845531</v>
      </c>
      <c r="K19" s="23" t="str">
        <f t="array" ref="K19">IF(A19&lt;&gt;" ", (VLOOKUP(A19, 'NSEBSE Code'!A:C, 2, FALSE)), " ")</f>
        <v>Automobile</v>
      </c>
      <c r="L19" s="23" t="str">
        <f t="array" ref="L19">IF(A19&lt;&gt;" ", (VLOOKUP(A19, 'NSEBSE Code'!A:C, 3, FALSE)), " ")</f>
        <v>BAJAJ-AUTO</v>
      </c>
      <c r="M19" s="23" t="str">
        <f t="array" ref="M19">IF(F19 &gt; 0.3, "Yes", "No")</f>
        <v>No</v>
      </c>
      <c r="N19" s="19" t="str">
        <f t="array" ref="N19">IF(H19 &lt;0.3, "Yes", "No")</f>
        <v>Yes</v>
      </c>
      <c r="O19" s="19" t="str">
        <f t="array" ref="O19">IF(AND(D19&lt;65, M19="No",N19="No"), "Good Stock", " ")</f>
        <v> </v>
      </c>
      <c r="P19" s="19" t="str">
        <f t="array" ref="P19">IF(B19 &gt;= $Q$2 * 0.6, "Large Cap Stocks", IF(B19 &gt;= $Q$2 * 0.4, "Medium Cap Stocks", "Low Cap Stocks"))</f>
        <v>Low Cap Stocks</v>
      </c>
    </row>
    <row r="20">
      <c r="A20" s="19" t="str">
        <f>IFERROR(__xludf.DUMMYFUNCTION("""COMPUTED_VALUE"""),"Tech Mahindra")</f>
        <v>Tech Mahindra</v>
      </c>
      <c r="B20" s="21">
        <f>IFERROR(__xludf.DUMMYFUNCTION("""COMPUTED_VALUE"""),97631.0184537)</f>
        <v>97631.01845</v>
      </c>
      <c r="C20" s="19">
        <f>IFERROR(__xludf.DUMMYFUNCTION("""COMPUTED_VALUE"""),1002.8)</f>
        <v>1002.8</v>
      </c>
      <c r="D20" s="19">
        <f>IFERROR(__xludf.DUMMYFUNCTION("""COMPUTED_VALUE"""),16.8)</f>
        <v>16.8</v>
      </c>
      <c r="E20" s="19">
        <f>IFERROR(__xludf.DUMMYFUNCTION("""COMPUTED_VALUE"""),1751.0)</f>
        <v>1751</v>
      </c>
      <c r="F20" s="22">
        <f>IFERROR(__xludf.DUMMYFUNCTION("""COMPUTED_VALUE"""),0.42729868646487723)</f>
        <v>0.4272986865</v>
      </c>
      <c r="G20" s="19">
        <f>IFERROR(__xludf.DUMMYFUNCTION("""COMPUTED_VALUE"""),943.7)</f>
        <v>943.7</v>
      </c>
      <c r="H20" s="22">
        <f>IFERROR(__xludf.DUMMYFUNCTION("""COMPUTED_VALUE"""),0.06262583448129692)</f>
        <v>0.06262583448</v>
      </c>
      <c r="I20" s="19">
        <f>IFERROR(__xludf.DUMMYFUNCTION("""COMPUTED_VALUE"""),1001.55)</f>
        <v>1001.55</v>
      </c>
      <c r="J20" s="22">
        <f>IFERROR(__xludf.DUMMYFUNCTION("""COMPUTED_VALUE"""),0.0012480654984773601)</f>
        <v>0.001248065498</v>
      </c>
      <c r="K20" s="23" t="str">
        <f t="array" ref="K20">IF(A20&lt;&gt;" ", (VLOOKUP(A20, 'NSEBSE Code'!A:C, 2, FALSE)), " ")</f>
        <v>IT</v>
      </c>
      <c r="L20" s="23" t="str">
        <f t="array" ref="L20">IF(A20&lt;&gt;" ", (VLOOKUP(A20, 'NSEBSE Code'!A:C, 3, FALSE)), " ")</f>
        <v>TECHM</v>
      </c>
      <c r="M20" s="23" t="str">
        <f t="array" ref="M20">IF(F20 &gt; 0.3, "Yes", "No")</f>
        <v>Yes</v>
      </c>
      <c r="N20" s="19" t="str">
        <f t="array" ref="N20">IF(H20 &lt;0.3, "Yes", "No")</f>
        <v>Yes</v>
      </c>
      <c r="O20" s="19" t="str">
        <f t="array" ref="O20">IF(AND(D20&lt;65, M20="No",N20="No"), "Good Stock", " ")</f>
        <v> </v>
      </c>
      <c r="P20" s="19" t="str">
        <f t="array" ref="P20">IF(B20 &gt;= $Q$2 * 0.6, "Large Cap Stocks", IF(B20 &gt;= $Q$2 * 0.4, "Medium Cap Stocks", "Low Cap Stocks"))</f>
        <v>Low Cap Stocks</v>
      </c>
    </row>
    <row r="21">
      <c r="A21" s="19" t="str">
        <f>IFERROR(__xludf.DUMMYFUNCTION("""COMPUTED_VALUE"""),"Dabur")</f>
        <v>Dabur</v>
      </c>
      <c r="B21" s="21">
        <f>IFERROR(__xludf.DUMMYFUNCTION("""COMPUTED_VALUE"""),96383.9372552)</f>
        <v>96383.93726</v>
      </c>
      <c r="C21" s="19">
        <f>IFERROR(__xludf.DUMMYFUNCTION("""COMPUTED_VALUE"""),544.0)</f>
        <v>544</v>
      </c>
      <c r="D21" s="19">
        <f>IFERROR(__xludf.DUMMYFUNCTION("""COMPUTED_VALUE"""),55.79)</f>
        <v>55.79</v>
      </c>
      <c r="E21" s="19">
        <f>IFERROR(__xludf.DUMMYFUNCTION("""COMPUTED_VALUE"""),610.75)</f>
        <v>610.75</v>
      </c>
      <c r="F21" s="22">
        <f>IFERROR(__xludf.DUMMYFUNCTION("""COMPUTED_VALUE"""),0.10929185427752763)</f>
        <v>0.1092918543</v>
      </c>
      <c r="G21" s="19">
        <f>IFERROR(__xludf.DUMMYFUNCTION("""COMPUTED_VALUE"""),482.25)</f>
        <v>482.25</v>
      </c>
      <c r="H21" s="22">
        <f>IFERROR(__xludf.DUMMYFUNCTION("""COMPUTED_VALUE"""),0.12804561949196475)</f>
        <v>0.1280456195</v>
      </c>
      <c r="I21" s="19">
        <f>IFERROR(__xludf.DUMMYFUNCTION("""COMPUTED_VALUE"""),544.95)</f>
        <v>544.95</v>
      </c>
      <c r="J21" s="22">
        <f>IFERROR(__xludf.DUMMYFUNCTION("""COMPUTED_VALUE"""),-0.0017432791999266821)</f>
        <v>-0.0017432792</v>
      </c>
      <c r="K21" s="23" t="str">
        <f t="array" ref="K21">IF(A21&lt;&gt;" ", (VLOOKUP(A21, 'NSEBSE Code'!A:C, 2, FALSE)), " ")</f>
        <v>FMCG</v>
      </c>
      <c r="L21" s="23" t="str">
        <f t="array" ref="L21">IF(A21&lt;&gt;" ", (VLOOKUP(A21, 'NSEBSE Code'!A:C, 3, FALSE)), " ")</f>
        <v>DABUR</v>
      </c>
      <c r="M21" s="23" t="str">
        <f t="array" ref="M21">IF(F21 &gt; 0.3, "Yes", "No")</f>
        <v>No</v>
      </c>
      <c r="N21" s="19" t="str">
        <f t="array" ref="N21">IF(H21 &lt;0.3, "Yes", "No")</f>
        <v>Yes</v>
      </c>
      <c r="O21" s="19" t="str">
        <f t="array" ref="O21">IF(AND(D21&lt;65, M21="No",N21="No"), "Good Stock", " ")</f>
        <v> </v>
      </c>
      <c r="P21" s="19" t="str">
        <f t="array" ref="P21">IF(B21 &gt;= $Q$2 * 0.6, "Large Cap Stocks", IF(B21 &gt;= $Q$2 * 0.4, "Medium Cap Stocks", "Low Cap Stocks"))</f>
        <v>Low Cap Stocks</v>
      </c>
    </row>
    <row r="22">
      <c r="A22" s="19" t="str">
        <f>IFERROR(__xludf.DUMMYFUNCTION("""COMPUTED_VALUE"""),"Divi's Lab")</f>
        <v>Divi's Lab</v>
      </c>
      <c r="B22" s="21">
        <f>IFERROR(__xludf.DUMMYFUNCTION("""COMPUTED_VALUE"""),88977.11)</f>
        <v>88977.11</v>
      </c>
      <c r="C22" s="19">
        <f>IFERROR(__xludf.DUMMYFUNCTION("""COMPUTED_VALUE"""),3352.15)</f>
        <v>3352.15</v>
      </c>
      <c r="D22" s="19">
        <f>IFERROR(__xludf.DUMMYFUNCTION("""COMPUTED_VALUE"""),29.74)</f>
        <v>29.74</v>
      </c>
      <c r="E22" s="19">
        <f>IFERROR(__xludf.DUMMYFUNCTION("""COMPUTED_VALUE"""),4668.0)</f>
        <v>4668</v>
      </c>
      <c r="F22" s="22">
        <f>IFERROR(__xludf.DUMMYFUNCTION("""COMPUTED_VALUE"""),0.28188731790916877)</f>
        <v>0.2818873179</v>
      </c>
      <c r="G22" s="19">
        <f>IFERROR(__xludf.DUMMYFUNCTION("""COMPUTED_VALUE"""),3195.15)</f>
        <v>3195.15</v>
      </c>
      <c r="H22" s="22">
        <f>IFERROR(__xludf.DUMMYFUNCTION("""COMPUTED_VALUE"""),0.049136973225044206)</f>
        <v>0.04913697323</v>
      </c>
      <c r="I22" s="19">
        <f>IFERROR(__xludf.DUMMYFUNCTION("""COMPUTED_VALUE"""),3305.3)</f>
        <v>3305.3</v>
      </c>
      <c r="J22" s="22">
        <f>IFERROR(__xludf.DUMMYFUNCTION("""COMPUTED_VALUE"""),0.014174205064593201)</f>
        <v>0.01417420506</v>
      </c>
      <c r="K22" s="23" t="str">
        <f t="array" ref="K22">IF(A22&lt;&gt;" ", (VLOOKUP(A22, 'NSEBSE Code'!A:C, 2, FALSE)), " ")</f>
        <v>Pharma</v>
      </c>
      <c r="L22" s="23" t="str">
        <f t="array" ref="L22">IF(A22&lt;&gt;" ", (VLOOKUP(A22, 'NSEBSE Code'!A:C, 3, FALSE)), " ")</f>
        <v>DIVISLAB</v>
      </c>
      <c r="M22" s="23" t="str">
        <f t="array" ref="M22">IF(F22 &gt; 0.3, "Yes", "No")</f>
        <v>No</v>
      </c>
      <c r="N22" s="19" t="str">
        <f t="array" ref="N22">IF(H22 &lt;0.3, "Yes", "No")</f>
        <v>Yes</v>
      </c>
      <c r="O22" s="19" t="str">
        <f t="array" ref="O22">IF(AND(D22&lt;65, M22="No",N22="No"), "Good Stock", " ")</f>
        <v> </v>
      </c>
      <c r="P22" s="19" t="str">
        <f t="array" ref="P22">IF(B22 &gt;= $Q$2 * 0.6, "Large Cap Stocks", IF(B22 &gt;= $Q$2 * 0.4, "Medium Cap Stocks", "Low Cap Stocks"))</f>
        <v>Low Cap Stocks</v>
      </c>
    </row>
    <row r="23">
      <c r="A23" s="19" t="str">
        <f>IFERROR(__xludf.DUMMYFUNCTION("""COMPUTED_VALUE"""),"Eicher Motor")</f>
        <v>Eicher Motor</v>
      </c>
      <c r="B23" s="21">
        <f>IFERROR(__xludf.DUMMYFUNCTION("""COMPUTED_VALUE"""),86543.2296232)</f>
        <v>86543.22962</v>
      </c>
      <c r="C23" s="19">
        <f>IFERROR(__xludf.DUMMYFUNCTION("""COMPUTED_VALUE"""),3164.9)</f>
        <v>3164.9</v>
      </c>
      <c r="D23" s="19">
        <f>IFERROR(__xludf.DUMMYFUNCTION("""COMPUTED_VALUE"""),37.12)</f>
        <v>37.12</v>
      </c>
      <c r="E23" s="19">
        <f>IFERROR(__xludf.DUMMYFUNCTION("""COMPUTED_VALUE"""),3889.65)</f>
        <v>3889.65</v>
      </c>
      <c r="F23" s="22">
        <f>IFERROR(__xludf.DUMMYFUNCTION("""COMPUTED_VALUE"""),0.18632781869834047)</f>
        <v>0.1863278187</v>
      </c>
      <c r="G23" s="19">
        <f>IFERROR(__xludf.DUMMYFUNCTION("""COMPUTED_VALUE"""),2159.55)</f>
        <v>2159.55</v>
      </c>
      <c r="H23" s="22">
        <f>IFERROR(__xludf.DUMMYFUNCTION("""COMPUTED_VALUE"""),0.4655368016484915)</f>
        <v>0.4655368016</v>
      </c>
      <c r="I23" s="19">
        <f>IFERROR(__xludf.DUMMYFUNCTION("""COMPUTED_VALUE"""),3103.25)</f>
        <v>3103.25</v>
      </c>
      <c r="J23" s="22">
        <f>IFERROR(__xludf.DUMMYFUNCTION("""COMPUTED_VALUE"""),0.019866269233867747)</f>
        <v>0.01986626923</v>
      </c>
      <c r="K23" s="23" t="str">
        <f t="array" ref="K23">IF(A23&lt;&gt;" ", (VLOOKUP(A23, 'NSEBSE Code'!A:C, 2, FALSE)), " ")</f>
        <v>Automobile</v>
      </c>
      <c r="L23" s="23" t="str">
        <f t="array" ref="L23">IF(A23&lt;&gt;" ", (VLOOKUP(A23, 'NSEBSE Code'!A:C, 3, FALSE)), " ")</f>
        <v>EICHERMOT</v>
      </c>
      <c r="M23" s="23" t="str">
        <f t="array" ref="M23">IF(F23 &gt; 0.3, "Yes", "No")</f>
        <v>No</v>
      </c>
      <c r="N23" s="19" t="str">
        <f t="array" ref="N23">IF(H23 &lt;0.3, "Yes", "No")</f>
        <v>No</v>
      </c>
      <c r="O23" s="19" t="str">
        <f t="array" ref="O23">IF(AND(D23&lt;65, M23="No",N23="No"), "Good Stock", " ")</f>
        <v>Good Stock</v>
      </c>
      <c r="P23" s="19" t="str">
        <f t="array" ref="P23">IF(B23 &gt;= $Q$2 * 0.6, "Large Cap Stocks", IF(B23 &gt;= $Q$2 * 0.4, "Medium Cap Stocks", "Low Cap Stocks"))</f>
        <v>Low Cap Stocks</v>
      </c>
    </row>
    <row r="24">
      <c r="A24" s="19" t="str">
        <f>IFERROR(__xludf.DUMMYFUNCTION("""COMPUTED_VALUE"""),"Cipla")</f>
        <v>Cipla</v>
      </c>
      <c r="B24" s="21">
        <f>IFERROR(__xludf.DUMMYFUNCTION("""COMPUTED_VALUE"""),86182.29)</f>
        <v>86182.29</v>
      </c>
      <c r="C24" s="19">
        <f>IFERROR(__xludf.DUMMYFUNCTION("""COMPUTED_VALUE"""),1068.85)</f>
        <v>1068.85</v>
      </c>
      <c r="D24" s="19">
        <f>IFERROR(__xludf.DUMMYFUNCTION("""COMPUTED_VALUE"""),33.64)</f>
        <v>33.64</v>
      </c>
      <c r="E24" s="19">
        <f>IFERROR(__xludf.DUMMYFUNCTION("""COMPUTED_VALUE"""),1185.25)</f>
        <v>1185.25</v>
      </c>
      <c r="F24" s="22">
        <f>IFERROR(__xludf.DUMMYFUNCTION("""COMPUTED_VALUE"""),0.09820712929761662)</f>
        <v>0.0982071293</v>
      </c>
      <c r="G24" s="19">
        <f>IFERROR(__xludf.DUMMYFUNCTION("""COMPUTED_VALUE"""),860.0)</f>
        <v>860</v>
      </c>
      <c r="H24" s="22">
        <f>IFERROR(__xludf.DUMMYFUNCTION("""COMPUTED_VALUE"""),0.24284883720930223)</f>
        <v>0.2428488372</v>
      </c>
      <c r="I24" s="19">
        <f>IFERROR(__xludf.DUMMYFUNCTION("""COMPUTED_VALUE"""),1061.15)</f>
        <v>1061.15</v>
      </c>
      <c r="J24" s="22">
        <f>IFERROR(__xludf.DUMMYFUNCTION("""COMPUTED_VALUE"""),0.007256278565706844)</f>
        <v>0.007256278566</v>
      </c>
      <c r="K24" s="23" t="str">
        <f t="array" ref="K24">IF(A24&lt;&gt;" ", (VLOOKUP(A24, 'NSEBSE Code'!A:C, 2, FALSE)), " ")</f>
        <v>Pharma</v>
      </c>
      <c r="L24" s="23" t="str">
        <f t="array" ref="L24">IF(A24&lt;&gt;" ", (VLOOKUP(A24, 'NSEBSE Code'!A:C, 3, FALSE)), " ")</f>
        <v>CIPLA</v>
      </c>
      <c r="M24" s="23" t="str">
        <f t="array" ref="M24">IF(F24 &gt; 0.3, "Yes", "No")</f>
        <v>No</v>
      </c>
      <c r="N24" s="19" t="str">
        <f t="array" ref="N24">IF(H24 &lt;0.3, "Yes", "No")</f>
        <v>Yes</v>
      </c>
      <c r="O24" s="19" t="str">
        <f t="array" ref="O24">IF(AND(D24&lt;65, M24="No",N24="No"), "Good Stock", " ")</f>
        <v> </v>
      </c>
      <c r="P24" s="19" t="str">
        <f t="array" ref="P24">IF(B24 &gt;= $Q$2 * 0.6, "Large Cap Stocks", IF(B24 &gt;= $Q$2 * 0.4, "Medium Cap Stocks", "Low Cap Stocks"))</f>
        <v>Low Cap Stocks</v>
      </c>
    </row>
    <row r="25">
      <c r="A25" s="19" t="str">
        <f>IFERROR(__xludf.DUMMYFUNCTION("""COMPUTED_VALUE"""),"SBI Cards")</f>
        <v>SBI Cards</v>
      </c>
      <c r="B25" s="21">
        <f>IFERROR(__xludf.DUMMYFUNCTION("""COMPUTED_VALUE"""),74336.7630665)</f>
        <v>74336.76307</v>
      </c>
      <c r="C25" s="19">
        <f>IFERROR(__xludf.DUMMYFUNCTION("""COMPUTED_VALUE"""),786.05)</f>
        <v>786.05</v>
      </c>
      <c r="D25" s="19">
        <f>IFERROR(__xludf.DUMMYFUNCTION("""COMPUTED_VALUE"""),35.28)</f>
        <v>35.28</v>
      </c>
      <c r="E25" s="19">
        <f>IFERROR(__xludf.DUMMYFUNCTION("""COMPUTED_VALUE"""),1028.65)</f>
        <v>1028.65</v>
      </c>
      <c r="F25" s="22">
        <f>IFERROR(__xludf.DUMMYFUNCTION("""COMPUTED_VALUE"""),0.2358430953191077)</f>
        <v>0.2358430953</v>
      </c>
      <c r="G25" s="19">
        <f>IFERROR(__xludf.DUMMYFUNCTION("""COMPUTED_VALUE"""),655.7)</f>
        <v>655.7</v>
      </c>
      <c r="H25" s="22">
        <f>IFERROR(__xludf.DUMMYFUNCTION("""COMPUTED_VALUE"""),0.1987951807228914)</f>
        <v>0.1987951807</v>
      </c>
      <c r="I25" s="19">
        <f>IFERROR(__xludf.DUMMYFUNCTION("""COMPUTED_VALUE"""),780.25)</f>
        <v>780.25</v>
      </c>
      <c r="J25" s="22">
        <f>IFERROR(__xludf.DUMMYFUNCTION("""COMPUTED_VALUE"""),0.007433514899070752)</f>
        <v>0.007433514899</v>
      </c>
      <c r="K25" s="23" t="str">
        <f t="array" ref="K25">IF(A25&lt;&gt;" ", (VLOOKUP(A25, 'NSEBSE Code'!A:C, 2, FALSE)), " ")</f>
        <v>Financial Servcies</v>
      </c>
      <c r="L25" s="23" t="str">
        <f t="array" ref="L25">IF(A25&lt;&gt;" ", (VLOOKUP(A25, 'NSEBSE Code'!A:C, 3, FALSE)), " ")</f>
        <v>SBICARD</v>
      </c>
      <c r="M25" s="23" t="str">
        <f t="array" ref="M25">IF(F25 &gt; 0.3, "Yes", "No")</f>
        <v>No</v>
      </c>
      <c r="N25" s="19" t="str">
        <f t="array" ref="N25">IF(H25 &lt;0.3, "Yes", "No")</f>
        <v>Yes</v>
      </c>
      <c r="O25" s="19" t="str">
        <f t="array" ref="O25">IF(AND(D25&lt;65, M25="No",N25="No"), "Good Stock", " ")</f>
        <v> </v>
      </c>
      <c r="P25" s="19" t="str">
        <f t="array" ref="P25">IF(B25 &gt;= $Q$2 * 0.6, "Large Cap Stocks", IF(B25 &gt;= $Q$2 * 0.4, "Medium Cap Stocks", "Low Cap Stocks"))</f>
        <v>Low Cap Stocks</v>
      </c>
    </row>
    <row r="26">
      <c r="A26" s="19" t="str">
        <f>IFERROR(__xludf.DUMMYFUNCTION("""COMPUTED_VALUE"""),"Havells India")</f>
        <v>Havells India</v>
      </c>
      <c r="B26" s="21">
        <f>IFERROR(__xludf.DUMMYFUNCTION("""COMPUTED_VALUE"""),73418.66784)</f>
        <v>73418.66784</v>
      </c>
      <c r="C26" s="19">
        <f>IFERROR(__xludf.DUMMYFUNCTION("""COMPUTED_VALUE"""),1167.55)</f>
        <v>1167.55</v>
      </c>
      <c r="D26" s="19">
        <f>IFERROR(__xludf.DUMMYFUNCTION("""COMPUTED_VALUE"""),67.24)</f>
        <v>67.24</v>
      </c>
      <c r="E26" s="19">
        <f>IFERROR(__xludf.DUMMYFUNCTION("""COMPUTED_VALUE"""),1405.55)</f>
        <v>1405.55</v>
      </c>
      <c r="F26" s="22">
        <f>IFERROR(__xludf.DUMMYFUNCTION("""COMPUTED_VALUE"""),0.16932873252463448)</f>
        <v>0.1693287325</v>
      </c>
      <c r="G26" s="19">
        <f>IFERROR(__xludf.DUMMYFUNCTION("""COMPUTED_VALUE"""),1024.5)</f>
        <v>1024.5</v>
      </c>
      <c r="H26" s="22">
        <f>IFERROR(__xludf.DUMMYFUNCTION("""COMPUTED_VALUE"""),0.1396290873596876)</f>
        <v>0.1396290874</v>
      </c>
      <c r="I26" s="19">
        <f>IFERROR(__xludf.DUMMYFUNCTION("""COMPUTED_VALUE"""),1192.6)</f>
        <v>1192.6</v>
      </c>
      <c r="J26" s="22">
        <f>IFERROR(__xludf.DUMMYFUNCTION("""COMPUTED_VALUE"""),-0.021004527922186784)</f>
        <v>-0.02100452792</v>
      </c>
      <c r="K26" s="23" t="str">
        <f t="array" ref="K26">IF(A26&lt;&gt;" ", (VLOOKUP(A26, 'NSEBSE Code'!A:C, 2, FALSE)), " ")</f>
        <v>Consumer Electrical</v>
      </c>
      <c r="L26" s="23" t="str">
        <f t="array" ref="L26">IF(A26&lt;&gt;" ", (VLOOKUP(A26, 'NSEBSE Code'!A:C, 3, FALSE)), " ")</f>
        <v>HAVELLS</v>
      </c>
      <c r="M26" s="23" t="str">
        <f t="array" ref="M26">IF(F26 &gt; 0.3, "Yes", "No")</f>
        <v>No</v>
      </c>
      <c r="N26" s="19" t="str">
        <f t="array" ref="N26">IF(H26 &lt;0.3, "Yes", "No")</f>
        <v>Yes</v>
      </c>
      <c r="O26" s="19" t="str">
        <f t="array" ref="O26">IF(AND(D26&lt;65, M26="No",N26="No"), "Good Stock", " ")</f>
        <v> </v>
      </c>
      <c r="P26" s="19" t="str">
        <f t="array" ref="P26">IF(B26 &gt;= $Q$2 * 0.6, "Large Cap Stocks", IF(B26 &gt;= $Q$2 * 0.4, "Medium Cap Stocks", "Low Cap Stocks"))</f>
        <v>Low Cap Stocks</v>
      </c>
    </row>
    <row r="27">
      <c r="A27" s="19" t="str">
        <f>IFERROR(__xludf.DUMMYFUNCTION("""COMPUTED_VALUE"""),"Tata Consumer Product")</f>
        <v>Tata Consumer Product</v>
      </c>
      <c r="B27" s="21">
        <f>IFERROR(__xludf.DUMMYFUNCTION("""COMPUTED_VALUE"""),69898.9623697)</f>
        <v>69898.96237</v>
      </c>
      <c r="C27" s="19">
        <f>IFERROR(__xludf.DUMMYFUNCTION("""COMPUTED_VALUE"""),752.8)</f>
        <v>752.8</v>
      </c>
      <c r="D27" s="19">
        <f>IFERROR(__xludf.DUMMYFUNCTION("""COMPUTED_VALUE"""),65.04)</f>
        <v>65.04</v>
      </c>
      <c r="E27" s="19">
        <f>IFERROR(__xludf.DUMMYFUNCTION("""COMPUTED_VALUE"""),861.15)</f>
        <v>861.15</v>
      </c>
      <c r="F27" s="22">
        <f>IFERROR(__xludf.DUMMYFUNCTION("""COMPUTED_VALUE"""),0.12582012425245315)</f>
        <v>0.1258201243</v>
      </c>
      <c r="G27" s="19">
        <f>IFERROR(__xludf.DUMMYFUNCTION("""COMPUTED_VALUE"""),650.2)</f>
        <v>650.2</v>
      </c>
      <c r="H27" s="22">
        <f>IFERROR(__xludf.DUMMYFUNCTION("""COMPUTED_VALUE"""),0.15779760073823423)</f>
        <v>0.1577976007</v>
      </c>
      <c r="I27" s="19">
        <f>IFERROR(__xludf.DUMMYFUNCTION("""COMPUTED_VALUE"""),754.25)</f>
        <v>754.25</v>
      </c>
      <c r="J27" s="22">
        <f>IFERROR(__xludf.DUMMYFUNCTION("""COMPUTED_VALUE"""),-0.0019224395094465303)</f>
        <v>-0.001922439509</v>
      </c>
      <c r="K27" s="23" t="str">
        <f t="array" ref="K27">IF(A27&lt;&gt;" ", (VLOOKUP(A27, 'NSEBSE Code'!A:C, 2, FALSE)), " ")</f>
        <v>FMCG</v>
      </c>
      <c r="L27" s="23" t="str">
        <f t="array" ref="L27">IF(A27&lt;&gt;" ", (VLOOKUP(A27, 'NSEBSE Code'!A:C, 3, FALSE)), " ")</f>
        <v>TATACONSUM</v>
      </c>
      <c r="M27" s="23" t="str">
        <f t="array" ref="M27">IF(F27 &gt; 0.3, "Yes", "No")</f>
        <v>No</v>
      </c>
      <c r="N27" s="19" t="str">
        <f t="array" ref="N27">IF(H27 &lt;0.3, "Yes", "No")</f>
        <v>Yes</v>
      </c>
      <c r="O27" s="19" t="str">
        <f t="array" ref="O27">IF(AND(D27&lt;65, M27="No",N27="No"), "Good Stock", " ")</f>
        <v> </v>
      </c>
      <c r="P27" s="19" t="str">
        <f t="array" ref="P27">IF(B27 &gt;= $Q$2 * 0.6, "Large Cap Stocks", IF(B27 &gt;= $Q$2 * 0.4, "Medium Cap Stocks", "Low Cap Stocks"))</f>
        <v>Low Cap Stocks</v>
      </c>
    </row>
    <row r="28">
      <c r="A28" s="19" t="str">
        <f>IFERROR(__xludf.DUMMYFUNCTION("""COMPUTED_VALUE"""),"Tata Power")</f>
        <v>Tata Power</v>
      </c>
      <c r="B28" s="21">
        <f>IFERROR(__xludf.DUMMYFUNCTION("""COMPUTED_VALUE"""),66015.7769553)</f>
        <v>66015.77696</v>
      </c>
      <c r="C28" s="19">
        <f>IFERROR(__xludf.DUMMYFUNCTION("""COMPUTED_VALUE"""),206.55)</f>
        <v>206.55</v>
      </c>
      <c r="D28" s="19">
        <f>IFERROR(__xludf.DUMMYFUNCTION("""COMPUTED_VALUE"""),25.89)</f>
        <v>25.89</v>
      </c>
      <c r="E28" s="19">
        <f>IFERROR(__xludf.DUMMYFUNCTION("""COMPUTED_VALUE"""),298.0)</f>
        <v>298</v>
      </c>
      <c r="F28" s="22">
        <f>IFERROR(__xludf.DUMMYFUNCTION("""COMPUTED_VALUE"""),0.30687919463087243)</f>
        <v>0.3068791946</v>
      </c>
      <c r="G28" s="19">
        <f>IFERROR(__xludf.DUMMYFUNCTION("""COMPUTED_VALUE"""),190.0)</f>
        <v>190</v>
      </c>
      <c r="H28" s="22">
        <f>IFERROR(__xludf.DUMMYFUNCTION("""COMPUTED_VALUE"""),0.0871052631578948)</f>
        <v>0.08710526316</v>
      </c>
      <c r="I28" s="19">
        <f>IFERROR(__xludf.DUMMYFUNCTION("""COMPUTED_VALUE"""),205.65)</f>
        <v>205.65</v>
      </c>
      <c r="J28" s="22">
        <f>IFERROR(__xludf.DUMMYFUNCTION("""COMPUTED_VALUE"""),0.0043763676148796775)</f>
        <v>0.004376367615</v>
      </c>
      <c r="K28" s="23" t="str">
        <f t="array" ref="K28">IF(A28&lt;&gt;" ", (VLOOKUP(A28, 'NSEBSE Code'!A:C, 2, FALSE)), " ")</f>
        <v>Infrastructure</v>
      </c>
      <c r="L28" s="23" t="str">
        <f t="array" ref="L28">IF(A28&lt;&gt;" ", (VLOOKUP(A28, 'NSEBSE Code'!A:C, 3, FALSE)), " ")</f>
        <v>BOM:500400</v>
      </c>
      <c r="M28" s="23" t="str">
        <f t="array" ref="M28">IF(F28 &gt; 0.3, "Yes", "No")</f>
        <v>Yes</v>
      </c>
      <c r="N28" s="19" t="str">
        <f t="array" ref="N28">IF(H28 &lt;0.3, "Yes", "No")</f>
        <v>Yes</v>
      </c>
      <c r="O28" s="19" t="str">
        <f t="array" ref="O28">IF(AND(D28&lt;65, M28="No",N28="No"), "Good Stock", " ")</f>
        <v> </v>
      </c>
      <c r="P28" s="19" t="str">
        <f t="array" ref="P28">IF(B28 &gt;= $Q$2 * 0.6, "Large Cap Stocks", IF(B28 &gt;= $Q$2 * 0.4, "Medium Cap Stocks", "Low Cap Stocks"))</f>
        <v>Low Cap Stocks</v>
      </c>
    </row>
    <row r="29">
      <c r="A29" s="19" t="str">
        <f>IFERROR(__xludf.DUMMYFUNCTION("""COMPUTED_VALUE"""),"Marico")</f>
        <v>Marico</v>
      </c>
      <c r="B29" s="21">
        <f>IFERROR(__xludf.DUMMYFUNCTION("""COMPUTED_VALUE"""),64133.35)</f>
        <v>64133.35</v>
      </c>
      <c r="C29" s="19">
        <f>IFERROR(__xludf.DUMMYFUNCTION("""COMPUTED_VALUE"""),497.5)</f>
        <v>497.5</v>
      </c>
      <c r="D29" s="19">
        <f>IFERROR(__xludf.DUMMYFUNCTION("""COMPUTED_VALUE"""),52.21)</f>
        <v>52.21</v>
      </c>
      <c r="E29" s="19">
        <f>IFERROR(__xludf.DUMMYFUNCTION("""COMPUTED_VALUE"""),554.35)</f>
        <v>554.35</v>
      </c>
      <c r="F29" s="22">
        <f>IFERROR(__xludf.DUMMYFUNCTION("""COMPUTED_VALUE"""),0.10255253900965097)</f>
        <v>0.102552539</v>
      </c>
      <c r="G29" s="19">
        <f>IFERROR(__xludf.DUMMYFUNCTION("""COMPUTED_VALUE"""),455.65)</f>
        <v>455.65</v>
      </c>
      <c r="H29" s="22">
        <f>IFERROR(__xludf.DUMMYFUNCTION("""COMPUTED_VALUE"""),0.0918468122462417)</f>
        <v>0.09184681225</v>
      </c>
      <c r="I29" s="19">
        <f>IFERROR(__xludf.DUMMYFUNCTION("""COMPUTED_VALUE"""),501.6)</f>
        <v>501.6</v>
      </c>
      <c r="J29" s="22">
        <f>IFERROR(__xludf.DUMMYFUNCTION("""COMPUTED_VALUE"""),-0.008173843700159535)</f>
        <v>-0.0081738437</v>
      </c>
      <c r="K29" s="23" t="str">
        <f t="array" ref="K29">IF(A29&lt;&gt;" ", (VLOOKUP(A29, 'NSEBSE Code'!A:C, 2, FALSE)), " ")</f>
        <v>FMCG</v>
      </c>
      <c r="L29" s="23" t="str">
        <f t="array" ref="L29">IF(A29&lt;&gt;" ", (VLOOKUP(A29, 'NSEBSE Code'!A:C, 3, FALSE)), " ")</f>
        <v>MARICO</v>
      </c>
      <c r="M29" s="23" t="str">
        <f t="array" ref="M29">IF(F29 &gt; 0.3, "Yes", "No")</f>
        <v>No</v>
      </c>
      <c r="N29" s="19" t="str">
        <f t="array" ref="N29">IF(H29 &lt;0.3, "Yes", "No")</f>
        <v>Yes</v>
      </c>
      <c r="O29" s="19" t="str">
        <f t="array" ref="O29">IF(AND(D29&lt;65, M29="No",N29="No"), "Good Stock", " ")</f>
        <v> </v>
      </c>
      <c r="P29" s="19" t="str">
        <f t="array" ref="P29">IF(B29 &gt;= $Q$2 * 0.6, "Large Cap Stocks", IF(B29 &gt;= $Q$2 * 0.4, "Medium Cap Stocks", "Low Cap Stocks"))</f>
        <v>Low Cap Stocks</v>
      </c>
    </row>
    <row r="30">
      <c r="A30" s="19" t="str">
        <f>IFERROR(__xludf.DUMMYFUNCTION("""COMPUTED_VALUE"""),"Berger Paint")</f>
        <v>Berger Paint</v>
      </c>
      <c r="B30" s="21">
        <f>IFERROR(__xludf.DUMMYFUNCTION("""COMPUTED_VALUE"""),54643.2617004)</f>
        <v>54643.2617</v>
      </c>
      <c r="C30" s="19">
        <f>IFERROR(__xludf.DUMMYFUNCTION("""COMPUTED_VALUE"""),564.0)</f>
        <v>564</v>
      </c>
      <c r="D30" s="19">
        <f>IFERROR(__xludf.DUMMYFUNCTION("""COMPUTED_VALUE"""),57.95)</f>
        <v>57.95</v>
      </c>
      <c r="E30" s="19">
        <f>IFERROR(__xludf.DUMMYFUNCTION("""COMPUTED_VALUE"""),793.05)</f>
        <v>793.05</v>
      </c>
      <c r="F30" s="22">
        <f>IFERROR(__xludf.DUMMYFUNCTION("""COMPUTED_VALUE"""),0.2888216379799508)</f>
        <v>0.288821638</v>
      </c>
      <c r="G30" s="19">
        <f>IFERROR(__xludf.DUMMYFUNCTION("""COMPUTED_VALUE"""),543.6)</f>
        <v>543.6</v>
      </c>
      <c r="H30" s="22">
        <f>IFERROR(__xludf.DUMMYFUNCTION("""COMPUTED_VALUE"""),0.0375275938189845)</f>
        <v>0.03752759382</v>
      </c>
      <c r="I30" s="19">
        <f>IFERROR(__xludf.DUMMYFUNCTION("""COMPUTED_VALUE"""),561.95)</f>
        <v>561.95</v>
      </c>
      <c r="J30" s="22">
        <f>IFERROR(__xludf.DUMMYFUNCTION("""COMPUTED_VALUE"""),0.0036480113889135234)</f>
        <v>0.003648011389</v>
      </c>
      <c r="K30" s="23" t="str">
        <f t="array" ref="K30">IF(A30&lt;&gt;" ", (VLOOKUP(A30, 'NSEBSE Code'!A:C, 2, FALSE)), " ")</f>
        <v>Paint</v>
      </c>
      <c r="L30" s="23" t="str">
        <f t="array" ref="L30">IF(A30&lt;&gt;" ", (VLOOKUP(A30, 'NSEBSE Code'!A:C, 3, FALSE)), " ")</f>
        <v>BERGEPAINT</v>
      </c>
      <c r="M30" s="23" t="str">
        <f t="array" ref="M30">IF(F30 &gt; 0.3, "Yes", "No")</f>
        <v>No</v>
      </c>
      <c r="N30" s="19" t="str">
        <f t="array" ref="N30">IF(H30 &lt;0.3, "Yes", "No")</f>
        <v>Yes</v>
      </c>
      <c r="O30" s="19" t="str">
        <f t="array" ref="O30">IF(AND(D30&lt;65, M30="No",N30="No"), "Good Stock", " ")</f>
        <v> </v>
      </c>
      <c r="P30" s="19" t="str">
        <f t="array" ref="P30">IF(B30 &gt;= $Q$2 * 0.6, "Large Cap Stocks", IF(B30 &gt;= $Q$2 * 0.4, "Medium Cap Stocks", "Low Cap Stocks"))</f>
        <v>Low Cap Stocks</v>
      </c>
    </row>
    <row r="31">
      <c r="A31" s="19" t="str">
        <f>IFERROR(__xludf.DUMMYFUNCTION("""COMPUTED_VALUE"""),"Hero Motocorp")</f>
        <v>Hero Motocorp</v>
      </c>
      <c r="B31" s="21">
        <f>IFERROR(__xludf.DUMMYFUNCTION("""COMPUTED_VALUE"""),54522.74)</f>
        <v>54522.74</v>
      </c>
      <c r="C31" s="19">
        <f>IFERROR(__xludf.DUMMYFUNCTION("""COMPUTED_VALUE"""),2732.0)</f>
        <v>2732</v>
      </c>
      <c r="D31" s="19">
        <f>IFERROR(__xludf.DUMMYFUNCTION("""COMPUTED_VALUE"""),21.06)</f>
        <v>21.06</v>
      </c>
      <c r="E31" s="19">
        <f>IFERROR(__xludf.DUMMYFUNCTION("""COMPUTED_VALUE"""),2938.6)</f>
        <v>2938.6</v>
      </c>
      <c r="F31" s="22">
        <f>IFERROR(__xludf.DUMMYFUNCTION("""COMPUTED_VALUE"""),0.07030558769482063)</f>
        <v>0.07030558769</v>
      </c>
      <c r="G31" s="19">
        <f>IFERROR(__xludf.DUMMYFUNCTION("""COMPUTED_VALUE"""),2146.85)</f>
        <v>2146.85</v>
      </c>
      <c r="H31" s="22">
        <f>IFERROR(__xludf.DUMMYFUNCTION("""COMPUTED_VALUE"""),0.27256212590539636)</f>
        <v>0.2725621259</v>
      </c>
      <c r="I31" s="19">
        <f>IFERROR(__xludf.DUMMYFUNCTION("""COMPUTED_VALUE"""),2694.25)</f>
        <v>2694.25</v>
      </c>
      <c r="J31" s="22">
        <f>IFERROR(__xludf.DUMMYFUNCTION("""COMPUTED_VALUE"""),0.014011320404565278)</f>
        <v>0.0140113204</v>
      </c>
      <c r="K31" s="23" t="str">
        <f t="array" ref="K31">IF(A31&lt;&gt;" ", (VLOOKUP(A31, 'NSEBSE Code'!A:C, 2, FALSE)), " ")</f>
        <v>Automobile</v>
      </c>
      <c r="L31" s="23" t="str">
        <f t="array" ref="L31">IF(A31&lt;&gt;" ", (VLOOKUP(A31, 'NSEBSE Code'!A:C, 3, FALSE)), " ")</f>
        <v>HEROMOTOCO</v>
      </c>
      <c r="M31" s="23" t="str">
        <f t="array" ref="M31">IF(F31 &gt; 0.3, "Yes", "No")</f>
        <v>No</v>
      </c>
      <c r="N31" s="19" t="str">
        <f t="array" ref="N31">IF(H31 &lt;0.3, "Yes", "No")</f>
        <v>Yes</v>
      </c>
      <c r="O31" s="19" t="str">
        <f t="array" ref="O31">IF(AND(D31&lt;65, M31="No",N31="No"), "Good Stock", " ")</f>
        <v> </v>
      </c>
      <c r="P31" s="19" t="str">
        <f t="array" ref="P31">IF(B31 &gt;= $Q$2 * 0.6, "Large Cap Stocks", IF(B31 &gt;= $Q$2 * 0.4, "Medium Cap Stocks", "Low Cap Stocks"))</f>
        <v>Low Cap Stocks</v>
      </c>
    </row>
    <row r="32">
      <c r="A32" s="19" t="str">
        <f>IFERROR(__xludf.DUMMYFUNCTION("""COMPUTED_VALUE"""),"UPL")</f>
        <v>UPL</v>
      </c>
      <c r="B32" s="21">
        <f>IFERROR(__xludf.DUMMYFUNCTION("""COMPUTED_VALUE"""),53833.6605806)</f>
        <v>53833.66058</v>
      </c>
      <c r="C32" s="19">
        <f>IFERROR(__xludf.DUMMYFUNCTION("""COMPUTED_VALUE"""),718.45)</f>
        <v>718.45</v>
      </c>
      <c r="D32" s="19">
        <f>IFERROR(__xludf.DUMMYFUNCTION("""COMPUTED_VALUE"""),13.58)</f>
        <v>13.58</v>
      </c>
      <c r="E32" s="19">
        <f>IFERROR(__xludf.DUMMYFUNCTION("""COMPUTED_VALUE"""),848.0)</f>
        <v>848</v>
      </c>
      <c r="F32" s="22">
        <f>IFERROR(__xludf.DUMMYFUNCTION("""COMPUTED_VALUE"""),0.15277122641509427)</f>
        <v>0.1527712264</v>
      </c>
      <c r="G32" s="19">
        <f>IFERROR(__xludf.DUMMYFUNCTION("""COMPUTED_VALUE"""),607.8)</f>
        <v>607.8</v>
      </c>
      <c r="H32" s="22">
        <f>IFERROR(__xludf.DUMMYFUNCTION("""COMPUTED_VALUE"""),0.18205001645278068)</f>
        <v>0.1820500165</v>
      </c>
      <c r="I32" s="19">
        <f>IFERROR(__xludf.DUMMYFUNCTION("""COMPUTED_VALUE"""),719.05)</f>
        <v>719.05</v>
      </c>
      <c r="J32" s="22">
        <f>IFERROR(__xludf.DUMMYFUNCTION("""COMPUTED_VALUE"""),-8.344343230650289E-4)</f>
        <v>-0.0008344343231</v>
      </c>
      <c r="K32" s="23" t="str">
        <f t="array" ref="K32">IF(A32&lt;&gt;" ", (VLOOKUP(A32, 'NSEBSE Code'!A:C, 2, FALSE)), " ")</f>
        <v>Agrochemical</v>
      </c>
      <c r="L32" s="23" t="str">
        <f t="array" ref="L32">IF(A32&lt;&gt;" ", (VLOOKUP(A32, 'NSEBSE Code'!A:C, 3, FALSE)), " ")</f>
        <v>BOM:512070</v>
      </c>
      <c r="M32" s="23" t="str">
        <f t="array" ref="M32">IF(F32 &gt; 0.3, "Yes", "No")</f>
        <v>No</v>
      </c>
      <c r="N32" s="19" t="str">
        <f t="array" ref="N32">IF(H32 &lt;0.3, "Yes", "No")</f>
        <v>Yes</v>
      </c>
      <c r="O32" s="19" t="str">
        <f t="array" ref="O32">IF(AND(D32&lt;65, M32="No",N32="No"), "Good Stock", " ")</f>
        <v> </v>
      </c>
      <c r="P32" s="19" t="str">
        <f t="array" ref="P32">IF(B32 &gt;= $Q$2 * 0.6, "Large Cap Stocks", IF(B32 &gt;= $Q$2 * 0.4, "Medium Cap Stocks", "Low Cap Stocks"))</f>
        <v>Low Cap Stocks</v>
      </c>
    </row>
    <row r="33">
      <c r="A33" s="19" t="str">
        <f>IFERROR(__xludf.DUMMYFUNCTION("""COMPUTED_VALUE"""),"Motherson Sumi")</f>
        <v>Motherson Sumi</v>
      </c>
      <c r="B33" s="21">
        <f>IFERROR(__xludf.DUMMYFUNCTION("""COMPUTED_VALUE"""),52280.0813339)</f>
        <v>52280.08133</v>
      </c>
      <c r="C33" s="19">
        <f>IFERROR(__xludf.DUMMYFUNCTION("""COMPUTED_VALUE"""),77.15)</f>
        <v>77.15</v>
      </c>
      <c r="D33" s="19">
        <f>IFERROR(__xludf.DUMMYFUNCTION("""COMPUTED_VALUE"""),67.22)</f>
        <v>67.22</v>
      </c>
      <c r="E33" s="19">
        <f>IFERROR(__xludf.DUMMYFUNCTION("""COMPUTED_VALUE"""),165.03)</f>
        <v>165.03</v>
      </c>
      <c r="F33" s="22">
        <f>IFERROR(__xludf.DUMMYFUNCTION("""COMPUTED_VALUE"""),0.5325092407441071)</f>
        <v>0.5325092407</v>
      </c>
      <c r="G33" s="19">
        <f>IFERROR(__xludf.DUMMYFUNCTION("""COMPUTED_VALUE"""),61.85)</f>
        <v>61.85</v>
      </c>
      <c r="H33" s="22">
        <f>IFERROR(__xludf.DUMMYFUNCTION("""COMPUTED_VALUE"""),0.2473726758286177)</f>
        <v>0.2473726758</v>
      </c>
      <c r="I33" s="19">
        <f>IFERROR(__xludf.DUMMYFUNCTION("""COMPUTED_VALUE"""),78.15)</f>
        <v>78.15</v>
      </c>
      <c r="J33" s="22">
        <f>IFERROR(__xludf.DUMMYFUNCTION("""COMPUTED_VALUE"""),-0.012795905310300703)</f>
        <v>-0.01279590531</v>
      </c>
      <c r="K33" s="23" t="str">
        <f t="array" ref="K33">IF(A33&lt;&gt;" ", (VLOOKUP(A33, 'NSEBSE Code'!A:C, 2, FALSE)), " ")</f>
        <v>Automobile Ancilliary</v>
      </c>
      <c r="L33" s="23" t="str">
        <f t="array" ref="L33">IF(A33&lt;&gt;" ", (VLOOKUP(A33, 'NSEBSE Code'!A:C, 3, FALSE)), " ")</f>
        <v>BOM:517334</v>
      </c>
      <c r="M33" s="23" t="str">
        <f t="array" ref="M33">IF(F33 &gt; 0.3, "Yes", "No")</f>
        <v>Yes</v>
      </c>
      <c r="N33" s="19" t="str">
        <f t="array" ref="N33">IF(H33 &lt;0.3, "Yes", "No")</f>
        <v>Yes</v>
      </c>
      <c r="O33" s="19" t="str">
        <f t="array" ref="O33">IF(AND(D33&lt;65, M33="No",N33="No"), "Good Stock", " ")</f>
        <v> </v>
      </c>
      <c r="P33" s="19" t="str">
        <f t="array" ref="P33">IF(B33 &gt;= $Q$2 * 0.6, "Large Cap Stocks", IF(B33 &gt;= $Q$2 * 0.4, "Medium Cap Stocks", "Low Cap Stocks"))</f>
        <v>Low Cap Stocks</v>
      </c>
    </row>
    <row r="34">
      <c r="A34" s="19" t="str">
        <f>IFERROR(__xludf.DUMMYFUNCTION("""COMPUTED_VALUE"""),"IRCTC")</f>
        <v>IRCTC</v>
      </c>
      <c r="B34" s="21">
        <f>IFERROR(__xludf.DUMMYFUNCTION("""COMPUTED_VALUE"""),51348.0038553)</f>
        <v>51348.00386</v>
      </c>
      <c r="C34" s="19">
        <f>IFERROR(__xludf.DUMMYFUNCTION("""COMPUTED_VALUE"""),641.0)</f>
        <v>641</v>
      </c>
      <c r="D34" s="19">
        <f>IFERROR(__xludf.DUMMYFUNCTION("""COMPUTED_VALUE"""),57.32)</f>
        <v>57.32</v>
      </c>
      <c r="E34" s="19">
        <f>IFERROR(__xludf.DUMMYFUNCTION("""COMPUTED_VALUE"""),918.65)</f>
        <v>918.65</v>
      </c>
      <c r="F34" s="22">
        <f>IFERROR(__xludf.DUMMYFUNCTION("""COMPUTED_VALUE"""),0.3022369781744952)</f>
        <v>0.3022369782</v>
      </c>
      <c r="G34" s="19">
        <f>IFERROR(__xludf.DUMMYFUNCTION("""COMPUTED_VALUE"""),557.0)</f>
        <v>557</v>
      </c>
      <c r="H34" s="22">
        <f>IFERROR(__xludf.DUMMYFUNCTION("""COMPUTED_VALUE"""),0.15080789946140036)</f>
        <v>0.1508078995</v>
      </c>
      <c r="I34" s="19">
        <f>IFERROR(__xludf.DUMMYFUNCTION("""COMPUTED_VALUE"""),640.65)</f>
        <v>640.65</v>
      </c>
      <c r="J34" s="22">
        <f>IFERROR(__xludf.DUMMYFUNCTION("""COMPUTED_VALUE"""),5.463201436041876E-4)</f>
        <v>0.0005463201436</v>
      </c>
      <c r="K34" s="23" t="str">
        <f t="array" ref="K34">IF(A34&lt;&gt;" ", (VLOOKUP(A34, 'NSEBSE Code'!A:C, 2, FALSE)), " ")</f>
        <v>Catering</v>
      </c>
      <c r="L34" s="23" t="str">
        <f t="array" ref="L34">IF(A34&lt;&gt;" ", (VLOOKUP(A34, 'NSEBSE Code'!A:C, 3, FALSE)), " ")</f>
        <v>IRCTC</v>
      </c>
      <c r="M34" s="23" t="str">
        <f t="array" ref="M34">IF(F34 &gt; 0.3, "Yes", "No")</f>
        <v>Yes</v>
      </c>
      <c r="N34" s="19" t="str">
        <f t="array" ref="N34">IF(H34 &lt;0.3, "Yes", "No")</f>
        <v>Yes</v>
      </c>
      <c r="O34" s="19" t="str">
        <f t="array" ref="O34">IF(AND(D34&lt;65, M34="No",N34="No"), "Good Stock", " ")</f>
        <v> </v>
      </c>
      <c r="P34" s="19" t="str">
        <f t="array" ref="P34">IF(B34 &gt;= $Q$2 * 0.6, "Large Cap Stocks", IF(B34 &gt;= $Q$2 * 0.4, "Medium Cap Stocks", "Low Cap Stocks"))</f>
        <v>Low Cap Stocks</v>
      </c>
    </row>
    <row r="35">
      <c r="A35" s="19" t="str">
        <f>IFERROR(__xludf.DUMMYFUNCTION("""COMPUTED_VALUE"""),"PI industries")</f>
        <v>PI industries</v>
      </c>
      <c r="B35" s="21">
        <f>IFERROR(__xludf.DUMMYFUNCTION("""COMPUTED_VALUE"""),49475.63474)</f>
        <v>49475.63474</v>
      </c>
      <c r="C35" s="19">
        <f>IFERROR(__xludf.DUMMYFUNCTION("""COMPUTED_VALUE"""),3262.0)</f>
        <v>3262</v>
      </c>
      <c r="D35" s="19">
        <f>IFERROR(__xludf.DUMMYFUNCTION("""COMPUTED_VALUE"""),48.33)</f>
        <v>48.33</v>
      </c>
      <c r="E35" s="19">
        <f>IFERROR(__xludf.DUMMYFUNCTION("""COMPUTED_VALUE"""),3698.45)</f>
        <v>3698.45</v>
      </c>
      <c r="F35" s="22">
        <f>IFERROR(__xludf.DUMMYFUNCTION("""COMPUTED_VALUE"""),0.11800889561843471)</f>
        <v>0.1180088956</v>
      </c>
      <c r="G35" s="19">
        <f>IFERROR(__xludf.DUMMYFUNCTION("""COMPUTED_VALUE"""),2333.55)</f>
        <v>2333.55</v>
      </c>
      <c r="H35" s="22">
        <f>IFERROR(__xludf.DUMMYFUNCTION("""COMPUTED_VALUE"""),0.39787019776735005)</f>
        <v>0.3978701978</v>
      </c>
      <c r="I35" s="19">
        <f>IFERROR(__xludf.DUMMYFUNCTION("""COMPUTED_VALUE"""),3292.65)</f>
        <v>3292.65</v>
      </c>
      <c r="J35" s="22">
        <f>IFERROR(__xludf.DUMMYFUNCTION("""COMPUTED_VALUE"""),-0.009308611604634592)</f>
        <v>-0.009308611605</v>
      </c>
      <c r="K35" s="23" t="str">
        <f t="array" ref="K35">IF(A35&lt;&gt;" ", (VLOOKUP(A35, 'NSEBSE Code'!A:C, 2, FALSE)), " ")</f>
        <v>Agrochemical</v>
      </c>
      <c r="L35" s="23" t="str">
        <f t="array" ref="L35">IF(A35&lt;&gt;" ", (VLOOKUP(A35, 'NSEBSE Code'!A:C, 3, FALSE)), " ")</f>
        <v>PIIND</v>
      </c>
      <c r="M35" s="23" t="str">
        <f t="array" ref="M35">IF(F35 &gt; 0.3, "Yes", "No")</f>
        <v>No</v>
      </c>
      <c r="N35" s="19" t="str">
        <f t="array" ref="N35">IF(H35 &lt;0.3, "Yes", "No")</f>
        <v>No</v>
      </c>
      <c r="O35" s="19" t="str">
        <f t="array" ref="O35">IF(AND(D35&lt;65, M35="No",N35="No"), "Good Stock", " ")</f>
        <v>Good Stock</v>
      </c>
      <c r="P35" s="19" t="str">
        <f t="array" ref="P35">IF(B35 &gt;= $Q$2 * 0.6, "Large Cap Stocks", IF(B35 &gt;= $Q$2 * 0.4, "Medium Cap Stocks", "Low Cap Stocks"))</f>
        <v>Low Cap Stocks</v>
      </c>
    </row>
    <row r="36">
      <c r="A36" s="19" t="str">
        <f>IFERROR(__xludf.DUMMYFUNCTION("""COMPUTED_VALUE"""),"Infoedge")</f>
        <v>Infoedge</v>
      </c>
      <c r="B36" s="21">
        <f>IFERROR(__xludf.DUMMYFUNCTION("""COMPUTED_VALUE"""),48135.11)</f>
        <v>48135.11</v>
      </c>
      <c r="C36" s="19">
        <f>IFERROR(__xludf.DUMMYFUNCTION("""COMPUTED_VALUE"""),3731.8)</f>
        <v>3731.8</v>
      </c>
      <c r="D36" s="19">
        <f>IFERROR(__xludf.DUMMYFUNCTION("""COMPUTED_VALUE"""),8.76)</f>
        <v>8.76</v>
      </c>
      <c r="E36" s="19">
        <f>IFERROR(__xludf.DUMMYFUNCTION("""COMPUTED_VALUE"""),5790.0)</f>
        <v>5790</v>
      </c>
      <c r="F36" s="22">
        <f>IFERROR(__xludf.DUMMYFUNCTION("""COMPUTED_VALUE"""),0.35547495682210706)</f>
        <v>0.3554749568</v>
      </c>
      <c r="G36" s="19">
        <f>IFERROR(__xludf.DUMMYFUNCTION("""COMPUTED_VALUE"""),3314.0)</f>
        <v>3314</v>
      </c>
      <c r="H36" s="22">
        <f>IFERROR(__xludf.DUMMYFUNCTION("""COMPUTED_VALUE"""),0.12607121303560656)</f>
        <v>0.126071213</v>
      </c>
      <c r="I36" s="19">
        <f>IFERROR(__xludf.DUMMYFUNCTION("""COMPUTED_VALUE"""),3719.3)</f>
        <v>3719.3</v>
      </c>
      <c r="J36" s="22">
        <f>IFERROR(__xludf.DUMMYFUNCTION("""COMPUTED_VALUE"""),0.0033608474712983625)</f>
        <v>0.003360847471</v>
      </c>
      <c r="K36" s="23" t="str">
        <f t="array" ref="K36">IF(A36&lt;&gt;" ", (VLOOKUP(A36, 'NSEBSE Code'!A:C, 2, FALSE)), " ")</f>
        <v>Technology</v>
      </c>
      <c r="L36" s="23" t="str">
        <f t="array" ref="L36">IF(A36&lt;&gt;" ", (VLOOKUP(A36, 'NSEBSE Code'!A:C, 3, FALSE)), " ")</f>
        <v>BOM:532777</v>
      </c>
      <c r="M36" s="23" t="str">
        <f t="array" ref="M36">IF(F36 &gt; 0.3, "Yes", "No")</f>
        <v>Yes</v>
      </c>
      <c r="N36" s="19" t="str">
        <f t="array" ref="N36">IF(H36 &lt;0.3, "Yes", "No")</f>
        <v>Yes</v>
      </c>
      <c r="O36" s="19" t="str">
        <f t="array" ref="O36">IF(AND(D36&lt;65, M36="No",N36="No"), "Good Stock", " ")</f>
        <v> </v>
      </c>
      <c r="P36" s="19" t="str">
        <f t="array" ref="P36">IF(B36 &gt;= $Q$2 * 0.6, "Large Cap Stocks", IF(B36 &gt;= $Q$2 * 0.4, "Medium Cap Stocks", "Low Cap Stocks"))</f>
        <v>Low Cap Stocks</v>
      </c>
    </row>
    <row r="37">
      <c r="A37" s="19" t="str">
        <f>IFERROR(__xludf.DUMMYFUNCTION("""COMPUTED_VALUE"""),"TVS")</f>
        <v>TVS</v>
      </c>
      <c r="B37" s="21">
        <f>IFERROR(__xludf.DUMMYFUNCTION("""COMPUTED_VALUE"""),47610.86)</f>
        <v>47610.86</v>
      </c>
      <c r="C37" s="19">
        <f>IFERROR(__xludf.DUMMYFUNCTION("""COMPUTED_VALUE"""),999.5)</f>
        <v>999.5</v>
      </c>
      <c r="D37" s="19">
        <f>IFERROR(__xludf.DUMMYFUNCTION("""COMPUTED_VALUE"""),39.03)</f>
        <v>39.03</v>
      </c>
      <c r="E37" s="19">
        <f>IFERROR(__xludf.DUMMYFUNCTION("""COMPUTED_VALUE"""),1177.0)</f>
        <v>1177</v>
      </c>
      <c r="F37" s="22">
        <f>IFERROR(__xludf.DUMMYFUNCTION("""COMPUTED_VALUE"""),0.1508071367884452)</f>
        <v>0.1508071368</v>
      </c>
      <c r="G37" s="19">
        <f>IFERROR(__xludf.DUMMYFUNCTION("""COMPUTED_VALUE"""),513.0)</f>
        <v>513</v>
      </c>
      <c r="H37" s="22">
        <f>IFERROR(__xludf.DUMMYFUNCTION("""COMPUTED_VALUE"""),0.9483430799220273)</f>
        <v>0.9483430799</v>
      </c>
      <c r="I37" s="19">
        <f>IFERROR(__xludf.DUMMYFUNCTION("""COMPUTED_VALUE"""),1005.2)</f>
        <v>1005.2</v>
      </c>
      <c r="J37" s="22">
        <f>IFERROR(__xludf.DUMMYFUNCTION("""COMPUTED_VALUE"""),-0.005670513330680507)</f>
        <v>-0.005670513331</v>
      </c>
      <c r="K37" s="23" t="str">
        <f t="array" ref="K37">IF(A37&lt;&gt;" ", (VLOOKUP(A37, 'NSEBSE Code'!A:C, 2, FALSE)), " ")</f>
        <v>Automobile</v>
      </c>
      <c r="L37" s="23" t="str">
        <f t="array" ref="L37">IF(A37&lt;&gt;" ", (VLOOKUP(A37, 'NSEBSE Code'!A:C, 3, FALSE)), " ")</f>
        <v>BOM:532343</v>
      </c>
      <c r="M37" s="23" t="str">
        <f t="array" ref="M37">IF(F37 &gt; 0.3, "Yes", "No")</f>
        <v>No</v>
      </c>
      <c r="N37" s="19" t="str">
        <f t="array" ref="N37">IF(H37 &lt;0.3, "Yes", "No")</f>
        <v>No</v>
      </c>
      <c r="O37" s="19" t="str">
        <f t="array" ref="O37">IF(AND(D37&lt;65, M37="No",N37="No"), "Good Stock", " ")</f>
        <v>Good Stock</v>
      </c>
      <c r="P37" s="19" t="str">
        <f t="array" ref="P37">IF(B37 &gt;= $Q$2 * 0.6, "Large Cap Stocks", IF(B37 &gt;= $Q$2 * 0.4, "Medium Cap Stocks", "Low Cap Stocks"))</f>
        <v>Low Cap Stocks</v>
      </c>
    </row>
    <row r="38">
      <c r="A38" s="19" t="str">
        <f>IFERROR(__xludf.DUMMYFUNCTION("""COMPUTED_VALUE"""),"HDFC AMC")</f>
        <v>HDFC AMC</v>
      </c>
      <c r="B38" s="21">
        <f>IFERROR(__xludf.DUMMYFUNCTION("""COMPUTED_VALUE"""),45934.43)</f>
        <v>45934.43</v>
      </c>
      <c r="C38" s="19">
        <f>IFERROR(__xludf.DUMMYFUNCTION("""COMPUTED_VALUE"""),2148.0)</f>
        <v>2148</v>
      </c>
      <c r="D38" s="19">
        <f>IFERROR(__xludf.DUMMYFUNCTION("""COMPUTED_VALUE"""),33.2)</f>
        <v>33.2</v>
      </c>
      <c r="E38" s="19">
        <f>IFERROR(__xludf.DUMMYFUNCTION("""COMPUTED_VALUE"""),2507.35)</f>
        <v>2507.35</v>
      </c>
      <c r="F38" s="22">
        <f>IFERROR(__xludf.DUMMYFUNCTION("""COMPUTED_VALUE"""),0.14331864318902424)</f>
        <v>0.1433186432</v>
      </c>
      <c r="G38" s="19">
        <f>IFERROR(__xludf.DUMMYFUNCTION("""COMPUTED_VALUE"""),1690.0)</f>
        <v>1690</v>
      </c>
      <c r="H38" s="22">
        <f>IFERROR(__xludf.DUMMYFUNCTION("""COMPUTED_VALUE"""),0.2710059171597633)</f>
        <v>0.2710059172</v>
      </c>
      <c r="I38" s="19">
        <f>IFERROR(__xludf.DUMMYFUNCTION("""COMPUTED_VALUE"""),2150.75)</f>
        <v>2150.75</v>
      </c>
      <c r="J38" s="22">
        <f>IFERROR(__xludf.DUMMYFUNCTION("""COMPUTED_VALUE"""),-0.0012786237359060793)</f>
        <v>-0.001278623736</v>
      </c>
      <c r="K38" s="23" t="str">
        <f t="array" ref="K38">IF(A38&lt;&gt;" ", (VLOOKUP(A38, 'NSEBSE Code'!A:C, 2, FALSE)), " ")</f>
        <v>AMC</v>
      </c>
      <c r="L38" s="23" t="str">
        <f t="array" ref="L38">IF(A38&lt;&gt;" ", (VLOOKUP(A38, 'NSEBSE Code'!A:C, 3, FALSE)), " ")</f>
        <v>HDFCAMC</v>
      </c>
      <c r="M38" s="23" t="str">
        <f t="array" ref="M38">IF(F38 &gt; 0.3, "Yes", "No")</f>
        <v>No</v>
      </c>
      <c r="N38" s="19" t="str">
        <f t="array" ref="N38">IF(H38 &lt;0.3, "Yes", "No")</f>
        <v>Yes</v>
      </c>
      <c r="O38" s="19" t="str">
        <f t="array" ref="O38">IF(AND(D38&lt;65, M38="No",N38="No"), "Good Stock", " ")</f>
        <v> </v>
      </c>
      <c r="P38" s="19" t="str">
        <f t="array" ref="P38">IF(B38 &gt;= $Q$2 * 0.6, "Large Cap Stocks", IF(B38 &gt;= $Q$2 * 0.4, "Medium Cap Stocks", "Low Cap Stocks"))</f>
        <v>Low Cap Stocks</v>
      </c>
    </row>
    <row r="39">
      <c r="A39" s="19" t="str">
        <f>IFERROR(__xludf.DUMMYFUNCTION("""COMPUTED_VALUE"""),"Page Industries")</f>
        <v>Page Industries</v>
      </c>
      <c r="B39" s="21">
        <f>IFERROR(__xludf.DUMMYFUNCTION("""COMPUTED_VALUE"""),44894.62)</f>
        <v>44894.62</v>
      </c>
      <c r="C39" s="19">
        <f>IFERROR(__xludf.DUMMYFUNCTION("""COMPUTED_VALUE"""),40260.0)</f>
        <v>40260</v>
      </c>
      <c r="D39" s="19">
        <f>IFERROR(__xludf.DUMMYFUNCTION("""COMPUTED_VALUE"""),61.16)</f>
        <v>61.16</v>
      </c>
      <c r="E39" s="19">
        <f>IFERROR(__xludf.DUMMYFUNCTION("""COMPUTED_VALUE"""),54349.1)</f>
        <v>54349.1</v>
      </c>
      <c r="F39" s="22">
        <f>IFERROR(__xludf.DUMMYFUNCTION("""COMPUTED_VALUE"""),0.2592333635699579)</f>
        <v>0.2592333636</v>
      </c>
      <c r="G39" s="19">
        <f>IFERROR(__xludf.DUMMYFUNCTION("""COMPUTED_VALUE"""),37825.0)</f>
        <v>37825</v>
      </c>
      <c r="H39" s="22">
        <f>IFERROR(__xludf.DUMMYFUNCTION("""COMPUTED_VALUE"""),0.06437541308658294)</f>
        <v>0.06437541309</v>
      </c>
      <c r="I39" s="19">
        <f>IFERROR(__xludf.DUMMYFUNCTION("""COMPUTED_VALUE"""),40639.05)</f>
        <v>40639.05</v>
      </c>
      <c r="J39" s="22">
        <f>IFERROR(__xludf.DUMMYFUNCTION("""COMPUTED_VALUE"""),-0.009327235749851507)</f>
        <v>-0.00932723575</v>
      </c>
      <c r="K39" s="23" t="str">
        <f t="array" ref="K39">IF(A39&lt;&gt;" ", (VLOOKUP(A39, 'NSEBSE Code'!A:C, 2, FALSE)), " ")</f>
        <v>Textile</v>
      </c>
      <c r="L39" s="23" t="str">
        <f t="array" ref="L39">IF(A39&lt;&gt;" ", (VLOOKUP(A39, 'NSEBSE Code'!A:C, 3, FALSE)), " ")</f>
        <v>PAGEIND</v>
      </c>
      <c r="M39" s="23" t="str">
        <f t="array" ref="M39">IF(F39 &gt; 0.3, "Yes", "No")</f>
        <v>No</v>
      </c>
      <c r="N39" s="19" t="str">
        <f t="array" ref="N39">IF(H39 &lt;0.3, "Yes", "No")</f>
        <v>Yes</v>
      </c>
      <c r="O39" s="19" t="str">
        <f t="array" ref="O39">IF(AND(D39&lt;65, M39="No",N39="No"), "Good Stock", " ")</f>
        <v> </v>
      </c>
      <c r="P39" s="19" t="str">
        <f t="array" ref="P39">IF(B39 &gt;= $Q$2 * 0.6, "Large Cap Stocks", IF(B39 &gt;= $Q$2 * 0.4, "Medium Cap Stocks", "Low Cap Stocks"))</f>
        <v>Low Cap Stocks</v>
      </c>
    </row>
    <row r="40">
      <c r="A40" s="19" t="str">
        <f>IFERROR(__xludf.DUMMYFUNCTION("""COMPUTED_VALUE"""),"Balkrishna Industries")</f>
        <v>Balkrishna Industries</v>
      </c>
      <c r="B40" s="21">
        <f>IFERROR(__xludf.DUMMYFUNCTION("""COMPUTED_VALUE"""),43195.8704177)</f>
        <v>43195.87042</v>
      </c>
      <c r="C40" s="19">
        <f>IFERROR(__xludf.DUMMYFUNCTION("""COMPUTED_VALUE"""),2229.0)</f>
        <v>2229</v>
      </c>
      <c r="D40" s="19">
        <f>IFERROR(__xludf.DUMMYFUNCTION("""COMPUTED_VALUE"""),30.72)</f>
        <v>30.72</v>
      </c>
      <c r="E40" s="19">
        <f>IFERROR(__xludf.DUMMYFUNCTION("""COMPUTED_VALUE"""),2537.45)</f>
        <v>2537.45</v>
      </c>
      <c r="F40" s="22">
        <f>IFERROR(__xludf.DUMMYFUNCTION("""COMPUTED_VALUE"""),0.12155904549843341)</f>
        <v>0.1215590455</v>
      </c>
      <c r="G40" s="19">
        <f>IFERROR(__xludf.DUMMYFUNCTION("""COMPUTED_VALUE"""),1690.55)</f>
        <v>1690.55</v>
      </c>
      <c r="H40" s="22">
        <f>IFERROR(__xludf.DUMMYFUNCTION("""COMPUTED_VALUE"""),0.31850581171807996)</f>
        <v>0.3185058117</v>
      </c>
      <c r="I40" s="19">
        <f>IFERROR(__xludf.DUMMYFUNCTION("""COMPUTED_VALUE"""),2214.25)</f>
        <v>2214.25</v>
      </c>
      <c r="J40" s="22">
        <f>IFERROR(__xludf.DUMMYFUNCTION("""COMPUTED_VALUE"""),0.0066613977644800725)</f>
        <v>0.006661397764</v>
      </c>
      <c r="K40" s="23" t="str">
        <f t="array" ref="K40">IF(A40&lt;&gt;" ", (VLOOKUP(A40, 'NSEBSE Code'!A:C, 2, FALSE)), " ")</f>
        <v>Tyre</v>
      </c>
      <c r="L40" s="23" t="str">
        <f t="array" ref="L40">IF(A40&lt;&gt;" ", (VLOOKUP(A40, 'NSEBSE Code'!A:C, 3, FALSE)), " ")</f>
        <v>BALKRISIND</v>
      </c>
      <c r="M40" s="23" t="str">
        <f t="array" ref="M40">IF(F40 &gt; 0.3, "Yes", "No")</f>
        <v>No</v>
      </c>
      <c r="N40" s="19" t="str">
        <f t="array" ref="N40">IF(H40 &lt;0.3, "Yes", "No")</f>
        <v>No</v>
      </c>
      <c r="O40" s="19" t="str">
        <f t="array" ref="O40">IF(AND(D40&lt;65, M40="No",N40="No"), "Good Stock", " ")</f>
        <v>Good Stock</v>
      </c>
      <c r="P40" s="19" t="str">
        <f t="array" ref="P40">IF(B40 &gt;= $Q$2 * 0.6, "Large Cap Stocks", IF(B40 &gt;= $Q$2 * 0.4, "Medium Cap Stocks", "Low Cap Stocks"))</f>
        <v>Low Cap Stocks</v>
      </c>
    </row>
    <row r="41">
      <c r="A41" s="19" t="str">
        <f>IFERROR(__xludf.DUMMYFUNCTION("""COMPUTED_VALUE"""),"United Breweries")</f>
        <v>United Breweries</v>
      </c>
      <c r="B41" s="21">
        <f>IFERROR(__xludf.DUMMYFUNCTION("""COMPUTED_VALUE"""),42833.63)</f>
        <v>42833.63</v>
      </c>
      <c r="C41" s="19">
        <f>IFERROR(__xludf.DUMMYFUNCTION("""COMPUTED_VALUE"""),1625.0)</f>
        <v>1625</v>
      </c>
      <c r="D41" s="19">
        <f>IFERROR(__xludf.DUMMYFUNCTION("""COMPUTED_VALUE"""),78.07)</f>
        <v>78.07</v>
      </c>
      <c r="E41" s="19">
        <f>IFERROR(__xludf.DUMMYFUNCTION("""COMPUTED_VALUE"""),1806.45)</f>
        <v>1806.45</v>
      </c>
      <c r="F41" s="22">
        <f>IFERROR(__xludf.DUMMYFUNCTION("""COMPUTED_VALUE"""),0.10044562539787984)</f>
        <v>0.1004456254</v>
      </c>
      <c r="G41" s="19">
        <f>IFERROR(__xludf.DUMMYFUNCTION("""COMPUTED_VALUE"""),1274.5)</f>
        <v>1274.5</v>
      </c>
      <c r="H41" s="22">
        <f>IFERROR(__xludf.DUMMYFUNCTION("""COMPUTED_VALUE"""),0.2750098077677521)</f>
        <v>0.2750098078</v>
      </c>
      <c r="I41" s="19">
        <f>IFERROR(__xludf.DUMMYFUNCTION("""COMPUTED_VALUE"""),1644.15)</f>
        <v>1644.15</v>
      </c>
      <c r="J41" s="22">
        <f>IFERROR(__xludf.DUMMYFUNCTION("""COMPUTED_VALUE"""),-0.011647355776541125)</f>
        <v>-0.01164735578</v>
      </c>
      <c r="K41" s="23" t="str">
        <f t="array" ref="K41">IF(A41&lt;&gt;" ", (VLOOKUP(A41, 'NSEBSE Code'!A:C, 2, FALSE)), " ")</f>
        <v>Spirits</v>
      </c>
      <c r="L41" s="23" t="str">
        <f t="array" ref="L41">IF(A41&lt;&gt;" ", (VLOOKUP(A41, 'NSEBSE Code'!A:C, 3, FALSE)), " ")</f>
        <v>UBL</v>
      </c>
      <c r="M41" s="23" t="str">
        <f t="array" ref="M41">IF(F41 &gt; 0.3, "Yes", "No")</f>
        <v>No</v>
      </c>
      <c r="N41" s="19" t="str">
        <f t="array" ref="N41">IF(H41 &lt;0.3, "Yes", "No")</f>
        <v>Yes</v>
      </c>
      <c r="O41" s="19" t="str">
        <f t="array" ref="O41">IF(AND(D41&lt;65, M41="No",N41="No"), "Good Stock", " ")</f>
        <v> </v>
      </c>
      <c r="P41" s="19" t="str">
        <f t="array" ref="P41">IF(B41 &gt;= $Q$2 * 0.6, "Large Cap Stocks", IF(B41 &gt;= $Q$2 * 0.4, "Medium Cap Stocks", "Low Cap Stocks"))</f>
        <v>Low Cap Stocks</v>
      </c>
    </row>
    <row r="42">
      <c r="A42" s="19" t="str">
        <f>IFERROR(__xludf.DUMMYFUNCTION("""COMPUTED_VALUE"""),"Muthoot Finance")</f>
        <v>Muthoot Finance</v>
      </c>
      <c r="B42" s="21">
        <f>IFERROR(__xludf.DUMMYFUNCTION("""COMPUTED_VALUE"""),42774.19916)</f>
        <v>42774.19916</v>
      </c>
      <c r="C42" s="19">
        <f>IFERROR(__xludf.DUMMYFUNCTION("""COMPUTED_VALUE"""),1065.5)</f>
        <v>1065.5</v>
      </c>
      <c r="D42" s="19">
        <f>IFERROR(__xludf.DUMMYFUNCTION("""COMPUTED_VALUE"""),11.41)</f>
        <v>11.41</v>
      </c>
      <c r="E42" s="19">
        <f>IFERROR(__xludf.DUMMYFUNCTION("""COMPUTED_VALUE"""),1526.4)</f>
        <v>1526.4</v>
      </c>
      <c r="F42" s="22">
        <f>IFERROR(__xludf.DUMMYFUNCTION("""COMPUTED_VALUE"""),0.3019523060796646)</f>
        <v>0.3019523061</v>
      </c>
      <c r="G42" s="19">
        <f>IFERROR(__xludf.DUMMYFUNCTION("""COMPUTED_VALUE"""),950.2)</f>
        <v>950.2</v>
      </c>
      <c r="H42" s="22">
        <f>IFERROR(__xludf.DUMMYFUNCTION("""COMPUTED_VALUE"""),0.1213428751841717)</f>
        <v>0.1213428752</v>
      </c>
      <c r="I42" s="19">
        <f>IFERROR(__xludf.DUMMYFUNCTION("""COMPUTED_VALUE"""),1063.3)</f>
        <v>1063.3</v>
      </c>
      <c r="J42" s="22">
        <f>IFERROR(__xludf.DUMMYFUNCTION("""COMPUTED_VALUE"""),0.0020690303771278523)</f>
        <v>0.002069030377</v>
      </c>
      <c r="K42" s="23" t="str">
        <f t="array" ref="K42">IF(A42&lt;&gt;" ", (VLOOKUP(A42, 'NSEBSE Code'!A:C, 2, FALSE)), " ")</f>
        <v>NBFC</v>
      </c>
      <c r="L42" s="23" t="str">
        <f t="array" ref="L42">IF(A42&lt;&gt;" ", (VLOOKUP(A42, 'NSEBSE Code'!A:C, 3, FALSE)), " ")</f>
        <v>MUTHOOTFIN</v>
      </c>
      <c r="M42" s="23" t="str">
        <f t="array" ref="M42">IF(F42 &gt; 0.3, "Yes", "No")</f>
        <v>Yes</v>
      </c>
      <c r="N42" s="19" t="str">
        <f t="array" ref="N42">IF(H42 &lt;0.3, "Yes", "No")</f>
        <v>Yes</v>
      </c>
      <c r="O42" s="19" t="str">
        <f t="array" ref="O42">IF(AND(D42&lt;65, M42="No",N42="No"), "Good Stock", " ")</f>
        <v> </v>
      </c>
      <c r="P42" s="19" t="str">
        <f t="array" ref="P42">IF(B42 &gt;= $Q$2 * 0.6, "Large Cap Stocks", IF(B42 &gt;= $Q$2 * 0.4, "Medium Cap Stocks", "Low Cap Stocks"))</f>
        <v>Low Cap Stocks</v>
      </c>
    </row>
    <row r="43">
      <c r="A43" s="19" t="str">
        <f>IFERROR(__xludf.DUMMYFUNCTION("""COMPUTED_VALUE"""),"Astral Poly Technic")</f>
        <v>Astral Poly Technic</v>
      </c>
      <c r="B43" s="21">
        <f>IFERROR(__xludf.DUMMYFUNCTION("""COMPUTED_VALUE"""),41248.67)</f>
        <v>41248.67</v>
      </c>
      <c r="C43" s="19">
        <f>IFERROR(__xludf.DUMMYFUNCTION("""COMPUTED_VALUE"""),2046.5)</f>
        <v>2046.5</v>
      </c>
      <c r="D43" s="19">
        <f>IFERROR(__xludf.DUMMYFUNCTION("""COMPUTED_VALUE"""),96.08)</f>
        <v>96.08</v>
      </c>
      <c r="E43" s="19">
        <f>IFERROR(__xludf.DUMMYFUNCTION("""COMPUTED_VALUE"""),2654.8)</f>
        <v>2654.8</v>
      </c>
      <c r="F43" s="22">
        <f>IFERROR(__xludf.DUMMYFUNCTION("""COMPUTED_VALUE"""),0.22913213801416307)</f>
        <v>0.229132138</v>
      </c>
      <c r="G43" s="19">
        <f>IFERROR(__xludf.DUMMYFUNCTION("""COMPUTED_VALUE"""),1581.55)</f>
        <v>1581.55</v>
      </c>
      <c r="H43" s="22">
        <f>IFERROR(__xludf.DUMMYFUNCTION("""COMPUTED_VALUE"""),0.2939837501185546)</f>
        <v>0.2939837501</v>
      </c>
      <c r="I43" s="19">
        <f>IFERROR(__xludf.DUMMYFUNCTION("""COMPUTED_VALUE"""),2063.75)</f>
        <v>2063.75</v>
      </c>
      <c r="J43" s="22">
        <f>IFERROR(__xludf.DUMMYFUNCTION("""COMPUTED_VALUE"""),-0.008358570563294972)</f>
        <v>-0.008358570563</v>
      </c>
      <c r="K43" s="23" t="str">
        <f t="array" ref="K43">IF(A43&lt;&gt;" ", (VLOOKUP(A43, 'NSEBSE Code'!A:C, 2, FALSE)), " ")</f>
        <v>Piping</v>
      </c>
      <c r="L43" s="23" t="str">
        <f t="array" ref="L43">IF(A43&lt;&gt;" ", (VLOOKUP(A43, 'NSEBSE Code'!A:C, 3, FALSE)), " ")</f>
        <v>ASTRAL</v>
      </c>
      <c r="M43" s="23" t="str">
        <f t="array" ref="M43">IF(F43 &gt; 0.3, "Yes", "No")</f>
        <v>No</v>
      </c>
      <c r="N43" s="19" t="str">
        <f t="array" ref="N43">IF(H43 &lt;0.3, "Yes", "No")</f>
        <v>Yes</v>
      </c>
      <c r="O43" s="19" t="str">
        <f t="array" ref="O43">IF(AND(D43&lt;65, M43="No",N43="No"), "Good Stock", " ")</f>
        <v> </v>
      </c>
      <c r="P43" s="19" t="str">
        <f t="array" ref="P43">IF(B43 &gt;= $Q$2 * 0.6, "Large Cap Stocks", IF(B43 &gt;= $Q$2 * 0.4, "Medium Cap Stocks", "Low Cap Stocks"))</f>
        <v>Low Cap Stocks</v>
      </c>
    </row>
    <row r="44">
      <c r="A44" s="19" t="str">
        <f>IFERROR(__xludf.DUMMYFUNCTION("""COMPUTED_VALUE"""),"Polycab")</f>
        <v>Polycab</v>
      </c>
      <c r="B44" s="21">
        <f>IFERROR(__xludf.DUMMYFUNCTION("""COMPUTED_VALUE"""),39945.4022299)</f>
        <v>39945.40223</v>
      </c>
      <c r="C44" s="19">
        <f>IFERROR(__xludf.DUMMYFUNCTION("""COMPUTED_VALUE"""),2662.0)</f>
        <v>2662</v>
      </c>
      <c r="D44" s="19">
        <f>IFERROR(__xludf.DUMMYFUNCTION("""COMPUTED_VALUE"""),35.5)</f>
        <v>35.5</v>
      </c>
      <c r="E44" s="19">
        <f>IFERROR(__xludf.DUMMYFUNCTION("""COMPUTED_VALUE"""),3025.0)</f>
        <v>3025</v>
      </c>
      <c r="F44" s="22">
        <f>IFERROR(__xludf.DUMMYFUNCTION("""COMPUTED_VALUE"""),0.12)</f>
        <v>0.12</v>
      </c>
      <c r="G44" s="19">
        <f>IFERROR(__xludf.DUMMYFUNCTION("""COMPUTED_VALUE"""),2043.85)</f>
        <v>2043.85</v>
      </c>
      <c r="H44" s="22">
        <f>IFERROR(__xludf.DUMMYFUNCTION("""COMPUTED_VALUE"""),0.3024439171172053)</f>
        <v>0.3024439171</v>
      </c>
      <c r="I44" s="19">
        <f>IFERROR(__xludf.DUMMYFUNCTION("""COMPUTED_VALUE"""),2677.05)</f>
        <v>2677.05</v>
      </c>
      <c r="J44" s="22">
        <f>IFERROR(__xludf.DUMMYFUNCTION("""COMPUTED_VALUE"""),-0.005621859883080324)</f>
        <v>-0.005621859883</v>
      </c>
      <c r="K44" s="23" t="str">
        <f t="array" ref="K44">IF(A44&lt;&gt;" ", (VLOOKUP(A44, 'NSEBSE Code'!A:C, 2, FALSE)), " ")</f>
        <v>Consumer Electrical</v>
      </c>
      <c r="L44" s="23" t="str">
        <f t="array" ref="L44">IF(A44&lt;&gt;" ", (VLOOKUP(A44, 'NSEBSE Code'!A:C, 3, FALSE)), " ")</f>
        <v>POLYCAB</v>
      </c>
      <c r="M44" s="23" t="str">
        <f t="array" ref="M44">IF(F44 &gt; 0.3, "Yes", "No")</f>
        <v>No</v>
      </c>
      <c r="N44" s="19" t="str">
        <f t="array" ref="N44">IF(H44 &lt;0.3, "Yes", "No")</f>
        <v>No</v>
      </c>
      <c r="O44" s="19" t="str">
        <f t="array" ref="O44">IF(AND(D44&lt;65, M44="No",N44="No"), "Good Stock", " ")</f>
        <v>Good Stock</v>
      </c>
      <c r="P44" s="19" t="str">
        <f t="array" ref="P44">IF(B44 &gt;= $Q$2 * 0.6, "Large Cap Stocks", IF(B44 &gt;= $Q$2 * 0.4, "Medium Cap Stocks", "Low Cap Stocks"))</f>
        <v>Low Cap Stocks</v>
      </c>
    </row>
    <row r="45">
      <c r="A45" s="19" t="str">
        <f>IFERROR(__xludf.DUMMYFUNCTION("""COMPUTED_VALUE"""),"Tata Elxsi")</f>
        <v>Tata Elxsi</v>
      </c>
      <c r="B45" s="21">
        <f>IFERROR(__xludf.DUMMYFUNCTION("""COMPUTED_VALUE"""),38754.622389)</f>
        <v>38754.62239</v>
      </c>
      <c r="C45" s="19">
        <f>IFERROR(__xludf.DUMMYFUNCTION("""COMPUTED_VALUE"""),6223.0)</f>
        <v>6223</v>
      </c>
      <c r="D45" s="19">
        <f>IFERROR(__xludf.DUMMYFUNCTION("""COMPUTED_VALUE"""),57.85)</f>
        <v>57.85</v>
      </c>
      <c r="E45" s="19">
        <f>IFERROR(__xludf.DUMMYFUNCTION("""COMPUTED_VALUE"""),10760.0)</f>
        <v>10760</v>
      </c>
      <c r="F45" s="22">
        <f>IFERROR(__xludf.DUMMYFUNCTION("""COMPUTED_VALUE"""),0.4216542750929368)</f>
        <v>0.4216542751</v>
      </c>
      <c r="G45" s="19">
        <f>IFERROR(__xludf.DUMMYFUNCTION("""COMPUTED_VALUE"""),5709.05)</f>
        <v>5709.05</v>
      </c>
      <c r="H45" s="22">
        <f>IFERROR(__xludf.DUMMYFUNCTION("""COMPUTED_VALUE"""),0.09002373424650333)</f>
        <v>0.09002373425</v>
      </c>
      <c r="I45" s="19">
        <f>IFERROR(__xludf.DUMMYFUNCTION("""COMPUTED_VALUE"""),6196.65)</f>
        <v>6196.65</v>
      </c>
      <c r="J45" s="22">
        <f>IFERROR(__xludf.DUMMYFUNCTION("""COMPUTED_VALUE"""),0.004252297612419673)</f>
        <v>0.004252297612</v>
      </c>
      <c r="K45" s="23" t="str">
        <f t="array" ref="K45">IF(A45&lt;&gt;" ", (VLOOKUP(A45, 'NSEBSE Code'!A:C, 2, FALSE)), " ")</f>
        <v>IT-Software</v>
      </c>
      <c r="L45" s="23" t="str">
        <f t="array" ref="L45">IF(A45&lt;&gt;" ", (VLOOKUP(A45, 'NSEBSE Code'!A:C, 3, FALSE)), " ")</f>
        <v>TATAELXSI</v>
      </c>
      <c r="M45" s="23" t="str">
        <f t="array" ref="M45">IF(F45 &gt; 0.3, "Yes", "No")</f>
        <v>Yes</v>
      </c>
      <c r="N45" s="19" t="str">
        <f t="array" ref="N45">IF(H45 &lt;0.3, "Yes", "No")</f>
        <v>Yes</v>
      </c>
      <c r="O45" s="19" t="str">
        <f t="array" ref="O45">IF(AND(D45&lt;65, M45="No",N45="No"), "Good Stock", " ")</f>
        <v> </v>
      </c>
      <c r="P45" s="19" t="str">
        <f t="array" ref="P45">IF(B45 &gt;= $Q$2 * 0.6, "Large Cap Stocks", IF(B45 &gt;= $Q$2 * 0.4, "Medium Cap Stocks", "Low Cap Stocks"))</f>
        <v>Low Cap Stocks</v>
      </c>
    </row>
    <row r="46">
      <c r="A46" s="19" t="str">
        <f>IFERROR(__xludf.DUMMYFUNCTION("""COMPUTED_VALUE"""),"Mphasis")</f>
        <v>Mphasis</v>
      </c>
      <c r="B46" s="21">
        <f>IFERROR(__xludf.DUMMYFUNCTION("""COMPUTED_VALUE"""),38348.8672779)</f>
        <v>38348.86728</v>
      </c>
      <c r="C46" s="19">
        <f>IFERROR(__xludf.DUMMYFUNCTION("""COMPUTED_VALUE"""),2035.55)</f>
        <v>2035.55</v>
      </c>
      <c r="D46" s="19">
        <f>IFERROR(__xludf.DUMMYFUNCTION("""COMPUTED_VALUE"""),24.59)</f>
        <v>24.59</v>
      </c>
      <c r="E46" s="19">
        <f>IFERROR(__xludf.DUMMYFUNCTION("""COMPUTED_VALUE"""),3466.4)</f>
        <v>3466.4</v>
      </c>
      <c r="F46" s="22">
        <f>IFERROR(__xludf.DUMMYFUNCTION("""COMPUTED_VALUE"""),0.41277694438033696)</f>
        <v>0.4127769444</v>
      </c>
      <c r="G46" s="19">
        <f>IFERROR(__xludf.DUMMYFUNCTION("""COMPUTED_VALUE"""),1897.35)</f>
        <v>1897.35</v>
      </c>
      <c r="H46" s="22">
        <f>IFERROR(__xludf.DUMMYFUNCTION("""COMPUTED_VALUE"""),0.07283843255066279)</f>
        <v>0.07283843255</v>
      </c>
      <c r="I46" s="19">
        <f>IFERROR(__xludf.DUMMYFUNCTION("""COMPUTED_VALUE"""),2013.55)</f>
        <v>2013.55</v>
      </c>
      <c r="J46" s="22">
        <f>IFERROR(__xludf.DUMMYFUNCTION("""COMPUTED_VALUE"""),0.010925976509150505)</f>
        <v>0.01092597651</v>
      </c>
      <c r="K46" s="23" t="str">
        <f t="array" ref="K46">IF(A46&lt;&gt;" ", (VLOOKUP(A46, 'NSEBSE Code'!A:C, 2, FALSE)), " ")</f>
        <v>IT</v>
      </c>
      <c r="L46" s="23" t="str">
        <f t="array" ref="L46">IF(A46&lt;&gt;" ", (VLOOKUP(A46, 'NSEBSE Code'!A:C, 3, FALSE)), " ")</f>
        <v>BOM:526299</v>
      </c>
      <c r="M46" s="23" t="str">
        <f t="array" ref="M46">IF(F46 &gt; 0.3, "Yes", "No")</f>
        <v>Yes</v>
      </c>
      <c r="N46" s="19" t="str">
        <f t="array" ref="N46">IF(H46 &lt;0.3, "Yes", "No")</f>
        <v>Yes</v>
      </c>
      <c r="O46" s="19" t="str">
        <f t="array" ref="O46">IF(AND(D46&lt;65, M46="No",N46="No"), "Good Stock", " ")</f>
        <v> </v>
      </c>
      <c r="P46" s="19" t="str">
        <f t="array" ref="P46">IF(B46 &gt;= $Q$2 * 0.6, "Large Cap Stocks", IF(B46 &gt;= $Q$2 * 0.4, "Medium Cap Stocks", "Low Cap Stocks"))</f>
        <v>Low Cap Stocks</v>
      </c>
    </row>
    <row r="47">
      <c r="A47" s="19" t="str">
        <f>IFERROR(__xludf.DUMMYFUNCTION("""COMPUTED_VALUE"""),"Bandhan Bank")</f>
        <v>Bandhan Bank</v>
      </c>
      <c r="B47" s="21">
        <f>IFERROR(__xludf.DUMMYFUNCTION("""COMPUTED_VALUE"""),38329.8286)</f>
        <v>38329.8286</v>
      </c>
      <c r="C47" s="19">
        <f>IFERROR(__xludf.DUMMYFUNCTION("""COMPUTED_VALUE"""),237.75)</f>
        <v>237.75</v>
      </c>
      <c r="D47" s="19">
        <f>IFERROR(__xludf.DUMMYFUNCTION("""COMPUTED_VALUE"""),9.94)</f>
        <v>9.94</v>
      </c>
      <c r="E47" s="19">
        <f>IFERROR(__xludf.DUMMYFUNCTION("""COMPUTED_VALUE"""),349.55)</f>
        <v>349.55</v>
      </c>
      <c r="F47" s="22">
        <f>IFERROR(__xludf.DUMMYFUNCTION("""COMPUTED_VALUE"""),0.319839794020884)</f>
        <v>0.319839794</v>
      </c>
      <c r="G47" s="19">
        <f>IFERROR(__xludf.DUMMYFUNCTION("""COMPUTED_VALUE"""),209.55)</f>
        <v>209.55</v>
      </c>
      <c r="H47" s="22">
        <f>IFERROR(__xludf.DUMMYFUNCTION("""COMPUTED_VALUE"""),0.1345740873299928)</f>
        <v>0.1345740873</v>
      </c>
      <c r="I47" s="19">
        <f>IFERROR(__xludf.DUMMYFUNCTION("""COMPUTED_VALUE"""),239.25)</f>
        <v>239.25</v>
      </c>
      <c r="J47" s="22">
        <f>IFERROR(__xludf.DUMMYFUNCTION("""COMPUTED_VALUE"""),-0.006269592476489028)</f>
        <v>-0.006269592476</v>
      </c>
      <c r="K47" s="23" t="str">
        <f t="array" ref="K47">IF(A47&lt;&gt;" ", (VLOOKUP(A47, 'NSEBSE Code'!A:C, 2, FALSE)), " ")</f>
        <v>Bank</v>
      </c>
      <c r="L47" s="23" t="str">
        <f t="array" ref="L47">IF(A47&lt;&gt;" ", (VLOOKUP(A47, 'NSEBSE Code'!A:C, 3, FALSE)), " ")</f>
        <v>BANDHANBNK</v>
      </c>
      <c r="M47" s="23" t="str">
        <f t="array" ref="M47">IF(F47 &gt; 0.3, "Yes", "No")</f>
        <v>Yes</v>
      </c>
      <c r="N47" s="19" t="str">
        <f t="array" ref="N47">IF(H47 &lt;0.3, "Yes", "No")</f>
        <v>Yes</v>
      </c>
      <c r="O47" s="19" t="str">
        <f t="array" ref="O47">IF(AND(D47&lt;65, M47="No",N47="No"), "Good Stock", " ")</f>
        <v> </v>
      </c>
      <c r="P47" s="19" t="str">
        <f t="array" ref="P47">IF(B47 &gt;= $Q$2 * 0.6, "Large Cap Stocks", IF(B47 &gt;= $Q$2 * 0.4, "Medium Cap Stocks", "Low Cap Stocks"))</f>
        <v>Low Cap Stocks</v>
      </c>
    </row>
    <row r="48">
      <c r="A48" s="19" t="str">
        <f>IFERROR(__xludf.DUMMYFUNCTION("""COMPUTED_VALUE"""),"MRF")</f>
        <v>MRF</v>
      </c>
      <c r="B48" s="21">
        <f>IFERROR(__xludf.DUMMYFUNCTION("""COMPUTED_VALUE"""),38048.54)</f>
        <v>38048.54</v>
      </c>
      <c r="C48" s="19">
        <f>IFERROR(__xludf.DUMMYFUNCTION("""COMPUTED_VALUE"""),89700.0)</f>
        <v>89700</v>
      </c>
      <c r="D48" s="19">
        <f>IFERROR(__xludf.DUMMYFUNCTION("""COMPUTED_VALUE"""),66.97)</f>
        <v>66.97</v>
      </c>
      <c r="E48" s="19">
        <f>IFERROR(__xludf.DUMMYFUNCTION("""COMPUTED_VALUE"""),95954.35)</f>
        <v>95954.35</v>
      </c>
      <c r="F48" s="22">
        <f>IFERROR(__xludf.DUMMYFUNCTION("""COMPUTED_VALUE"""),0.06518047383990414)</f>
        <v>0.06518047384</v>
      </c>
      <c r="G48" s="19">
        <f>IFERROR(__xludf.DUMMYFUNCTION("""COMPUTED_VALUE"""),62944.5)</f>
        <v>62944.5</v>
      </c>
      <c r="H48" s="22">
        <f>IFERROR(__xludf.DUMMYFUNCTION("""COMPUTED_VALUE"""),0.42506493815980745)</f>
        <v>0.4250649382</v>
      </c>
      <c r="I48" s="19">
        <f>IFERROR(__xludf.DUMMYFUNCTION("""COMPUTED_VALUE"""),89498.35)</f>
        <v>89498.35</v>
      </c>
      <c r="J48" s="22">
        <f>IFERROR(__xludf.DUMMYFUNCTION("""COMPUTED_VALUE"""),0.00225311416355714)</f>
        <v>0.002253114164</v>
      </c>
      <c r="K48" s="23" t="str">
        <f t="array" ref="K48">IF(A48&lt;&gt;" ", (VLOOKUP(A48, 'NSEBSE Code'!A:C, 2, FALSE)), " ")</f>
        <v>Tyre</v>
      </c>
      <c r="L48" s="23" t="str">
        <f t="array" ref="L48">IF(A48&lt;&gt;" ", (VLOOKUP(A48, 'NSEBSE Code'!A:C, 3, FALSE)), " ")</f>
        <v>BOM:500290</v>
      </c>
      <c r="M48" s="23" t="str">
        <f t="array" ref="M48">IF(F48 &gt; 0.3, "Yes", "No")</f>
        <v>No</v>
      </c>
      <c r="N48" s="19" t="str">
        <f t="array" ref="N48">IF(H48 &lt;0.3, "Yes", "No")</f>
        <v>No</v>
      </c>
      <c r="O48" s="19" t="str">
        <f t="array" ref="O48">IF(AND(D48&lt;65, M48="No",N48="No"), "Good Stock", " ")</f>
        <v> </v>
      </c>
      <c r="P48" s="19" t="str">
        <f t="array" ref="P48">IF(B48 &gt;= $Q$2 * 0.6, "Large Cap Stocks", IF(B48 &gt;= $Q$2 * 0.4, "Medium Cap Stocks", "Low Cap Stocks"))</f>
        <v>Low Cap Stocks</v>
      </c>
    </row>
    <row r="49">
      <c r="A49" s="19" t="str">
        <f>IFERROR(__xludf.DUMMYFUNCTION("""COMPUTED_VALUE"""),"Honeywell Auto")</f>
        <v>Honeywell Auto</v>
      </c>
      <c r="B49" s="21">
        <f>IFERROR(__xludf.DUMMYFUNCTION("""COMPUTED_VALUE"""),35109.687833)</f>
        <v>35109.68783</v>
      </c>
      <c r="C49" s="19">
        <f>IFERROR(__xludf.DUMMYFUNCTION("""COMPUTED_VALUE"""),39710.0)</f>
        <v>39710</v>
      </c>
      <c r="D49" s="19">
        <f>IFERROR(__xludf.DUMMYFUNCTION("""COMPUTED_VALUE"""),91.84)</f>
        <v>91.84</v>
      </c>
      <c r="E49" s="19">
        <f>IFERROR(__xludf.DUMMYFUNCTION("""COMPUTED_VALUE"""),46397.7)</f>
        <v>46397.7</v>
      </c>
      <c r="F49" s="22">
        <f>IFERROR(__xludf.DUMMYFUNCTION("""COMPUTED_VALUE"""),0.14413861031904593)</f>
        <v>0.1441386103</v>
      </c>
      <c r="G49" s="19">
        <f>IFERROR(__xludf.DUMMYFUNCTION("""COMPUTED_VALUE"""),30185.35)</f>
        <v>30185.35</v>
      </c>
      <c r="H49" s="22">
        <f>IFERROR(__xludf.DUMMYFUNCTION("""COMPUTED_VALUE"""),0.3155388292665151)</f>
        <v>0.3155388293</v>
      </c>
      <c r="I49" s="19">
        <f>IFERROR(__xludf.DUMMYFUNCTION("""COMPUTED_VALUE"""),39677.1)</f>
        <v>39677.1</v>
      </c>
      <c r="J49" s="22">
        <f>IFERROR(__xludf.DUMMYFUNCTION("""COMPUTED_VALUE"""),8.291936658677538E-4)</f>
        <v>0.0008291936659</v>
      </c>
      <c r="K49" s="23" t="str">
        <f t="array" ref="K49">IF(A49&lt;&gt;" ", (VLOOKUP(A49, 'NSEBSE Code'!A:C, 2, FALSE)), " ")</f>
        <v>Automobile Ancilliary</v>
      </c>
      <c r="L49" s="23" t="str">
        <f t="array" ref="L49">IF(A49&lt;&gt;" ", (VLOOKUP(A49, 'NSEBSE Code'!A:C, 3, FALSE)), " ")</f>
        <v>HONAUT</v>
      </c>
      <c r="M49" s="23" t="str">
        <f t="array" ref="M49">IF(F49 &gt; 0.3, "Yes", "No")</f>
        <v>No</v>
      </c>
      <c r="N49" s="19" t="str">
        <f t="array" ref="N49">IF(H49 &lt;0.3, "Yes", "No")</f>
        <v>No</v>
      </c>
      <c r="O49" s="19" t="str">
        <f t="array" ref="O49">IF(AND(D49&lt;65, M49="No",N49="No"), "Good Stock", " ")</f>
        <v> </v>
      </c>
      <c r="P49" s="19" t="str">
        <f t="array" ref="P49">IF(B49 &gt;= $Q$2 * 0.6, "Large Cap Stocks", IF(B49 &gt;= $Q$2 * 0.4, "Medium Cap Stocks", "Low Cap Stocks"))</f>
        <v>Low Cap Stocks</v>
      </c>
    </row>
    <row r="50">
      <c r="A50" s="19" t="str">
        <f>IFERROR(__xludf.DUMMYFUNCTION("""COMPUTED_VALUE"""),"APL Apollo")</f>
        <v>APL Apollo</v>
      </c>
      <c r="B50" s="21">
        <f>IFERROR(__xludf.DUMMYFUNCTION("""COMPUTED_VALUE"""),31477.05)</f>
        <v>31477.05</v>
      </c>
      <c r="C50" s="19">
        <f>IFERROR(__xludf.DUMMYFUNCTION("""COMPUTED_VALUE"""),1136.0)</f>
        <v>1136</v>
      </c>
      <c r="D50" s="19">
        <f>IFERROR(__xludf.DUMMYFUNCTION("""COMPUTED_VALUE"""),54.9)</f>
        <v>54.9</v>
      </c>
      <c r="E50" s="19">
        <f>IFERROR(__xludf.DUMMYFUNCTION("""COMPUTED_VALUE"""),1193.85)</f>
        <v>1193.85</v>
      </c>
      <c r="F50" s="22">
        <f>IFERROR(__xludf.DUMMYFUNCTION("""COMPUTED_VALUE"""),0.04845667378648902)</f>
        <v>0.04845667379</v>
      </c>
      <c r="G50" s="19">
        <f>IFERROR(__xludf.DUMMYFUNCTION("""COMPUTED_VALUE"""),771.0)</f>
        <v>771</v>
      </c>
      <c r="H50" s="22">
        <f>IFERROR(__xludf.DUMMYFUNCTION("""COMPUTED_VALUE"""),0.47341115434500647)</f>
        <v>0.4734111543</v>
      </c>
      <c r="I50" s="19">
        <f>IFERROR(__xludf.DUMMYFUNCTION("""COMPUTED_VALUE"""),1127.95)</f>
        <v>1127.95</v>
      </c>
      <c r="J50" s="22">
        <f>IFERROR(__xludf.DUMMYFUNCTION("""COMPUTED_VALUE"""),0.007136841172037727)</f>
        <v>0.007136841172</v>
      </c>
      <c r="K50" s="23" t="str">
        <f t="array" ref="K50">IF(A50&lt;&gt;" ", (VLOOKUP(A50, 'NSEBSE Code'!A:C, 2, FALSE)), " ")</f>
        <v>Steel</v>
      </c>
      <c r="L50" s="23" t="str">
        <f t="array" ref="L50">IF(A50&lt;&gt;" ", (VLOOKUP(A50, 'NSEBSE Code'!A:C, 3, FALSE)), " ")</f>
        <v>BOM:533758</v>
      </c>
      <c r="M50" s="23" t="str">
        <f t="array" ref="M50">IF(F50 &gt; 0.3, "Yes", "No")</f>
        <v>No</v>
      </c>
      <c r="N50" s="19" t="str">
        <f t="array" ref="N50">IF(H50 &lt;0.3, "Yes", "No")</f>
        <v>No</v>
      </c>
      <c r="O50" s="19" t="str">
        <f t="array" ref="O50">IF(AND(D50&lt;65, M50="No",N50="No"), "Good Stock", " ")</f>
        <v>Good Stock</v>
      </c>
      <c r="P50" s="19" t="str">
        <f t="array" ref="P50">IF(B50 &gt;= $Q$2 * 0.6, "Large Cap Stocks", IF(B50 &gt;= $Q$2 * 0.4, "Medium Cap Stocks", "Low Cap Stocks"))</f>
        <v>Low Cap Stocks</v>
      </c>
    </row>
    <row r="51">
      <c r="A51" s="19" t="str">
        <f>IFERROR(__xludf.DUMMYFUNCTION("""COMPUTED_VALUE"""),"Supreme Industries")</f>
        <v>Supreme Industries</v>
      </c>
      <c r="B51" s="21">
        <f>IFERROR(__xludf.DUMMYFUNCTION("""COMPUTED_VALUE"""),31369.92)</f>
        <v>31369.92</v>
      </c>
      <c r="C51" s="19">
        <f>IFERROR(__xludf.DUMMYFUNCTION("""COMPUTED_VALUE"""),2461.0)</f>
        <v>2461</v>
      </c>
      <c r="D51" s="19">
        <f>IFERROR(__xludf.DUMMYFUNCTION("""COMPUTED_VALUE"""),36.12)</f>
        <v>36.12</v>
      </c>
      <c r="E51" s="19">
        <f>IFERROR(__xludf.DUMMYFUNCTION("""COMPUTED_VALUE"""),2607.65)</f>
        <v>2607.65</v>
      </c>
      <c r="F51" s="22">
        <f>IFERROR(__xludf.DUMMYFUNCTION("""COMPUTED_VALUE"""),0.05623837554886587)</f>
        <v>0.05623837555</v>
      </c>
      <c r="G51" s="19">
        <f>IFERROR(__xludf.DUMMYFUNCTION("""COMPUTED_VALUE"""),1666.25)</f>
        <v>1666.25</v>
      </c>
      <c r="H51" s="22">
        <f>IFERROR(__xludf.DUMMYFUNCTION("""COMPUTED_VALUE"""),0.47696924231057763)</f>
        <v>0.4769692423</v>
      </c>
      <c r="I51" s="19">
        <f>IFERROR(__xludf.DUMMYFUNCTION("""COMPUTED_VALUE"""),2452.7)</f>
        <v>2452.7</v>
      </c>
      <c r="J51" s="22">
        <f>IFERROR(__xludf.DUMMYFUNCTION("""COMPUTED_VALUE"""),0.003384025767521581)</f>
        <v>0.003384025768</v>
      </c>
      <c r="K51" s="23" t="str">
        <f t="array" ref="K51">IF(A51&lt;&gt;" ", (VLOOKUP(A51, 'NSEBSE Code'!A:C, 2, FALSE)), " ")</f>
        <v>Plastic</v>
      </c>
      <c r="L51" s="23" t="str">
        <f t="array" ref="L51">IF(A51&lt;&gt;" ", (VLOOKUP(A51, 'NSEBSE Code'!A:C, 3, FALSE)), " ")</f>
        <v>SUPREMEIND</v>
      </c>
      <c r="M51" s="23" t="str">
        <f t="array" ref="M51">IF(F51 &gt; 0.3, "Yes", "No")</f>
        <v>No</v>
      </c>
      <c r="N51" s="19" t="str">
        <f t="array" ref="N51">IF(H51 &lt;0.3, "Yes", "No")</f>
        <v>No</v>
      </c>
      <c r="O51" s="19" t="str">
        <f t="array" ref="O51">IF(AND(D51&lt;65, M51="No",N51="No"), "Good Stock", " ")</f>
        <v>Good Stock</v>
      </c>
      <c r="P51" s="19" t="str">
        <f t="array" ref="P51">IF(B51 &gt;= $Q$2 * 0.6, "Large Cap Stocks", IF(B51 &gt;= $Q$2 * 0.4, "Medium Cap Stocks", "Low Cap Stocks"))</f>
        <v>Low Cap Stocks</v>
      </c>
    </row>
    <row r="52">
      <c r="A52" s="19" t="str">
        <f>IFERROR(__xludf.DUMMYFUNCTION("""COMPUTED_VALUE"""),"Gujarat Gas")</f>
        <v>Gujarat Gas</v>
      </c>
      <c r="B52" s="21">
        <f>IFERROR(__xludf.DUMMYFUNCTION("""COMPUTED_VALUE"""),31008.5328948)</f>
        <v>31008.53289</v>
      </c>
      <c r="C52" s="19">
        <f>IFERROR(__xludf.DUMMYFUNCTION("""COMPUTED_VALUE"""),450.2)</f>
        <v>450.2</v>
      </c>
      <c r="D52" s="19">
        <f>IFERROR(__xludf.DUMMYFUNCTION("""COMPUTED_VALUE"""),22.9)</f>
        <v>22.9</v>
      </c>
      <c r="E52" s="19">
        <f>IFERROR(__xludf.DUMMYFUNCTION("""COMPUTED_VALUE"""),721.8)</f>
        <v>721.8</v>
      </c>
      <c r="F52" s="22">
        <f>IFERROR(__xludf.DUMMYFUNCTION("""COMPUTED_VALUE"""),0.3762815184261568)</f>
        <v>0.3762815184</v>
      </c>
      <c r="G52" s="19">
        <f>IFERROR(__xludf.DUMMYFUNCTION("""COMPUTED_VALUE"""),403.55)</f>
        <v>403.55</v>
      </c>
      <c r="H52" s="22">
        <f>IFERROR(__xludf.DUMMYFUNCTION("""COMPUTED_VALUE"""),0.11559905835708084)</f>
        <v>0.1155990584</v>
      </c>
      <c r="I52" s="19">
        <f>IFERROR(__xludf.DUMMYFUNCTION("""COMPUTED_VALUE"""),466.8)</f>
        <v>466.8</v>
      </c>
      <c r="J52" s="22">
        <f>IFERROR(__xludf.DUMMYFUNCTION("""COMPUTED_VALUE"""),-0.03556126820908317)</f>
        <v>-0.03556126821</v>
      </c>
      <c r="K52" s="23" t="str">
        <f t="array" ref="K52">IF(A52&lt;&gt;" ", (VLOOKUP(A52, 'NSEBSE Code'!A:C, 2, FALSE)), " ")</f>
        <v>Utility</v>
      </c>
      <c r="L52" s="23" t="str">
        <f t="array" ref="L52">IF(A52&lt;&gt;" ", (VLOOKUP(A52, 'NSEBSE Code'!A:C, 3, FALSE)), " ")</f>
        <v>GUJGASLTD</v>
      </c>
      <c r="M52" s="23" t="str">
        <f t="array" ref="M52">IF(F52 &gt; 0.3, "Yes", "No")</f>
        <v>Yes</v>
      </c>
      <c r="N52" s="19" t="str">
        <f t="array" ref="N52">IF(H52 &lt;0.3, "Yes", "No")</f>
        <v>Yes</v>
      </c>
      <c r="O52" s="19" t="str">
        <f t="array" ref="O52">IF(AND(D52&lt;65, M52="No",N52="No"), "Good Stock", " ")</f>
        <v> </v>
      </c>
      <c r="P52" s="19" t="str">
        <f t="array" ref="P52">IF(B52 &gt;= $Q$2 * 0.6, "Large Cap Stocks", IF(B52 &gt;= $Q$2 * 0.4, "Medium Cap Stocks", "Low Cap Stocks"))</f>
        <v>Low Cap Stocks</v>
      </c>
    </row>
    <row r="53">
      <c r="A53" s="19" t="str">
        <f>IFERROR(__xludf.DUMMYFUNCTION("""COMPUTED_VALUE"""),"Gujarat Florochemical")</f>
        <v>Gujarat Florochemical</v>
      </c>
      <c r="B53" s="21">
        <f>IFERROR(__xludf.DUMMYFUNCTION("""COMPUTED_VALUE"""),30664.6275)</f>
        <v>30664.6275</v>
      </c>
      <c r="C53" s="19">
        <f>IFERROR(__xludf.DUMMYFUNCTION("""COMPUTED_VALUE"""),2793.5)</f>
        <v>2793.5</v>
      </c>
      <c r="D53" s="19">
        <f>IFERROR(__xludf.DUMMYFUNCTION("""COMPUTED_VALUE"""),28.23)</f>
        <v>28.23</v>
      </c>
      <c r="E53" s="19">
        <f>IFERROR(__xludf.DUMMYFUNCTION("""COMPUTED_VALUE"""),4172.95)</f>
        <v>4172.95</v>
      </c>
      <c r="F53" s="22">
        <f>IFERROR(__xludf.DUMMYFUNCTION("""COMPUTED_VALUE"""),0.33056950119220213)</f>
        <v>0.3305695012</v>
      </c>
      <c r="G53" s="19">
        <f>IFERROR(__xludf.DUMMYFUNCTION("""COMPUTED_VALUE"""),2105.15)</f>
        <v>2105.15</v>
      </c>
      <c r="H53" s="22">
        <f>IFERROR(__xludf.DUMMYFUNCTION("""COMPUTED_VALUE"""),0.32698382538061416)</f>
        <v>0.3269838254</v>
      </c>
      <c r="I53" s="19">
        <f>IFERROR(__xludf.DUMMYFUNCTION("""COMPUTED_VALUE"""),2841.6)</f>
        <v>2841.6</v>
      </c>
      <c r="J53" s="22">
        <f>IFERROR(__xludf.DUMMYFUNCTION("""COMPUTED_VALUE"""),-0.0169270833333333)</f>
        <v>-0.01692708333</v>
      </c>
      <c r="K53" s="23" t="str">
        <f t="array" ref="K53">IF(A53&lt;&gt;" ", (VLOOKUP(A53, 'NSEBSE Code'!A:C, 2, FALSE)), " ")</f>
        <v>chemical</v>
      </c>
      <c r="L53" s="23" t="str">
        <f t="array" ref="L53">IF(A53&lt;&gt;" ", (VLOOKUP(A53, 'NSEBSE Code'!A:C, 3, FALSE)), " ")</f>
        <v>BOM:542812</v>
      </c>
      <c r="M53" s="23" t="str">
        <f t="array" ref="M53">IF(F53 &gt; 0.3, "Yes", "No")</f>
        <v>Yes</v>
      </c>
      <c r="N53" s="19" t="str">
        <f t="array" ref="N53">IF(H53 &lt;0.3, "Yes", "No")</f>
        <v>No</v>
      </c>
      <c r="O53" s="19" t="str">
        <f t="array" ref="O53">IF(AND(D53&lt;65, M53="No",N53="No"), "Good Stock", " ")</f>
        <v> </v>
      </c>
      <c r="P53" s="19" t="str">
        <f t="array" ref="P53">IF(B53 &gt;= $Q$2 * 0.6, "Large Cap Stocks", IF(B53 &gt;= $Q$2 * 0.4, "Medium Cap Stocks", "Low Cap Stocks"))</f>
        <v>Low Cap Stocks</v>
      </c>
    </row>
    <row r="54">
      <c r="A54" s="19" t="str">
        <f>IFERROR(__xludf.DUMMYFUNCTION("""COMPUTED_VALUE"""),"Persistent System")</f>
        <v>Persistent System</v>
      </c>
      <c r="B54" s="21">
        <f>IFERROR(__xludf.DUMMYFUNCTION("""COMPUTED_VALUE"""),30617.09)</f>
        <v>30617.09</v>
      </c>
      <c r="C54" s="19">
        <f>IFERROR(__xludf.DUMMYFUNCTION("""COMPUTED_VALUE"""),4009.0)</f>
        <v>4009</v>
      </c>
      <c r="D54" s="19">
        <f>IFERROR(__xludf.DUMMYFUNCTION("""COMPUTED_VALUE"""),37.59)</f>
        <v>37.59</v>
      </c>
      <c r="E54" s="19">
        <f>IFERROR(__xludf.DUMMYFUNCTION("""COMPUTED_VALUE"""),4954.0)</f>
        <v>4954</v>
      </c>
      <c r="F54" s="22">
        <f>IFERROR(__xludf.DUMMYFUNCTION("""COMPUTED_VALUE"""),0.19075494549858701)</f>
        <v>0.1907549455</v>
      </c>
      <c r="G54" s="19">
        <f>IFERROR(__xludf.DUMMYFUNCTION("""COMPUTED_VALUE"""),3092.05)</f>
        <v>3092.05</v>
      </c>
      <c r="H54" s="22">
        <f>IFERROR(__xludf.DUMMYFUNCTION("""COMPUTED_VALUE"""),0.296550831972316)</f>
        <v>0.296550832</v>
      </c>
      <c r="I54" s="19">
        <f>IFERROR(__xludf.DUMMYFUNCTION("""COMPUTED_VALUE"""),3978.2)</f>
        <v>3978.2</v>
      </c>
      <c r="J54" s="22">
        <f>IFERROR(__xludf.DUMMYFUNCTION("""COMPUTED_VALUE"""),0.007742194962545921)</f>
        <v>0.007742194963</v>
      </c>
      <c r="K54" s="23" t="str">
        <f t="array" ref="K54">IF(A54&lt;&gt;" ", (VLOOKUP(A54, 'NSEBSE Code'!A:C, 2, FALSE)), " ")</f>
        <v>IT</v>
      </c>
      <c r="L54" s="23" t="str">
        <f t="array" ref="L54">IF(A54&lt;&gt;" ", (VLOOKUP(A54, 'NSEBSE Code'!A:C, 3, FALSE)), " ")</f>
        <v>PERSISTENT</v>
      </c>
      <c r="M54" s="23" t="str">
        <f t="array" ref="M54">IF(F54 &gt; 0.3, "Yes", "No")</f>
        <v>No</v>
      </c>
      <c r="N54" s="19" t="str">
        <f t="array" ref="N54">IF(H54 &lt;0.3, "Yes", "No")</f>
        <v>Yes</v>
      </c>
      <c r="O54" s="19" t="str">
        <f t="array" ref="O54">IF(AND(D54&lt;65, M54="No",N54="No"), "Good Stock", " ")</f>
        <v> </v>
      </c>
      <c r="P54" s="19" t="str">
        <f t="array" ref="P54">IF(B54 &gt;= $Q$2 * 0.6, "Large Cap Stocks", IF(B54 &gt;= $Q$2 * 0.4, "Medium Cap Stocks", "Low Cap Stocks"))</f>
        <v>Low Cap Stocks</v>
      </c>
    </row>
    <row r="55">
      <c r="A55" s="19" t="str">
        <f>IFERROR(__xludf.DUMMYFUNCTION("""COMPUTED_VALUE"""),"Indraprastha Gas")</f>
        <v>Indraprastha Gas</v>
      </c>
      <c r="B55" s="21">
        <f>IFERROR(__xludf.DUMMYFUNCTION("""COMPUTED_VALUE"""),29162.03)</f>
        <v>29162.03</v>
      </c>
      <c r="C55" s="19">
        <f>IFERROR(__xludf.DUMMYFUNCTION("""COMPUTED_VALUE"""),416.85)</f>
        <v>416.85</v>
      </c>
      <c r="D55" s="19">
        <f>IFERROR(__xludf.DUMMYFUNCTION("""COMPUTED_VALUE"""),17.03)</f>
        <v>17.03</v>
      </c>
      <c r="E55" s="19">
        <f>IFERROR(__xludf.DUMMYFUNCTION("""COMPUTED_VALUE"""),466.65)</f>
        <v>466.65</v>
      </c>
      <c r="F55" s="22">
        <f>IFERROR(__xludf.DUMMYFUNCTION("""COMPUTED_VALUE"""),0.10671809707489543)</f>
        <v>0.1067180971</v>
      </c>
      <c r="G55" s="19">
        <f>IFERROR(__xludf.DUMMYFUNCTION("""COMPUTED_VALUE"""),322.1)</f>
        <v>322.1</v>
      </c>
      <c r="H55" s="22">
        <f>IFERROR(__xludf.DUMMYFUNCTION("""COMPUTED_VALUE"""),0.2941633033219497)</f>
        <v>0.2941633033</v>
      </c>
      <c r="I55" s="19">
        <f>IFERROR(__xludf.DUMMYFUNCTION("""COMPUTED_VALUE"""),418.6)</f>
        <v>418.6</v>
      </c>
      <c r="J55" s="22">
        <f>IFERROR(__xludf.DUMMYFUNCTION("""COMPUTED_VALUE"""),-0.004180602006688963)</f>
        <v>-0.004180602007</v>
      </c>
      <c r="K55" s="23" t="str">
        <f t="array" ref="K55">IF(A55&lt;&gt;" ", (VLOOKUP(A55, 'NSEBSE Code'!A:C, 2, FALSE)), " ")</f>
        <v>Utility</v>
      </c>
      <c r="L55" s="23" t="str">
        <f t="array" ref="L55">IF(A55&lt;&gt;" ", (VLOOKUP(A55, 'NSEBSE Code'!A:C, 3, FALSE)), " ")</f>
        <v>BOM:532514</v>
      </c>
      <c r="M55" s="23" t="str">
        <f t="array" ref="M55">IF(F55 &gt; 0.3, "Yes", "No")</f>
        <v>No</v>
      </c>
      <c r="N55" s="19" t="str">
        <f t="array" ref="N55">IF(H55 &lt;0.3, "Yes", "No")</f>
        <v>Yes</v>
      </c>
      <c r="O55" s="19" t="str">
        <f t="array" ref="O55">IF(AND(D55&lt;65, M55="No",N55="No"), "Good Stock", " ")</f>
        <v> </v>
      </c>
      <c r="P55" s="19" t="str">
        <f t="array" ref="P55">IF(B55 &gt;= $Q$2 * 0.6, "Large Cap Stocks", IF(B55 &gt;= $Q$2 * 0.4, "Medium Cap Stocks", "Low Cap Stocks"))</f>
        <v>Low Cap Stocks</v>
      </c>
    </row>
    <row r="56">
      <c r="A56" s="19" t="str">
        <f>IFERROR(__xludf.DUMMYFUNCTION("""COMPUTED_VALUE"""),"Max Financials")</f>
        <v>Max Financials</v>
      </c>
      <c r="B56" s="21">
        <f>IFERROR(__xludf.DUMMYFUNCTION("""COMPUTED_VALUE"""),27569.4122639)</f>
        <v>27569.41226</v>
      </c>
      <c r="C56" s="19">
        <f>IFERROR(__xludf.DUMMYFUNCTION("""COMPUTED_VALUE"""),799.4)</f>
        <v>799.4</v>
      </c>
      <c r="D56" s="19">
        <f>IFERROR(__xludf.DUMMYFUNCTION("""COMPUTED_VALUE"""),88.04)</f>
        <v>88.04</v>
      </c>
      <c r="E56" s="19">
        <f>IFERROR(__xludf.DUMMYFUNCTION("""COMPUTED_VALUE"""),1065.0)</f>
        <v>1065</v>
      </c>
      <c r="F56" s="22">
        <f>IFERROR(__xludf.DUMMYFUNCTION("""COMPUTED_VALUE"""),0.24938967136150236)</f>
        <v>0.2493896714</v>
      </c>
      <c r="G56" s="19">
        <f>IFERROR(__xludf.DUMMYFUNCTION("""COMPUTED_VALUE"""),627.8)</f>
        <v>627.8</v>
      </c>
      <c r="H56" s="22">
        <f>IFERROR(__xludf.DUMMYFUNCTION("""COMPUTED_VALUE"""),0.2733354571519593)</f>
        <v>0.2733354572</v>
      </c>
      <c r="I56" s="19">
        <f>IFERROR(__xludf.DUMMYFUNCTION("""COMPUTED_VALUE"""),796.25)</f>
        <v>796.25</v>
      </c>
      <c r="J56" s="22">
        <f>IFERROR(__xludf.DUMMYFUNCTION("""COMPUTED_VALUE"""),0.003956043956043927)</f>
        <v>0.003956043956</v>
      </c>
      <c r="K56" s="23" t="str">
        <f t="array" ref="K56">IF(A56&lt;&gt;" ", (VLOOKUP(A56, 'NSEBSE Code'!A:C, 2, FALSE)), " ")</f>
        <v>Financial Servcies</v>
      </c>
      <c r="L56" s="23" t="str">
        <f t="array" ref="L56">IF(A56&lt;&gt;" ", (VLOOKUP(A56, 'NSEBSE Code'!A:C, 3, FALSE)), " ")</f>
        <v>BOM:500271</v>
      </c>
      <c r="M56" s="23" t="str">
        <f t="array" ref="M56">IF(F56 &gt; 0.3, "Yes", "No")</f>
        <v>No</v>
      </c>
      <c r="N56" s="19" t="str">
        <f t="array" ref="N56">IF(H56 &lt;0.3, "Yes", "No")</f>
        <v>Yes</v>
      </c>
      <c r="O56" s="19" t="str">
        <f t="array" ref="O56">IF(AND(D56&lt;65, M56="No",N56="No"), "Good Stock", " ")</f>
        <v> </v>
      </c>
      <c r="P56" s="19" t="str">
        <f t="array" ref="P56">IF(B56 &gt;= $Q$2 * 0.6, "Large Cap Stocks", IF(B56 &gt;= $Q$2 * 0.4, "Medium Cap Stocks", "Low Cap Stocks"))</f>
        <v>Low Cap Stocks</v>
      </c>
    </row>
    <row r="57">
      <c r="A57" s="19" t="str">
        <f>IFERROR(__xludf.DUMMYFUNCTION("""COMPUTED_VALUE"""),"Deepak Nitrite")</f>
        <v>Deepak Nitrite</v>
      </c>
      <c r="B57" s="21">
        <f>IFERROR(__xludf.DUMMYFUNCTION("""COMPUTED_VALUE"""),26525.721745)</f>
        <v>26525.72175</v>
      </c>
      <c r="C57" s="19">
        <f>IFERROR(__xludf.DUMMYFUNCTION("""COMPUTED_VALUE"""),1944.05)</f>
        <v>1944.05</v>
      </c>
      <c r="D57" s="19">
        <f>IFERROR(__xludf.DUMMYFUNCTION("""COMPUTED_VALUE"""),28.86)</f>
        <v>28.86</v>
      </c>
      <c r="E57" s="19">
        <f>IFERROR(__xludf.DUMMYFUNCTION("""COMPUTED_VALUE"""),2690.05)</f>
        <v>2690.05</v>
      </c>
      <c r="F57" s="22">
        <f>IFERROR(__xludf.DUMMYFUNCTION("""COMPUTED_VALUE"""),0.27731826545974986)</f>
        <v>0.2773182655</v>
      </c>
      <c r="G57" s="19">
        <f>IFERROR(__xludf.DUMMYFUNCTION("""COMPUTED_VALUE"""),1681.15)</f>
        <v>1681.15</v>
      </c>
      <c r="H57" s="22">
        <f>IFERROR(__xludf.DUMMYFUNCTION("""COMPUTED_VALUE"""),0.15638104868691066)</f>
        <v>0.1563810487</v>
      </c>
      <c r="I57" s="19">
        <f>IFERROR(__xludf.DUMMYFUNCTION("""COMPUTED_VALUE"""),1941.8)</f>
        <v>1941.8</v>
      </c>
      <c r="J57" s="22">
        <f>IFERROR(__xludf.DUMMYFUNCTION("""COMPUTED_VALUE"""),0.0011587187145947059)</f>
        <v>0.001158718715</v>
      </c>
      <c r="K57" s="23" t="str">
        <f t="array" ref="K57">IF(A57&lt;&gt;" ", (VLOOKUP(A57, 'NSEBSE Code'!A:C, 2, FALSE)), " ")</f>
        <v>Chemical</v>
      </c>
      <c r="L57" s="23" t="str">
        <f t="array" ref="L57">IF(A57&lt;&gt;" ", (VLOOKUP(A57, 'NSEBSE Code'!A:C, 3, FALSE)), " ")</f>
        <v>DEEPAKNTR</v>
      </c>
      <c r="M57" s="23" t="str">
        <f t="array" ref="M57">IF(F57 &gt; 0.3, "Yes", "No")</f>
        <v>No</v>
      </c>
      <c r="N57" s="19" t="str">
        <f t="array" ref="N57">IF(H57 &lt;0.3, "Yes", "No")</f>
        <v>Yes</v>
      </c>
      <c r="O57" s="19" t="str">
        <f t="array" ref="O57">IF(AND(D57&lt;65, M57="No",N57="No"), "Good Stock", " ")</f>
        <v> </v>
      </c>
      <c r="P57" s="19" t="str">
        <f t="array" ref="P57">IF(B57 &gt;= $Q$2 * 0.6, "Large Cap Stocks", IF(B57 &gt;= $Q$2 * 0.4, "Medium Cap Stocks", "Low Cap Stocks"))</f>
        <v>Low Cap Stocks</v>
      </c>
    </row>
    <row r="58">
      <c r="A58" s="19" t="str">
        <f>IFERROR(__xludf.DUMMYFUNCTION("""COMPUTED_VALUE"""),"Coromandel International")</f>
        <v>Coromandel International</v>
      </c>
      <c r="B58" s="21">
        <f>IFERROR(__xludf.DUMMYFUNCTION("""COMPUTED_VALUE"""),25664.11)</f>
        <v>25664.11</v>
      </c>
      <c r="C58" s="19">
        <f>IFERROR(__xludf.DUMMYFUNCTION("""COMPUTED_VALUE"""),872.0)</f>
        <v>872</v>
      </c>
      <c r="D58" s="19">
        <f>IFERROR(__xludf.DUMMYFUNCTION("""COMPUTED_VALUE"""),13.43)</f>
        <v>13.43</v>
      </c>
      <c r="E58" s="19">
        <f>IFERROR(__xludf.DUMMYFUNCTION("""COMPUTED_VALUE"""),1094.0)</f>
        <v>1094</v>
      </c>
      <c r="F58" s="22">
        <f>IFERROR(__xludf.DUMMYFUNCTION("""COMPUTED_VALUE"""),0.20292504570383912)</f>
        <v>0.2029250457</v>
      </c>
      <c r="G58" s="19">
        <f>IFERROR(__xludf.DUMMYFUNCTION("""COMPUTED_VALUE"""),729.55)</f>
        <v>729.55</v>
      </c>
      <c r="H58" s="22">
        <f>IFERROR(__xludf.DUMMYFUNCTION("""COMPUTED_VALUE"""),0.19525735042149278)</f>
        <v>0.1952573504</v>
      </c>
      <c r="I58" s="19">
        <f>IFERROR(__xludf.DUMMYFUNCTION("""COMPUTED_VALUE"""),881.85)</f>
        <v>881.85</v>
      </c>
      <c r="J58" s="22">
        <f>IFERROR(__xludf.DUMMYFUNCTION("""COMPUTED_VALUE"""),-0.01116970006236891)</f>
        <v>-0.01116970006</v>
      </c>
      <c r="K58" s="23" t="str">
        <f t="array" ref="K58">IF(A58&lt;&gt;" ", (VLOOKUP(A58, 'NSEBSE Code'!A:C, 2, FALSE)), " ")</f>
        <v>Agrochemical</v>
      </c>
      <c r="L58" s="23" t="str">
        <f t="array" ref="L58">IF(A58&lt;&gt;" ", (VLOOKUP(A58, 'NSEBSE Code'!A:C, 3, FALSE)), " ")</f>
        <v>COROMANDEL</v>
      </c>
      <c r="M58" s="23" t="str">
        <f t="array" ref="M58">IF(F58 &gt; 0.3, "Yes", "No")</f>
        <v>No</v>
      </c>
      <c r="N58" s="19" t="str">
        <f t="array" ref="N58">IF(H58 &lt;0.3, "Yes", "No")</f>
        <v>Yes</v>
      </c>
      <c r="O58" s="19" t="str">
        <f t="array" ref="O58">IF(AND(D58&lt;65, M58="No",N58="No"), "Good Stock", " ")</f>
        <v> </v>
      </c>
      <c r="P58" s="19" t="str">
        <f t="array" ref="P58">IF(B58 &gt;= $Q$2 * 0.6, "Large Cap Stocks", IF(B58 &gt;= $Q$2 * 0.4, "Medium Cap Stocks", "Low Cap Stocks"))</f>
        <v>Low Cap Stocks</v>
      </c>
    </row>
    <row r="59">
      <c r="A59" s="19" t="str">
        <f>IFERROR(__xludf.DUMMYFUNCTION("""COMPUTED_VALUE"""),"Aurobindo Pharma")</f>
        <v>Aurobindo Pharma</v>
      </c>
      <c r="B59" s="21">
        <f>IFERROR(__xludf.DUMMYFUNCTION("""COMPUTED_VALUE"""),25505.6859247)</f>
        <v>25505.68592</v>
      </c>
      <c r="C59" s="19">
        <f>IFERROR(__xludf.DUMMYFUNCTION("""COMPUTED_VALUE"""),435.3)</f>
        <v>435.3</v>
      </c>
      <c r="D59" s="19">
        <f>IFERROR(__xludf.DUMMYFUNCTION("""COMPUTED_VALUE"""),12.08)</f>
        <v>12.08</v>
      </c>
      <c r="E59" s="19">
        <f>IFERROR(__xludf.DUMMYFUNCTION("""COMPUTED_VALUE"""),727.95)</f>
        <v>727.95</v>
      </c>
      <c r="F59" s="22">
        <f>IFERROR(__xludf.DUMMYFUNCTION("""COMPUTED_VALUE"""),0.40201936946218836)</f>
        <v>0.4020193695</v>
      </c>
      <c r="G59" s="19">
        <f>IFERROR(__xludf.DUMMYFUNCTION("""COMPUTED_VALUE"""),429.2)</f>
        <v>429.2</v>
      </c>
      <c r="H59" s="22">
        <f>IFERROR(__xludf.DUMMYFUNCTION("""COMPUTED_VALUE"""),0.014212488350419439)</f>
        <v>0.01421248835</v>
      </c>
      <c r="I59" s="19">
        <f>IFERROR(__xludf.DUMMYFUNCTION("""COMPUTED_VALUE"""),446.35)</f>
        <v>446.35</v>
      </c>
      <c r="J59" s="22">
        <f>IFERROR(__xludf.DUMMYFUNCTION("""COMPUTED_VALUE"""),-0.02475635711885294)</f>
        <v>-0.02475635712</v>
      </c>
      <c r="K59" s="23" t="str">
        <f t="array" ref="K59">IF(A59&lt;&gt;" ", (VLOOKUP(A59, 'NSEBSE Code'!A:C, 2, FALSE)), " ")</f>
        <v>Pharma</v>
      </c>
      <c r="L59" s="23" t="str">
        <f t="array" ref="L59">IF(A59&lt;&gt;" ", (VLOOKUP(A59, 'NSEBSE Code'!A:C, 3, FALSE)), " ")</f>
        <v>AUROPHARMA</v>
      </c>
      <c r="M59" s="23" t="str">
        <f t="array" ref="M59">IF(F59 &gt; 0.3, "Yes", "No")</f>
        <v>Yes</v>
      </c>
      <c r="N59" s="19" t="str">
        <f t="array" ref="N59">IF(H59 &lt;0.3, "Yes", "No")</f>
        <v>Yes</v>
      </c>
      <c r="O59" s="19" t="str">
        <f t="array" ref="O59">IF(AND(D59&lt;65, M59="No",N59="No"), "Good Stock", " ")</f>
        <v> </v>
      </c>
      <c r="P59" s="19" t="str">
        <f t="array" ref="P59">IF(B59 &gt;= $Q$2 * 0.6, "Large Cap Stocks", IF(B59 &gt;= $Q$2 * 0.4, "Medium Cap Stocks", "Low Cap Stocks"))</f>
        <v>Low Cap Stocks</v>
      </c>
    </row>
    <row r="60">
      <c r="A60" s="19" t="str">
        <f>IFERROR(__xludf.DUMMYFUNCTION("""COMPUTED_VALUE"""),"3M India")</f>
        <v>3M India</v>
      </c>
      <c r="B60" s="21">
        <f>IFERROR(__xludf.DUMMYFUNCTION("""COMPUTED_VALUE"""),25229.93)</f>
        <v>25229.93</v>
      </c>
      <c r="C60" s="19">
        <f>IFERROR(__xludf.DUMMYFUNCTION("""COMPUTED_VALUE"""),22300.0)</f>
        <v>22300</v>
      </c>
      <c r="D60" s="19">
        <f>IFERROR(__xludf.DUMMYFUNCTION("""COMPUTED_VALUE"""),68.24)</f>
        <v>68.24</v>
      </c>
      <c r="E60" s="19">
        <f>IFERROR(__xludf.DUMMYFUNCTION("""COMPUTED_VALUE"""),26943.0)</f>
        <v>26943</v>
      </c>
      <c r="F60" s="22">
        <f>IFERROR(__xludf.DUMMYFUNCTION("""COMPUTED_VALUE"""),0.17232676390899307)</f>
        <v>0.1723267639</v>
      </c>
      <c r="G60" s="19">
        <f>IFERROR(__xludf.DUMMYFUNCTION("""COMPUTED_VALUE"""),17273.0)</f>
        <v>17273</v>
      </c>
      <c r="H60" s="22">
        <f>IFERROR(__xludf.DUMMYFUNCTION("""COMPUTED_VALUE"""),0.2910322468592601)</f>
        <v>0.2910322469</v>
      </c>
      <c r="I60" s="19">
        <f>IFERROR(__xludf.DUMMYFUNCTION("""COMPUTED_VALUE"""),22335.4)</f>
        <v>22335.4</v>
      </c>
      <c r="J60" s="22">
        <f>IFERROR(__xludf.DUMMYFUNCTION("""COMPUTED_VALUE"""),-0.0015849279618901588)</f>
        <v>-0.001584927962</v>
      </c>
      <c r="K60" s="23" t="str">
        <f t="array" ref="K60">IF(A60&lt;&gt;" ", (VLOOKUP(A60, 'NSEBSE Code'!A:C, 2, FALSE)), " ")</f>
        <v>Technology</v>
      </c>
      <c r="L60" s="23" t="str">
        <f t="array" ref="L60">IF(A60&lt;&gt;" ", (VLOOKUP(A60, 'NSEBSE Code'!A:C, 3, FALSE)), " ")</f>
        <v>3MINDIA</v>
      </c>
      <c r="M60" s="23" t="str">
        <f t="array" ref="M60">IF(F60 &gt; 0.3, "Yes", "No")</f>
        <v>No</v>
      </c>
      <c r="N60" s="19" t="str">
        <f t="array" ref="N60">IF(H60 &lt;0.3, "Yes", "No")</f>
        <v>Yes</v>
      </c>
      <c r="O60" s="19" t="str">
        <f t="array" ref="O60">IF(AND(D60&lt;65, M60="No",N60="No"), "Good Stock", " ")</f>
        <v> </v>
      </c>
      <c r="P60" s="19" t="str">
        <f t="array" ref="P60">IF(B60 &gt;= $Q$2 * 0.6, "Large Cap Stocks", IF(B60 &gt;= $Q$2 * 0.4, "Medium Cap Stocks", "Low Cap Stocks"))</f>
        <v>Low Cap Stocks</v>
      </c>
    </row>
    <row r="61">
      <c r="A61" s="19" t="str">
        <f>IFERROR(__xludf.DUMMYFUNCTION("""COMPUTED_VALUE"""),"sona comstar")</f>
        <v>sona comstar</v>
      </c>
      <c r="B61" s="21">
        <f>IFERROR(__xludf.DUMMYFUNCTION("""COMPUTED_VALUE"""),24962.9162175)</f>
        <v>24962.91622</v>
      </c>
      <c r="C61" s="19">
        <f>IFERROR(__xludf.DUMMYFUNCTION("""COMPUTED_VALUE"""),426.0)</f>
        <v>426</v>
      </c>
      <c r="D61" s="19">
        <f>IFERROR(__xludf.DUMMYFUNCTION("""COMPUTED_VALUE"""),69.24)</f>
        <v>69.24</v>
      </c>
      <c r="E61" s="19">
        <f>IFERROR(__xludf.DUMMYFUNCTION("""COMPUTED_VALUE"""),795.0)</f>
        <v>795</v>
      </c>
      <c r="F61" s="22">
        <f>IFERROR(__xludf.DUMMYFUNCTION("""COMPUTED_VALUE"""),0.4641509433962264)</f>
        <v>0.4641509434</v>
      </c>
      <c r="G61" s="19">
        <f>IFERROR(__xludf.DUMMYFUNCTION("""COMPUTED_VALUE"""),397.35)</f>
        <v>397.35</v>
      </c>
      <c r="H61" s="22">
        <f>IFERROR(__xludf.DUMMYFUNCTION("""COMPUTED_VALUE"""),0.07210268025670058)</f>
        <v>0.07210268026</v>
      </c>
      <c r="I61" s="19">
        <f>IFERROR(__xludf.DUMMYFUNCTION("""COMPUTED_VALUE"""),428.65)</f>
        <v>428.65</v>
      </c>
      <c r="J61" s="22">
        <f>IFERROR(__xludf.DUMMYFUNCTION("""COMPUTED_VALUE"""),-0.006182199930012778)</f>
        <v>-0.00618219993</v>
      </c>
      <c r="K61" s="23" t="str">
        <f t="array" ref="K61">IF(A61&lt;&gt;" ", (VLOOKUP(A61, 'NSEBSE Code'!A:C, 2, FALSE)), " ")</f>
        <v>automobile</v>
      </c>
      <c r="L61" s="23" t="str">
        <f t="array" ref="L61">IF(A61&lt;&gt;" ", (VLOOKUP(A61, 'NSEBSE Code'!A:C, 3, FALSE)), " ")</f>
        <v>BOM:543300</v>
      </c>
      <c r="M61" s="23" t="str">
        <f t="array" ref="M61">IF(F61 &gt; 0.3, "Yes", "No")</f>
        <v>Yes</v>
      </c>
      <c r="N61" s="19" t="str">
        <f t="array" ref="N61">IF(H61 &lt;0.3, "Yes", "No")</f>
        <v>Yes</v>
      </c>
      <c r="O61" s="19" t="str">
        <f t="array" ref="O61">IF(AND(D61&lt;65, M61="No",N61="No"), "Good Stock", " ")</f>
        <v> </v>
      </c>
      <c r="P61" s="19" t="str">
        <f t="array" ref="P61">IF(B61 &gt;= $Q$2 * 0.6, "Large Cap Stocks", IF(B61 &gt;= $Q$2 * 0.4, "Medium Cap Stocks", "Low Cap Stocks"))</f>
        <v>Low Cap Stocks</v>
      </c>
    </row>
    <row r="62">
      <c r="A62" s="19" t="str">
        <f>IFERROR(__xludf.DUMMYFUNCTION("""COMPUTED_VALUE"""),"Tata Chemical")</f>
        <v>Tata Chemical</v>
      </c>
      <c r="B62" s="21">
        <f>IFERROR(__xludf.DUMMYFUNCTION("""COMPUTED_VALUE"""),24851.46731)</f>
        <v>24851.46731</v>
      </c>
      <c r="C62" s="19">
        <f>IFERROR(__xludf.DUMMYFUNCTION("""COMPUTED_VALUE"""),975.8)</f>
        <v>975.8</v>
      </c>
      <c r="D62" s="19">
        <f>IFERROR(__xludf.DUMMYFUNCTION("""COMPUTED_VALUE"""),12.65)</f>
        <v>12.65</v>
      </c>
      <c r="E62" s="19">
        <f>IFERROR(__xludf.DUMMYFUNCTION("""COMPUTED_VALUE"""),1214.65)</f>
        <v>1214.65</v>
      </c>
      <c r="F62" s="22">
        <f>IFERROR(__xludf.DUMMYFUNCTION("""COMPUTED_VALUE"""),0.1966410076976908)</f>
        <v>0.1966410077</v>
      </c>
      <c r="G62" s="19">
        <f>IFERROR(__xludf.DUMMYFUNCTION("""COMPUTED_VALUE"""),773.9)</f>
        <v>773.9</v>
      </c>
      <c r="H62" s="22">
        <f>IFERROR(__xludf.DUMMYFUNCTION("""COMPUTED_VALUE"""),0.2608864194340354)</f>
        <v>0.2608864194</v>
      </c>
      <c r="I62" s="19">
        <f>IFERROR(__xludf.DUMMYFUNCTION("""COMPUTED_VALUE"""),972.55)</f>
        <v>972.55</v>
      </c>
      <c r="J62" s="22">
        <f>IFERROR(__xludf.DUMMYFUNCTION("""COMPUTED_VALUE"""),0.0033417305022878)</f>
        <v>0.003341730502</v>
      </c>
      <c r="K62" s="23" t="str">
        <f t="array" ref="K62">IF(A62&lt;&gt;" ", (VLOOKUP(A62, 'NSEBSE Code'!A:C, 2, FALSE)), " ")</f>
        <v>Chemical</v>
      </c>
      <c r="L62" s="23" t="str">
        <f t="array" ref="L62">IF(A62&lt;&gt;" ", (VLOOKUP(A62, 'NSEBSE Code'!A:C, 3, FALSE)), " ")</f>
        <v>BOM:500770</v>
      </c>
      <c r="M62" s="23" t="str">
        <f t="array" ref="M62">IF(F62 &gt; 0.3, "Yes", "No")</f>
        <v>No</v>
      </c>
      <c r="N62" s="19" t="str">
        <f t="array" ref="N62">IF(H62 &lt;0.3, "Yes", "No")</f>
        <v>Yes</v>
      </c>
      <c r="O62" s="19" t="str">
        <f t="array" ref="O62">IF(AND(D62&lt;65, M62="No",N62="No"), "Good Stock", " ")</f>
        <v> </v>
      </c>
      <c r="P62" s="19" t="str">
        <f t="array" ref="P62">IF(B62 &gt;= $Q$2 * 0.6, "Large Cap Stocks", IF(B62 &gt;= $Q$2 * 0.4, "Medium Cap Stocks", "Low Cap Stocks"))</f>
        <v>Low Cap Stocks</v>
      </c>
    </row>
    <row r="63">
      <c r="A63" s="19" t="str">
        <f>IFERROR(__xludf.DUMMYFUNCTION("""COMPUTED_VALUE"""),"Sumitomo Chemicals")</f>
        <v>Sumitomo Chemicals</v>
      </c>
      <c r="B63" s="21">
        <f>IFERROR(__xludf.DUMMYFUNCTION("""COMPUTED_VALUE"""),24637.83)</f>
        <v>24637.83</v>
      </c>
      <c r="C63" s="19">
        <f>IFERROR(__xludf.DUMMYFUNCTION("""COMPUTED_VALUE"""),493.2)</f>
        <v>493.2</v>
      </c>
      <c r="D63" s="19">
        <f>IFERROR(__xludf.DUMMYFUNCTION("""COMPUTED_VALUE"""),48.9)</f>
        <v>48.9</v>
      </c>
      <c r="E63" s="19">
        <f>IFERROR(__xludf.DUMMYFUNCTION("""COMPUTED_VALUE"""),540.8)</f>
        <v>540.8</v>
      </c>
      <c r="F63" s="22">
        <f>IFERROR(__xludf.DUMMYFUNCTION("""COMPUTED_VALUE"""),0.08801775147928989)</f>
        <v>0.08801775148</v>
      </c>
      <c r="G63" s="19">
        <f>IFERROR(__xludf.DUMMYFUNCTION("""COMPUTED_VALUE"""),351.5)</f>
        <v>351.5</v>
      </c>
      <c r="H63" s="22">
        <f>IFERROR(__xludf.DUMMYFUNCTION("""COMPUTED_VALUE"""),0.40312944523470834)</f>
        <v>0.4031294452</v>
      </c>
      <c r="I63" s="19">
        <f>IFERROR(__xludf.DUMMYFUNCTION("""COMPUTED_VALUE"""),487.95)</f>
        <v>487.95</v>
      </c>
      <c r="J63" s="22">
        <f>IFERROR(__xludf.DUMMYFUNCTION("""COMPUTED_VALUE"""),0.010759299108515218)</f>
        <v>0.01075929911</v>
      </c>
      <c r="K63" s="23" t="str">
        <f t="array" ref="K63">IF(A63&lt;&gt;" ", (VLOOKUP(A63, 'NSEBSE Code'!A:C, 2, FALSE)), " ")</f>
        <v>Agrochemical</v>
      </c>
      <c r="L63" s="23" t="str">
        <f t="array" ref="L63">IF(A63&lt;&gt;" ", (VLOOKUP(A63, 'NSEBSE Code'!A:C, 3, FALSE)), " ")</f>
        <v>SUMICHEM</v>
      </c>
      <c r="M63" s="23" t="str">
        <f t="array" ref="M63">IF(F63 &gt; 0.3, "Yes", "No")</f>
        <v>No</v>
      </c>
      <c r="N63" s="19" t="str">
        <f t="array" ref="N63">IF(H63 &lt;0.3, "Yes", "No")</f>
        <v>No</v>
      </c>
      <c r="O63" s="19" t="str">
        <f t="array" ref="O63">IF(AND(D63&lt;65, M63="No",N63="No"), "Good Stock", " ")</f>
        <v>Good Stock</v>
      </c>
      <c r="P63" s="19" t="str">
        <f t="array" ref="P63">IF(B63 &gt;= $Q$2 * 0.6, "Large Cap Stocks", IF(B63 &gt;= $Q$2 * 0.4, "Medium Cap Stocks", "Low Cap Stocks"))</f>
        <v>Low Cap Stocks</v>
      </c>
    </row>
    <row r="64">
      <c r="A64" s="19" t="str">
        <f>IFERROR(__xludf.DUMMYFUNCTION("""COMPUTED_VALUE"""),"Coforge")</f>
        <v>Coforge</v>
      </c>
      <c r="B64" s="21">
        <f>IFERROR(__xludf.DUMMYFUNCTION("""COMPUTED_VALUE"""),23631.8479052)</f>
        <v>23631.84791</v>
      </c>
      <c r="C64" s="19">
        <f>IFERROR(__xludf.DUMMYFUNCTION("""COMPUTED_VALUE"""),3868.05)</f>
        <v>3868.05</v>
      </c>
      <c r="D64" s="19">
        <f>IFERROR(__xludf.DUMMYFUNCTION("""COMPUTED_VALUE"""),32.39)</f>
        <v>32.39</v>
      </c>
      <c r="E64" s="19">
        <f>IFERROR(__xludf.DUMMYFUNCTION("""COMPUTED_VALUE"""),5862.1)</f>
        <v>5862.1</v>
      </c>
      <c r="F64" s="22">
        <f>IFERROR(__xludf.DUMMYFUNCTION("""COMPUTED_VALUE"""),0.3401596697429249)</f>
        <v>0.3401596697</v>
      </c>
      <c r="G64" s="19">
        <f>IFERROR(__xludf.DUMMYFUNCTION("""COMPUTED_VALUE"""),3210.0)</f>
        <v>3210</v>
      </c>
      <c r="H64" s="22">
        <f>IFERROR(__xludf.DUMMYFUNCTION("""COMPUTED_VALUE"""),0.20500000000000004)</f>
        <v>0.205</v>
      </c>
      <c r="I64" s="19">
        <f>IFERROR(__xludf.DUMMYFUNCTION("""COMPUTED_VALUE"""),3902.65)</f>
        <v>3902.65</v>
      </c>
      <c r="J64" s="22">
        <f>IFERROR(__xludf.DUMMYFUNCTION("""COMPUTED_VALUE"""),-0.008865770694271817)</f>
        <v>-0.008865770694</v>
      </c>
      <c r="K64" s="23" t="str">
        <f t="array" ref="K64">IF(A64&lt;&gt;" ", (VLOOKUP(A64, 'NSEBSE Code'!A:C, 2, FALSE)), " ")</f>
        <v>Technology</v>
      </c>
      <c r="L64" s="23" t="str">
        <f t="array" ref="L64">IF(A64&lt;&gt;" ", (VLOOKUP(A64, 'NSEBSE Code'!A:C, 3, FALSE)), " ")</f>
        <v>BOM:532541</v>
      </c>
      <c r="M64" s="23" t="str">
        <f t="array" ref="M64">IF(F64 &gt; 0.3, "Yes", "No")</f>
        <v>Yes</v>
      </c>
      <c r="N64" s="19" t="str">
        <f t="array" ref="N64">IF(H64 &lt;0.3, "Yes", "No")</f>
        <v>Yes</v>
      </c>
      <c r="O64" s="19" t="str">
        <f t="array" ref="O64">IF(AND(D64&lt;65, M64="No",N64="No"), "Good Stock", " ")</f>
        <v> </v>
      </c>
      <c r="P64" s="19" t="str">
        <f t="array" ref="P64">IF(B64 &gt;= $Q$2 * 0.6, "Large Cap Stocks", IF(B64 &gt;= $Q$2 * 0.4, "Medium Cap Stocks", "Low Cap Stocks"))</f>
        <v>Low Cap Stocks</v>
      </c>
    </row>
    <row r="65">
      <c r="A65" s="19" t="str">
        <f>IFERROR(__xludf.DUMMYFUNCTION("""COMPUTED_VALUE"""),"LIC Housing Finance")</f>
        <v>LIC Housing Finance</v>
      </c>
      <c r="B65" s="21">
        <f>IFERROR(__xludf.DUMMYFUNCTION("""COMPUTED_VALUE"""),22159.2659823)</f>
        <v>22159.26598</v>
      </c>
      <c r="C65" s="19">
        <f>IFERROR(__xludf.DUMMYFUNCTION("""COMPUTED_VALUE"""),402.9)</f>
        <v>402.9</v>
      </c>
      <c r="D65" s="19">
        <f>IFERROR(__xludf.DUMMYFUNCTION("""COMPUTED_VALUE"""),6.85)</f>
        <v>6.85</v>
      </c>
      <c r="E65" s="19">
        <f>IFERROR(__xludf.DUMMYFUNCTION("""COMPUTED_VALUE"""),443.5)</f>
        <v>443.5</v>
      </c>
      <c r="F65" s="22">
        <f>IFERROR(__xludf.DUMMYFUNCTION("""COMPUTED_VALUE"""),0.09154453213077796)</f>
        <v>0.09154453213</v>
      </c>
      <c r="G65" s="19">
        <f>IFERROR(__xludf.DUMMYFUNCTION("""COMPUTED_VALUE"""),291.75)</f>
        <v>291.75</v>
      </c>
      <c r="H65" s="22">
        <f>IFERROR(__xludf.DUMMYFUNCTION("""COMPUTED_VALUE"""),0.38097686375321327)</f>
        <v>0.3809768638</v>
      </c>
      <c r="I65" s="19">
        <f>IFERROR(__xludf.DUMMYFUNCTION("""COMPUTED_VALUE"""),400.2)</f>
        <v>400.2</v>
      </c>
      <c r="J65" s="22">
        <f>IFERROR(__xludf.DUMMYFUNCTION("""COMPUTED_VALUE"""),0.006746626686656643)</f>
        <v>0.006746626687</v>
      </c>
      <c r="K65" s="23" t="str">
        <f t="array" ref="K65">IF(A65&lt;&gt;" ", (VLOOKUP(A65, 'NSEBSE Code'!A:C, 2, FALSE)), " ")</f>
        <v>NBFC</v>
      </c>
      <c r="L65" s="23" t="str">
        <f t="array" ref="L65">IF(A65&lt;&gt;" ", (VLOOKUP(A65, 'NSEBSE Code'!A:C, 3, FALSE)), " ")</f>
        <v>BOM:500253</v>
      </c>
      <c r="M65" s="23" t="str">
        <f t="array" ref="M65">IF(F65 &gt; 0.3, "Yes", "No")</f>
        <v>No</v>
      </c>
      <c r="N65" s="19" t="str">
        <f t="array" ref="N65">IF(H65 &lt;0.3, "Yes", "No")</f>
        <v>No</v>
      </c>
      <c r="O65" s="19" t="str">
        <f t="array" ref="O65">IF(AND(D65&lt;65, M65="No",N65="No"), "Good Stock", " ")</f>
        <v>Good Stock</v>
      </c>
      <c r="P65" s="19" t="str">
        <f t="array" ref="P65">IF(B65 &gt;= $Q$2 * 0.6, "Large Cap Stocks", IF(B65 &gt;= $Q$2 * 0.4, "Medium Cap Stocks", "Low Cap Stocks"))</f>
        <v>Low Cap Stocks</v>
      </c>
    </row>
    <row r="66">
      <c r="A66" s="19" t="str">
        <f>IFERROR(__xludf.DUMMYFUNCTION("""COMPUTED_VALUE"""),"IPCA Lab")</f>
        <v>IPCA Lab</v>
      </c>
      <c r="B66" s="21">
        <f>IFERROR(__xludf.DUMMYFUNCTION("""COMPUTED_VALUE"""),22090.03)</f>
        <v>22090.03</v>
      </c>
      <c r="C66" s="19">
        <f>IFERROR(__xludf.DUMMYFUNCTION("""COMPUTED_VALUE"""),872.85)</f>
        <v>872.85</v>
      </c>
      <c r="D66" s="19">
        <f>IFERROR(__xludf.DUMMYFUNCTION("""COMPUTED_VALUE"""),42.96)</f>
        <v>42.96</v>
      </c>
      <c r="E66" s="19">
        <f>IFERROR(__xludf.DUMMYFUNCTION("""COMPUTED_VALUE"""),1095.0)</f>
        <v>1095</v>
      </c>
      <c r="F66" s="22">
        <f>IFERROR(__xludf.DUMMYFUNCTION("""COMPUTED_VALUE"""),0.2028767123287671)</f>
        <v>0.2028767123</v>
      </c>
      <c r="G66" s="19">
        <f>IFERROR(__xludf.DUMMYFUNCTION("""COMPUTED_VALUE"""),830.0)</f>
        <v>830</v>
      </c>
      <c r="H66" s="22">
        <f>IFERROR(__xludf.DUMMYFUNCTION("""COMPUTED_VALUE"""),0.051626506024096415)</f>
        <v>0.05162650602</v>
      </c>
      <c r="I66" s="19">
        <f>IFERROR(__xludf.DUMMYFUNCTION("""COMPUTED_VALUE"""),868.6)</f>
        <v>868.6</v>
      </c>
      <c r="J66" s="22">
        <f>IFERROR(__xludf.DUMMYFUNCTION("""COMPUTED_VALUE"""),0.004892931153580474)</f>
        <v>0.004892931154</v>
      </c>
      <c r="K66" s="23" t="str">
        <f t="array" ref="K66">IF(A66&lt;&gt;" ", (VLOOKUP(A66, 'NSEBSE Code'!A:C, 2, FALSE)), " ")</f>
        <v>Pharma</v>
      </c>
      <c r="L66" s="23" t="str">
        <f t="array" ref="L66">IF(A66&lt;&gt;" ", (VLOOKUP(A66, 'NSEBSE Code'!A:C, 3, FALSE)), " ")</f>
        <v>IPCALAB</v>
      </c>
      <c r="M66" s="23" t="str">
        <f t="array" ref="M66">IF(F66 &gt; 0.3, "Yes", "No")</f>
        <v>No</v>
      </c>
      <c r="N66" s="19" t="str">
        <f t="array" ref="N66">IF(H66 &lt;0.3, "Yes", "No")</f>
        <v>Yes</v>
      </c>
      <c r="O66" s="19" t="str">
        <f t="array" ref="O66">IF(AND(D66&lt;65, M66="No",N66="No"), "Good Stock", " ")</f>
        <v> </v>
      </c>
      <c r="P66" s="19" t="str">
        <f t="array" ref="P66">IF(B66 &gt;= $Q$2 * 0.6, "Large Cap Stocks", IF(B66 &gt;= $Q$2 * 0.4, "Medium Cap Stocks", "Low Cap Stocks"))</f>
        <v>Low Cap Stocks</v>
      </c>
    </row>
    <row r="67">
      <c r="A67" s="19" t="str">
        <f>IFERROR(__xludf.DUMMYFUNCTION("""COMPUTED_VALUE"""),"Dixon Technologies")</f>
        <v>Dixon Technologies</v>
      </c>
      <c r="B67" s="21">
        <f>IFERROR(__xludf.DUMMYFUNCTION("""COMPUTED_VALUE"""),21650.114525)</f>
        <v>21650.11453</v>
      </c>
      <c r="C67" s="19">
        <f>IFERROR(__xludf.DUMMYFUNCTION("""COMPUTED_VALUE"""),3635.0)</f>
        <v>3635</v>
      </c>
      <c r="D67" s="19">
        <f>IFERROR(__xludf.DUMMYFUNCTION("""COMPUTED_VALUE"""),93.72)</f>
        <v>93.72</v>
      </c>
      <c r="E67" s="19">
        <f>IFERROR(__xludf.DUMMYFUNCTION("""COMPUTED_VALUE"""),5444.1)</f>
        <v>5444.1</v>
      </c>
      <c r="F67" s="22">
        <f>IFERROR(__xludf.DUMMYFUNCTION("""COMPUTED_VALUE"""),0.33230469682775854)</f>
        <v>0.3323046968</v>
      </c>
      <c r="G67" s="19">
        <f>IFERROR(__xludf.DUMMYFUNCTION("""COMPUTED_VALUE"""),3180.55)</f>
        <v>3180.55</v>
      </c>
      <c r="H67" s="22">
        <f>IFERROR(__xludf.DUMMYFUNCTION("""COMPUTED_VALUE"""),0.1428840923739604)</f>
        <v>0.1428840924</v>
      </c>
      <c r="I67" s="19">
        <f>IFERROR(__xludf.DUMMYFUNCTION("""COMPUTED_VALUE"""),3651.05)</f>
        <v>3651.05</v>
      </c>
      <c r="J67" s="22">
        <f>IFERROR(__xludf.DUMMYFUNCTION("""COMPUTED_VALUE"""),-0.00439599567247783)</f>
        <v>-0.004395995672</v>
      </c>
      <c r="K67" s="23" t="str">
        <f t="array" ref="K67">IF(A67&lt;&gt;" ", (VLOOKUP(A67, 'NSEBSE Code'!A:C, 2, FALSE)), " ")</f>
        <v>Manufacturing</v>
      </c>
      <c r="L67" s="23" t="str">
        <f t="array" ref="L67">IF(A67&lt;&gt;" ", (VLOOKUP(A67, 'NSEBSE Code'!A:C, 3, FALSE)), " ")</f>
        <v>DIXON</v>
      </c>
      <c r="M67" s="23" t="str">
        <f t="array" ref="M67">IF(F67 &gt; 0.3, "Yes", "No")</f>
        <v>Yes</v>
      </c>
      <c r="N67" s="19" t="str">
        <f t="array" ref="N67">IF(H67 &lt;0.3, "Yes", "No")</f>
        <v>Yes</v>
      </c>
      <c r="O67" s="19" t="str">
        <f t="array" ref="O67">IF(AND(D67&lt;65, M67="No",N67="No"), "Good Stock", " ")</f>
        <v> </v>
      </c>
      <c r="P67" s="19" t="str">
        <f t="array" ref="P67">IF(B67 &gt;= $Q$2 * 0.6, "Large Cap Stocks", IF(B67 &gt;= $Q$2 * 0.4, "Medium Cap Stocks", "Low Cap Stocks"))</f>
        <v>Low Cap Stocks</v>
      </c>
    </row>
    <row r="68">
      <c r="A68" s="19" t="str">
        <f>IFERROR(__xludf.DUMMYFUNCTION("""COMPUTED_VALUE"""),"Crompton Greves")</f>
        <v>Crompton Greves</v>
      </c>
      <c r="B68" s="21">
        <f>IFERROR(__xludf.DUMMYFUNCTION("""COMPUTED_VALUE"""),21451.6044776)</f>
        <v>21451.60448</v>
      </c>
      <c r="C68" s="19">
        <f>IFERROR(__xludf.DUMMYFUNCTION("""COMPUTED_VALUE"""),337.35)</f>
        <v>337.35</v>
      </c>
      <c r="D68" s="19">
        <f>IFERROR(__xludf.DUMMYFUNCTION("""COMPUTED_VALUE"""),36.77)</f>
        <v>36.77</v>
      </c>
      <c r="E68" s="19">
        <f>IFERROR(__xludf.DUMMYFUNCTION("""COMPUTED_VALUE"""),451.95)</f>
        <v>451.95</v>
      </c>
      <c r="F68" s="22">
        <f>IFERROR(__xludf.DUMMYFUNCTION("""COMPUTED_VALUE"""),0.2535678725522734)</f>
        <v>0.2535678726</v>
      </c>
      <c r="G68" s="19">
        <f>IFERROR(__xludf.DUMMYFUNCTION("""COMPUTED_VALUE"""),312.0)</f>
        <v>312</v>
      </c>
      <c r="H68" s="22">
        <f>IFERROR(__xludf.DUMMYFUNCTION("""COMPUTED_VALUE"""),0.08125000000000007)</f>
        <v>0.08125</v>
      </c>
      <c r="I68" s="19">
        <f>IFERROR(__xludf.DUMMYFUNCTION("""COMPUTED_VALUE"""),338.0)</f>
        <v>338</v>
      </c>
      <c r="J68" s="22">
        <f>IFERROR(__xludf.DUMMYFUNCTION("""COMPUTED_VALUE"""),-0.0019230769230768557)</f>
        <v>-0.001923076923</v>
      </c>
      <c r="K68" s="23" t="str">
        <f t="array" ref="K68">IF(A68&lt;&gt;" ", (VLOOKUP(A68, 'NSEBSE Code'!A:C, 2, FALSE)), " ")</f>
        <v>Consumer Electrical</v>
      </c>
      <c r="L68" s="23" t="str">
        <f t="array" ref="L68">IF(A68&lt;&gt;" ", (VLOOKUP(A68, 'NSEBSE Code'!A:C, 3, FALSE)), " ")</f>
        <v>CROMPTON</v>
      </c>
      <c r="M68" s="23" t="str">
        <f t="array" ref="M68">IF(F68 &gt; 0.3, "Yes", "No")</f>
        <v>No</v>
      </c>
      <c r="N68" s="19" t="str">
        <f t="array" ref="N68">IF(H68 &lt;0.3, "Yes", "No")</f>
        <v>Yes</v>
      </c>
      <c r="O68" s="19" t="str">
        <f t="array" ref="O68">IF(AND(D68&lt;65, M68="No",N68="No"), "Good Stock", " ")</f>
        <v> </v>
      </c>
      <c r="P68" s="19" t="str">
        <f t="array" ref="P68">IF(B68 &gt;= $Q$2 * 0.6, "Large Cap Stocks", IF(B68 &gt;= $Q$2 * 0.4, "Medium Cap Stocks", "Low Cap Stocks"))</f>
        <v>Low Cap Stocks</v>
      </c>
    </row>
    <row r="69">
      <c r="A69" s="19" t="str">
        <f>IFERROR(__xludf.DUMMYFUNCTION("""COMPUTED_VALUE"""),"Bayer Cropscience")</f>
        <v>Bayer Cropscience</v>
      </c>
      <c r="B69" s="21">
        <f>IFERROR(__xludf.DUMMYFUNCTION("""COMPUTED_VALUE"""),21050.0222911)</f>
        <v>21050.02229</v>
      </c>
      <c r="C69" s="19">
        <f>IFERROR(__xludf.DUMMYFUNCTION("""COMPUTED_VALUE"""),4669.05)</f>
        <v>4669.05</v>
      </c>
      <c r="D69" s="19">
        <f>IFERROR(__xludf.DUMMYFUNCTION("""COMPUTED_VALUE"""),29.86)</f>
        <v>29.86</v>
      </c>
      <c r="E69" s="19">
        <f>IFERROR(__xludf.DUMMYFUNCTION("""COMPUTED_VALUE"""),5667.75)</f>
        <v>5667.75</v>
      </c>
      <c r="F69" s="22">
        <f>IFERROR(__xludf.DUMMYFUNCTION("""COMPUTED_VALUE"""),0.17620748974460762)</f>
        <v>0.1762074897</v>
      </c>
      <c r="G69" s="19">
        <f>IFERROR(__xludf.DUMMYFUNCTION("""COMPUTED_VALUE"""),4218.05)</f>
        <v>4218.05</v>
      </c>
      <c r="H69" s="22">
        <f>IFERROR(__xludf.DUMMYFUNCTION("""COMPUTED_VALUE"""),0.10692144474342409)</f>
        <v>0.1069214447</v>
      </c>
      <c r="I69" s="19">
        <f>IFERROR(__xludf.DUMMYFUNCTION("""COMPUTED_VALUE"""),4647.55)</f>
        <v>4647.55</v>
      </c>
      <c r="J69" s="22">
        <f>IFERROR(__xludf.DUMMYFUNCTION("""COMPUTED_VALUE"""),0.004626093317984745)</f>
        <v>0.004626093318</v>
      </c>
      <c r="K69" s="23" t="str">
        <f t="array" ref="K69">IF(A69&lt;&gt;" ", (VLOOKUP(A69, 'NSEBSE Code'!A:C, 2, FALSE)), " ")</f>
        <v>Agrochemical</v>
      </c>
      <c r="L69" s="23" t="str">
        <f t="array" ref="L69">IF(A69&lt;&gt;" ", (VLOOKUP(A69, 'NSEBSE Code'!A:C, 3, FALSE)), " ")</f>
        <v>BAYERCROP</v>
      </c>
      <c r="M69" s="23" t="str">
        <f t="array" ref="M69">IF(F69 &gt; 0.3, "Yes", "No")</f>
        <v>No</v>
      </c>
      <c r="N69" s="19" t="str">
        <f t="array" ref="N69">IF(H69 &lt;0.3, "Yes", "No")</f>
        <v>Yes</v>
      </c>
      <c r="O69" s="19" t="str">
        <f t="array" ref="O69">IF(AND(D69&lt;65, M69="No",N69="No"), "Good Stock", " ")</f>
        <v> </v>
      </c>
      <c r="P69" s="19" t="str">
        <f t="array" ref="P69">IF(B69 &gt;= $Q$2 * 0.6, "Large Cap Stocks", IF(B69 &gt;= $Q$2 * 0.4, "Medium Cap Stocks", "Low Cap Stocks"))</f>
        <v>Low Cap Stocks</v>
      </c>
    </row>
    <row r="70">
      <c r="A70" s="19" t="str">
        <f>IFERROR(__xludf.DUMMYFUNCTION("""COMPUTED_VALUE"""),"Vinita Organics")</f>
        <v>Vinita Organics</v>
      </c>
      <c r="B70" s="21">
        <f>IFERROR(__xludf.DUMMYFUNCTION("""COMPUTED_VALUE"""),20604.2)</f>
        <v>20604.2</v>
      </c>
      <c r="C70" s="19">
        <f>IFERROR(__xludf.DUMMYFUNCTION("""COMPUTED_VALUE"""),2000.0)</f>
        <v>2000</v>
      </c>
      <c r="D70" s="19">
        <f>IFERROR(__xludf.DUMMYFUNCTION("""COMPUTED_VALUE"""),51.19)</f>
        <v>51.19</v>
      </c>
      <c r="E70" s="19">
        <f>IFERROR(__xludf.DUMMYFUNCTION("""COMPUTED_VALUE"""),2377.0)</f>
        <v>2377</v>
      </c>
      <c r="F70" s="22">
        <f>IFERROR(__xludf.DUMMYFUNCTION("""COMPUTED_VALUE"""),0.15860328144720234)</f>
        <v>0.1586032814</v>
      </c>
      <c r="G70" s="19">
        <f>IFERROR(__xludf.DUMMYFUNCTION("""COMPUTED_VALUE"""),1674.2)</f>
        <v>1674.2</v>
      </c>
      <c r="H70" s="22">
        <f>IFERROR(__xludf.DUMMYFUNCTION("""COMPUTED_VALUE"""),0.19460040616413807)</f>
        <v>0.1946004062</v>
      </c>
      <c r="I70" s="19">
        <f>IFERROR(__xludf.DUMMYFUNCTION("""COMPUTED_VALUE"""),2014.85)</f>
        <v>2014.85</v>
      </c>
      <c r="J70" s="22">
        <f>IFERROR(__xludf.DUMMYFUNCTION("""COMPUTED_VALUE"""),-0.007370275702905878)</f>
        <v>-0.007370275703</v>
      </c>
      <c r="K70" s="23" t="str">
        <f t="array" ref="K70">IF(A70&lt;&gt;" ", (VLOOKUP(A70, 'NSEBSE Code'!A:C, 2, FALSE)), " ")</f>
        <v>Chemical</v>
      </c>
      <c r="L70" s="23" t="str">
        <f t="array" ref="L70">IF(A70&lt;&gt;" ", (VLOOKUP(A70, 'NSEBSE Code'!A:C, 3, FALSE)), " ")</f>
        <v>VINATIORGA</v>
      </c>
      <c r="M70" s="23" t="str">
        <f t="array" ref="M70">IF(F70 &gt; 0.3, "Yes", "No")</f>
        <v>No</v>
      </c>
      <c r="N70" s="19" t="str">
        <f t="array" ref="N70">IF(H70 &lt;0.3, "Yes", "No")</f>
        <v>Yes</v>
      </c>
      <c r="O70" s="19" t="str">
        <f t="array" ref="O70">IF(AND(D70&lt;65, M70="No",N70="No"), "Good Stock", " ")</f>
        <v> </v>
      </c>
      <c r="P70" s="19" t="str">
        <f t="array" ref="P70">IF(B70 &gt;= $Q$2 * 0.6, "Large Cap Stocks", IF(B70 &gt;= $Q$2 * 0.4, "Medium Cap Stocks", "Low Cap Stocks"))</f>
        <v>Low Cap Stocks</v>
      </c>
    </row>
    <row r="71">
      <c r="A71" s="19" t="str">
        <f>IFERROR(__xludf.DUMMYFUNCTION("""COMPUTED_VALUE"""),"Bata India")</f>
        <v>Bata India</v>
      </c>
      <c r="B71" s="21">
        <f>IFERROR(__xludf.DUMMYFUNCTION("""COMPUTED_VALUE"""),20286.8999472)</f>
        <v>20286.89995</v>
      </c>
      <c r="C71" s="19">
        <f>IFERROR(__xludf.DUMMYFUNCTION("""COMPUTED_VALUE"""),1580.0)</f>
        <v>1580</v>
      </c>
      <c r="D71" s="19">
        <f>IFERROR(__xludf.DUMMYFUNCTION("""COMPUTED_VALUE"""),65.53)</f>
        <v>65.53</v>
      </c>
      <c r="E71" s="19">
        <f>IFERROR(__xludf.DUMMYFUNCTION("""COMPUTED_VALUE"""),2122.0)</f>
        <v>2122</v>
      </c>
      <c r="F71" s="22">
        <f>IFERROR(__xludf.DUMMYFUNCTION("""COMPUTED_VALUE"""),0.2554194156456173)</f>
        <v>0.2554194156</v>
      </c>
      <c r="G71" s="19">
        <f>IFERROR(__xludf.DUMMYFUNCTION("""COMPUTED_VALUE"""),1551.1)</f>
        <v>1551.1</v>
      </c>
      <c r="H71" s="22">
        <f>IFERROR(__xludf.DUMMYFUNCTION("""COMPUTED_VALUE"""),0.01863193862420224)</f>
        <v>0.01863193862</v>
      </c>
      <c r="I71" s="19">
        <f>IFERROR(__xludf.DUMMYFUNCTION("""COMPUTED_VALUE"""),1636.6)</f>
        <v>1636.6</v>
      </c>
      <c r="J71" s="22">
        <f>IFERROR(__xludf.DUMMYFUNCTION("""COMPUTED_VALUE"""),-0.03458389343761451)</f>
        <v>-0.03458389344</v>
      </c>
      <c r="K71" s="23" t="str">
        <f t="array" ref="K71">IF(A71&lt;&gt;" ", (VLOOKUP(A71, 'NSEBSE Code'!A:C, 2, FALSE)), " ")</f>
        <v>Footwear</v>
      </c>
      <c r="L71" s="23" t="str">
        <f t="array" ref="L71">IF(A71&lt;&gt;" ", (VLOOKUP(A71, 'NSEBSE Code'!A:C, 3, FALSE)), " ")</f>
        <v>BATAINDIA</v>
      </c>
      <c r="M71" s="23" t="str">
        <f t="array" ref="M71">IF(F71 &gt; 0.3, "Yes", "No")</f>
        <v>No</v>
      </c>
      <c r="N71" s="19" t="str">
        <f t="array" ref="N71">IF(H71 &lt;0.3, "Yes", "No")</f>
        <v>Yes</v>
      </c>
      <c r="O71" s="19" t="str">
        <f t="array" ref="O71">IF(AND(D71&lt;65, M71="No",N71="No"), "Good Stock", " ")</f>
        <v> </v>
      </c>
      <c r="P71" s="19" t="str">
        <f t="array" ref="P71">IF(B71 &gt;= $Q$2 * 0.6, "Large Cap Stocks", IF(B71 &gt;= $Q$2 * 0.4, "Medium Cap Stocks", "Low Cap Stocks"))</f>
        <v>Low Cap Stocks</v>
      </c>
    </row>
    <row r="72">
      <c r="A72" s="19" t="str">
        <f>IFERROR(__xludf.DUMMYFUNCTION("""COMPUTED_VALUE"""),"Navin Flourine")</f>
        <v>Navin Flourine</v>
      </c>
      <c r="B72" s="21">
        <f>IFERROR(__xludf.DUMMYFUNCTION("""COMPUTED_VALUE"""),20217.231452)</f>
        <v>20217.23145</v>
      </c>
      <c r="C72" s="19">
        <f>IFERROR(__xludf.DUMMYFUNCTION("""COMPUTED_VALUE"""),4080.6)</f>
        <v>4080.6</v>
      </c>
      <c r="D72" s="19">
        <f>IFERROR(__xludf.DUMMYFUNCTION("""COMPUTED_VALUE"""),73.24)</f>
        <v>73.24</v>
      </c>
      <c r="E72" s="19">
        <f>IFERROR(__xludf.DUMMYFUNCTION("""COMPUTED_VALUE"""),4847.35)</f>
        <v>4847.35</v>
      </c>
      <c r="F72" s="22">
        <f>IFERROR(__xludf.DUMMYFUNCTION("""COMPUTED_VALUE"""),0.15817921132165005)</f>
        <v>0.1581792113</v>
      </c>
      <c r="G72" s="19">
        <f>IFERROR(__xludf.DUMMYFUNCTION("""COMPUTED_VALUE"""),3361.45)</f>
        <v>3361.45</v>
      </c>
      <c r="H72" s="22">
        <f>IFERROR(__xludf.DUMMYFUNCTION("""COMPUTED_VALUE"""),0.2139404126195541)</f>
        <v>0.2139404126</v>
      </c>
      <c r="I72" s="19">
        <f>IFERROR(__xludf.DUMMYFUNCTION("""COMPUTED_VALUE"""),4127.1)</f>
        <v>4127.1</v>
      </c>
      <c r="J72" s="22">
        <f>IFERROR(__xludf.DUMMYFUNCTION("""COMPUTED_VALUE"""),-0.011266991349858363)</f>
        <v>-0.01126699135</v>
      </c>
      <c r="K72" s="23" t="str">
        <f t="array" ref="K72">IF(A72&lt;&gt;" ", (VLOOKUP(A72, 'NSEBSE Code'!A:C, 2, FALSE)), " ")</f>
        <v>Chemical</v>
      </c>
      <c r="L72" s="23" t="str">
        <f t="array" ref="L72">IF(A72&lt;&gt;" ", (VLOOKUP(A72, 'NSEBSE Code'!A:C, 3, FALSE)), " ")</f>
        <v>BOM:532504</v>
      </c>
      <c r="M72" s="23" t="str">
        <f t="array" ref="M72">IF(F72 &gt; 0.3, "Yes", "No")</f>
        <v>No</v>
      </c>
      <c r="N72" s="19" t="str">
        <f t="array" ref="N72">IF(H72 &lt;0.3, "Yes", "No")</f>
        <v>Yes</v>
      </c>
      <c r="O72" s="19" t="str">
        <f t="array" ref="O72">IF(AND(D72&lt;65, M72="No",N72="No"), "Good Stock", " ")</f>
        <v> </v>
      </c>
      <c r="P72" s="19" t="str">
        <f t="array" ref="P72">IF(B72 &gt;= $Q$2 * 0.6, "Large Cap Stocks", IF(B72 &gt;= $Q$2 * 0.4, "Medium Cap Stocks", "Low Cap Stocks"))</f>
        <v>Low Cap Stocks</v>
      </c>
    </row>
    <row r="73">
      <c r="A73" s="19" t="str">
        <f>IFERROR(__xludf.DUMMYFUNCTION("""COMPUTED_VALUE"""),"Endurance Technology")</f>
        <v>Endurance Technology</v>
      </c>
      <c r="B73" s="21">
        <f>IFERROR(__xludf.DUMMYFUNCTION("""COMPUTED_VALUE"""),19679.44)</f>
        <v>19679.44</v>
      </c>
      <c r="C73" s="19">
        <f>IFERROR(__xludf.DUMMYFUNCTION("""COMPUTED_VALUE"""),1398.5)</f>
        <v>1398.5</v>
      </c>
      <c r="D73" s="19">
        <f>IFERROR(__xludf.DUMMYFUNCTION("""COMPUTED_VALUE"""),42.23)</f>
        <v>42.23</v>
      </c>
      <c r="E73" s="19">
        <f>IFERROR(__xludf.DUMMYFUNCTION("""COMPUTED_VALUE"""),1736.15)</f>
        <v>1736.15</v>
      </c>
      <c r="F73" s="22">
        <f>IFERROR(__xludf.DUMMYFUNCTION("""COMPUTED_VALUE"""),0.19448204360222335)</f>
        <v>0.1944820436</v>
      </c>
      <c r="G73" s="19">
        <f>IFERROR(__xludf.DUMMYFUNCTION("""COMPUTED_VALUE"""),1047.2)</f>
        <v>1047.2</v>
      </c>
      <c r="H73" s="22">
        <f>IFERROR(__xludf.DUMMYFUNCTION("""COMPUTED_VALUE"""),0.3354660045836516)</f>
        <v>0.3354660046</v>
      </c>
      <c r="I73" s="19">
        <f>IFERROR(__xludf.DUMMYFUNCTION("""COMPUTED_VALUE"""),1401.15)</f>
        <v>1401.15</v>
      </c>
      <c r="J73" s="22">
        <f>IFERROR(__xludf.DUMMYFUNCTION("""COMPUTED_VALUE"""),-0.001891303572065868)</f>
        <v>-0.001891303572</v>
      </c>
      <c r="K73" s="23" t="str">
        <f t="array" ref="K73">IF(A73&lt;&gt;" ", (VLOOKUP(A73, 'NSEBSE Code'!A:C, 2, FALSE)), " ")</f>
        <v>Automobile Ancilliary</v>
      </c>
      <c r="L73" s="23" t="str">
        <f t="array" ref="L73">IF(A73&lt;&gt;" ", (VLOOKUP(A73, 'NSEBSE Code'!A:C, 3, FALSE)), " ")</f>
        <v>ENDURANCE</v>
      </c>
      <c r="M73" s="23" t="str">
        <f t="array" ref="M73">IF(F73 &gt; 0.3, "Yes", "No")</f>
        <v>No</v>
      </c>
      <c r="N73" s="19" t="str">
        <f t="array" ref="N73">IF(H73 &lt;0.3, "Yes", "No")</f>
        <v>No</v>
      </c>
      <c r="O73" s="19" t="str">
        <f t="array" ref="O73">IF(AND(D73&lt;65, M73="No",N73="No"), "Good Stock", " ")</f>
        <v>Good Stock</v>
      </c>
      <c r="P73" s="19" t="str">
        <f t="array" ref="P73">IF(B73 &gt;= $Q$2 * 0.6, "Large Cap Stocks", IF(B73 &gt;= $Q$2 * 0.4, "Medium Cap Stocks", "Low Cap Stocks"))</f>
        <v>Low Cap Stocks</v>
      </c>
    </row>
    <row r="74">
      <c r="A74" s="19" t="str">
        <f>IFERROR(__xludf.DUMMYFUNCTION("""COMPUTED_VALUE"""),"Pfizer")</f>
        <v>Pfizer</v>
      </c>
      <c r="B74" s="21">
        <f>IFERROR(__xludf.DUMMYFUNCTION("""COMPUTED_VALUE"""),19278.55)</f>
        <v>19278.55</v>
      </c>
      <c r="C74" s="19">
        <f>IFERROR(__xludf.DUMMYFUNCTION("""COMPUTED_VALUE"""),4224.9)</f>
        <v>4224.9</v>
      </c>
      <c r="D74" s="19">
        <f>IFERROR(__xludf.DUMMYFUNCTION("""COMPUTED_VALUE"""),31.52)</f>
        <v>31.52</v>
      </c>
      <c r="E74" s="19">
        <f>IFERROR(__xludf.DUMMYFUNCTION("""COMPUTED_VALUE"""),4946.1)</f>
        <v>4946.1</v>
      </c>
      <c r="F74" s="22">
        <f>IFERROR(__xludf.DUMMYFUNCTION("""COMPUTED_VALUE"""),0.14581185176199443)</f>
        <v>0.1458118518</v>
      </c>
      <c r="G74" s="19">
        <f>IFERROR(__xludf.DUMMYFUNCTION("""COMPUTED_VALUE"""),4056.0)</f>
        <v>4056</v>
      </c>
      <c r="H74" s="22">
        <f>IFERROR(__xludf.DUMMYFUNCTION("""COMPUTED_VALUE"""),0.04164201183431944)</f>
        <v>0.04164201183</v>
      </c>
      <c r="I74" s="19">
        <f>IFERROR(__xludf.DUMMYFUNCTION("""COMPUTED_VALUE"""),4254.0)</f>
        <v>4254</v>
      </c>
      <c r="J74" s="22">
        <f>IFERROR(__xludf.DUMMYFUNCTION("""COMPUTED_VALUE"""),-0.006840620592383724)</f>
        <v>-0.006840620592</v>
      </c>
      <c r="K74" s="23" t="str">
        <f t="array" ref="K74">IF(A74&lt;&gt;" ", (VLOOKUP(A74, 'NSEBSE Code'!A:C, 2, FALSE)), " ")</f>
        <v>Pharma</v>
      </c>
      <c r="L74" s="23" t="str">
        <f t="array" ref="L74">IF(A74&lt;&gt;" ", (VLOOKUP(A74, 'NSEBSE Code'!A:C, 3, FALSE)), " ")</f>
        <v>BOM:500680</v>
      </c>
      <c r="M74" s="23" t="str">
        <f t="array" ref="M74">IF(F74 &gt; 0.3, "Yes", "No")</f>
        <v>No</v>
      </c>
      <c r="N74" s="19" t="str">
        <f t="array" ref="N74">IF(H74 &lt;0.3, "Yes", "No")</f>
        <v>Yes</v>
      </c>
      <c r="O74" s="19" t="str">
        <f t="array" ref="O74">IF(AND(D74&lt;65, M74="No",N74="No"), "Good Stock", " ")</f>
        <v> </v>
      </c>
      <c r="P74" s="19" t="str">
        <f t="array" ref="P74">IF(B74 &gt;= $Q$2 * 0.6, "Large Cap Stocks", IF(B74 &gt;= $Q$2 * 0.4, "Medium Cap Stocks", "Low Cap Stocks"))</f>
        <v>Low Cap Stocks</v>
      </c>
    </row>
    <row r="75">
      <c r="A75" s="19" t="str">
        <f>IFERROR(__xludf.DUMMYFUNCTION("""COMPUTED_VALUE"""),"Lauras Lab")</f>
        <v>Lauras Lab</v>
      </c>
      <c r="B75" s="21">
        <f>IFERROR(__xludf.DUMMYFUNCTION("""COMPUTED_VALUE"""),19213.8702946)</f>
        <v>19213.87029</v>
      </c>
      <c r="C75" s="19">
        <f>IFERROR(__xludf.DUMMYFUNCTION("""COMPUTED_VALUE"""),357.4)</f>
        <v>357.4</v>
      </c>
      <c r="D75" s="19">
        <f>IFERROR(__xludf.DUMMYFUNCTION("""COMPUTED_VALUE"""),22.19)</f>
        <v>22.19</v>
      </c>
      <c r="E75" s="19">
        <f>IFERROR(__xludf.DUMMYFUNCTION("""COMPUTED_VALUE"""),626.3)</f>
        <v>626.3</v>
      </c>
      <c r="F75" s="22">
        <f>IFERROR(__xludf.DUMMYFUNCTION("""COMPUTED_VALUE"""),0.4293469583266805)</f>
        <v>0.4293469583</v>
      </c>
      <c r="G75" s="19">
        <f>IFERROR(__xludf.DUMMYFUNCTION("""COMPUTED_VALUE"""),354.0)</f>
        <v>354</v>
      </c>
      <c r="H75" s="22">
        <f>IFERROR(__xludf.DUMMYFUNCTION("""COMPUTED_VALUE"""),0.009604519774011236)</f>
        <v>0.009604519774</v>
      </c>
      <c r="I75" s="19">
        <f>IFERROR(__xludf.DUMMYFUNCTION("""COMPUTED_VALUE"""),360.4)</f>
        <v>360.4</v>
      </c>
      <c r="J75" s="22">
        <f>IFERROR(__xludf.DUMMYFUNCTION("""COMPUTED_VALUE"""),-0.008324084350721421)</f>
        <v>-0.008324084351</v>
      </c>
      <c r="K75" s="23" t="str">
        <f t="array" ref="K75">IF(A75&lt;&gt;" ", (VLOOKUP(A75, 'NSEBSE Code'!A:C, 2, FALSE)), " ")</f>
        <v>Pharma</v>
      </c>
      <c r="L75" s="23" t="str">
        <f t="array" ref="L75">IF(A75&lt;&gt;" ", (VLOOKUP(A75, 'NSEBSE Code'!A:C, 3, FALSE)), " ")</f>
        <v>LAURUSLABS</v>
      </c>
      <c r="M75" s="23" t="str">
        <f t="array" ref="M75">IF(F75 &gt; 0.3, "Yes", "No")</f>
        <v>Yes</v>
      </c>
      <c r="N75" s="19" t="str">
        <f t="array" ref="N75">IF(H75 &lt;0.3, "Yes", "No")</f>
        <v>Yes</v>
      </c>
      <c r="O75" s="19" t="str">
        <f t="array" ref="O75">IF(AND(D75&lt;65, M75="No",N75="No"), "Good Stock", " ")</f>
        <v> </v>
      </c>
      <c r="P75" s="19" t="str">
        <f t="array" ref="P75">IF(B75 &gt;= $Q$2 * 0.6, "Large Cap Stocks", IF(B75 &gt;= $Q$2 * 0.4, "Medium Cap Stocks", "Low Cap Stocks"))</f>
        <v>Low Cap Stocks</v>
      </c>
    </row>
    <row r="76">
      <c r="A76" s="19" t="str">
        <f>IFERROR(__xludf.DUMMYFUNCTION("""COMPUTED_VALUE"""),"KPIT")</f>
        <v>KPIT</v>
      </c>
      <c r="B76" s="21">
        <f>IFERROR(__xludf.DUMMYFUNCTION("""COMPUTED_VALUE"""),18827.9516699)</f>
        <v>18827.95167</v>
      </c>
      <c r="C76" s="19">
        <f>IFERROR(__xludf.DUMMYFUNCTION("""COMPUTED_VALUE"""),696.3)</f>
        <v>696.3</v>
      </c>
      <c r="D76" s="19">
        <f>IFERROR(__xludf.DUMMYFUNCTION("""COMPUTED_VALUE"""),59.82)</f>
        <v>59.82</v>
      </c>
      <c r="E76" s="19">
        <f>IFERROR(__xludf.DUMMYFUNCTION("""COMPUTED_VALUE"""),764.25)</f>
        <v>764.25</v>
      </c>
      <c r="F76" s="22">
        <f>IFERROR(__xludf.DUMMYFUNCTION("""COMPUTED_VALUE"""),0.08891069676153097)</f>
        <v>0.08891069676</v>
      </c>
      <c r="G76" s="19">
        <f>IFERROR(__xludf.DUMMYFUNCTION("""COMPUTED_VALUE"""),440.0)</f>
        <v>440</v>
      </c>
      <c r="H76" s="22">
        <f>IFERROR(__xludf.DUMMYFUNCTION("""COMPUTED_VALUE"""),0.5824999999999999)</f>
        <v>0.5825</v>
      </c>
      <c r="I76" s="19">
        <f>IFERROR(__xludf.DUMMYFUNCTION("""COMPUTED_VALUE"""),692.45)</f>
        <v>692.45</v>
      </c>
      <c r="J76" s="22">
        <f>IFERROR(__xludf.DUMMYFUNCTION("""COMPUTED_VALUE"""),0.005559968228752847)</f>
        <v>0.005559968229</v>
      </c>
      <c r="K76" s="23" t="str">
        <f t="array" ref="K76">IF(A76&lt;&gt;" ", (VLOOKUP(A76, 'NSEBSE Code'!A:C, 2, FALSE)), " ")</f>
        <v>IT</v>
      </c>
      <c r="L76" s="23" t="str">
        <f t="array" ref="L76">IF(A76&lt;&gt;" ", (VLOOKUP(A76, 'NSEBSE Code'!A:C, 3, FALSE)), " ")</f>
        <v>BOM:542651</v>
      </c>
      <c r="M76" s="23" t="str">
        <f t="array" ref="M76">IF(F76 &gt; 0.3, "Yes", "No")</f>
        <v>No</v>
      </c>
      <c r="N76" s="19" t="str">
        <f t="array" ref="N76">IF(H76 &lt;0.3, "Yes", "No")</f>
        <v>No</v>
      </c>
      <c r="O76" s="19" t="str">
        <f t="array" ref="O76">IF(AND(D76&lt;65, M76="No",N76="No"), "Good Stock", " ")</f>
        <v>Good Stock</v>
      </c>
      <c r="P76" s="19" t="str">
        <f t="array" ref="P76">IF(B76 &gt;= $Q$2 * 0.6, "Large Cap Stocks", IF(B76 &gt;= $Q$2 * 0.4, "Medium Cap Stocks", "Low Cap Stocks"))</f>
        <v>Low Cap Stocks</v>
      </c>
    </row>
    <row r="77">
      <c r="A77" s="19" t="str">
        <f>IFERROR(__xludf.DUMMYFUNCTION("""COMPUTED_VALUE"""),"Whirlpool")</f>
        <v>Whirlpool</v>
      </c>
      <c r="B77" s="21">
        <f>IFERROR(__xludf.DUMMYFUNCTION("""COMPUTED_VALUE"""),18318.3733666)</f>
        <v>18318.37337</v>
      </c>
      <c r="C77" s="19">
        <f>IFERROR(__xludf.DUMMYFUNCTION("""COMPUTED_VALUE"""),1441.55)</f>
        <v>1441.55</v>
      </c>
      <c r="D77" s="19">
        <f>IFERROR(__xludf.DUMMYFUNCTION("""COMPUTED_VALUE"""),70.52)</f>
        <v>70.52</v>
      </c>
      <c r="E77" s="19">
        <f>IFERROR(__xludf.DUMMYFUNCTION("""COMPUTED_VALUE"""),1917.0)</f>
        <v>1917</v>
      </c>
      <c r="F77" s="22">
        <f>IFERROR(__xludf.DUMMYFUNCTION("""COMPUTED_VALUE"""),0.24801773604590507)</f>
        <v>0.248017736</v>
      </c>
      <c r="G77" s="19">
        <f>IFERROR(__xludf.DUMMYFUNCTION("""COMPUTED_VALUE"""),1365.1)</f>
        <v>1365.1</v>
      </c>
      <c r="H77" s="22">
        <f>IFERROR(__xludf.DUMMYFUNCTION("""COMPUTED_VALUE"""),0.05600322320709109)</f>
        <v>0.05600322321</v>
      </c>
      <c r="I77" s="19">
        <f>IFERROR(__xludf.DUMMYFUNCTION("""COMPUTED_VALUE"""),1480.7)</f>
        <v>1480.7</v>
      </c>
      <c r="J77" s="22">
        <f>IFERROR(__xludf.DUMMYFUNCTION("""COMPUTED_VALUE"""),-0.026440197204025184)</f>
        <v>-0.0264401972</v>
      </c>
      <c r="K77" s="23" t="str">
        <f t="array" ref="K77">IF(A77&lt;&gt;" ", (VLOOKUP(A77, 'NSEBSE Code'!A:C, 2, FALSE)), " ")</f>
        <v>Consumer Electrical</v>
      </c>
      <c r="L77" s="23" t="str">
        <f t="array" ref="L77">IF(A77&lt;&gt;" ", (VLOOKUP(A77, 'NSEBSE Code'!A:C, 3, FALSE)), " ")</f>
        <v>WHIRLPOOL</v>
      </c>
      <c r="M77" s="23" t="str">
        <f t="array" ref="M77">IF(F77 &gt; 0.3, "Yes", "No")</f>
        <v>No</v>
      </c>
      <c r="N77" s="19" t="str">
        <f t="array" ref="N77">IF(H77 &lt;0.3, "Yes", "No")</f>
        <v>Yes</v>
      </c>
      <c r="O77" s="19" t="str">
        <f t="array" ref="O77">IF(AND(D77&lt;65, M77="No",N77="No"), "Good Stock", " ")</f>
        <v> </v>
      </c>
      <c r="P77" s="19" t="str">
        <f t="array" ref="P77">IF(B77 &gt;= $Q$2 * 0.6, "Large Cap Stocks", IF(B77 &gt;= $Q$2 * 0.4, "Medium Cap Stocks", "Low Cap Stocks"))</f>
        <v>Low Cap Stocks</v>
      </c>
    </row>
    <row r="78">
      <c r="A78" s="19" t="str">
        <f>IFERROR(__xludf.DUMMYFUNCTION("""COMPUTED_VALUE"""),"Dr Lal Path Lab")</f>
        <v>Dr Lal Path Lab</v>
      </c>
      <c r="B78" s="21">
        <f>IFERROR(__xludf.DUMMYFUNCTION("""COMPUTED_VALUE"""),17986.0053514)</f>
        <v>17986.00535</v>
      </c>
      <c r="C78" s="19">
        <f>IFERROR(__xludf.DUMMYFUNCTION("""COMPUTED_VALUE"""),2174.05)</f>
        <v>2174.05</v>
      </c>
      <c r="D78" s="19">
        <f>IFERROR(__xludf.DUMMYFUNCTION("""COMPUTED_VALUE"""),72.77)</f>
        <v>72.77</v>
      </c>
      <c r="E78" s="19">
        <f>IFERROR(__xludf.DUMMYFUNCTION("""COMPUTED_VALUE"""),3769.95)</f>
        <v>3769.95</v>
      </c>
      <c r="F78" s="22">
        <f>IFERROR(__xludf.DUMMYFUNCTION("""COMPUTED_VALUE"""),0.423321264207748)</f>
        <v>0.4233212642</v>
      </c>
      <c r="G78" s="19">
        <f>IFERROR(__xludf.DUMMYFUNCTION("""COMPUTED_VALUE"""),1805.55)</f>
        <v>1805.55</v>
      </c>
      <c r="H78" s="22">
        <f>IFERROR(__xludf.DUMMYFUNCTION("""COMPUTED_VALUE"""),0.20409293567057143)</f>
        <v>0.2040929357</v>
      </c>
      <c r="I78" s="19">
        <f>IFERROR(__xludf.DUMMYFUNCTION("""COMPUTED_VALUE"""),2171.85)</f>
        <v>2171.85</v>
      </c>
      <c r="J78" s="22">
        <f>IFERROR(__xludf.DUMMYFUNCTION("""COMPUTED_VALUE"""),0.0010129613002740857)</f>
        <v>0.0010129613</v>
      </c>
      <c r="K78" s="23" t="str">
        <f t="array" ref="K78">IF(A78&lt;&gt;" ", (VLOOKUP(A78, 'NSEBSE Code'!A:C, 2, FALSE)), " ")</f>
        <v>Healthcare</v>
      </c>
      <c r="L78" s="23" t="str">
        <f t="array" ref="L78">IF(A78&lt;&gt;" ", (VLOOKUP(A78, 'NSEBSE Code'!A:C, 3, FALSE)), " ")</f>
        <v>LALPATHLAB</v>
      </c>
      <c r="M78" s="23" t="str">
        <f t="array" ref="M78">IF(F78 &gt; 0.3, "Yes", "No")</f>
        <v>Yes</v>
      </c>
      <c r="N78" s="19" t="str">
        <f t="array" ref="N78">IF(H78 &lt;0.3, "Yes", "No")</f>
        <v>Yes</v>
      </c>
      <c r="O78" s="19" t="str">
        <f t="array" ref="O78">IF(AND(D78&lt;65, M78="No",N78="No"), "Good Stock", " ")</f>
        <v> </v>
      </c>
      <c r="P78" s="19" t="str">
        <f t="array" ref="P78">IF(B78 &gt;= $Q$2 * 0.6, "Large Cap Stocks", IF(B78 &gt;= $Q$2 * 0.4, "Medium Cap Stocks", "Low Cap Stocks"))</f>
        <v>Low Cap Stocks</v>
      </c>
    </row>
    <row r="79">
      <c r="A79" s="19" t="str">
        <f>IFERROR(__xludf.DUMMYFUNCTION("""COMPUTED_VALUE"""),"Fine Organics")</f>
        <v>Fine Organics</v>
      </c>
      <c r="B79" s="21">
        <f>IFERROR(__xludf.DUMMYFUNCTION("""COMPUTED_VALUE"""),17277.2)</f>
        <v>17277.2</v>
      </c>
      <c r="C79" s="19">
        <f>IFERROR(__xludf.DUMMYFUNCTION("""COMPUTED_VALUE"""),5630.0)</f>
        <v>5630</v>
      </c>
      <c r="D79" s="19">
        <f>IFERROR(__xludf.DUMMYFUNCTION("""COMPUTED_VALUE"""),32.19)</f>
        <v>32.19</v>
      </c>
      <c r="E79" s="19">
        <f>IFERROR(__xludf.DUMMYFUNCTION("""COMPUTED_VALUE"""),7328.75)</f>
        <v>7328.75</v>
      </c>
      <c r="F79" s="22">
        <f>IFERROR(__xludf.DUMMYFUNCTION("""COMPUTED_VALUE"""),0.23179259764625618)</f>
        <v>0.2317925976</v>
      </c>
      <c r="G79" s="19">
        <f>IFERROR(__xludf.DUMMYFUNCTION("""COMPUTED_VALUE"""),3457.1)</f>
        <v>3457.1</v>
      </c>
      <c r="H79" s="22">
        <f>IFERROR(__xludf.DUMMYFUNCTION("""COMPUTED_VALUE"""),0.6285325851146916)</f>
        <v>0.6285325851</v>
      </c>
      <c r="I79" s="19">
        <f>IFERROR(__xludf.DUMMYFUNCTION("""COMPUTED_VALUE"""),5672.25)</f>
        <v>5672.25</v>
      </c>
      <c r="J79" s="22">
        <f>IFERROR(__xludf.DUMMYFUNCTION("""COMPUTED_VALUE"""),-0.0074485433469963416)</f>
        <v>-0.007448543347</v>
      </c>
      <c r="K79" s="23" t="str">
        <f t="array" ref="K79">IF(A79&lt;&gt;" ", (VLOOKUP(A79, 'NSEBSE Code'!A:C, 2, FALSE)), " ")</f>
        <v>Chemical</v>
      </c>
      <c r="L79" s="23" t="str">
        <f t="array" ref="L79">IF(A79&lt;&gt;" ", (VLOOKUP(A79, 'NSEBSE Code'!A:C, 3, FALSE)), " ")</f>
        <v>FINEORG</v>
      </c>
      <c r="M79" s="23" t="str">
        <f t="array" ref="M79">IF(F79 &gt; 0.3, "Yes", "No")</f>
        <v>No</v>
      </c>
      <c r="N79" s="19" t="str">
        <f t="array" ref="N79">IF(H79 &lt;0.3, "Yes", "No")</f>
        <v>No</v>
      </c>
      <c r="O79" s="19" t="str">
        <f t="array" ref="O79">IF(AND(D79&lt;65, M79="No",N79="No"), "Good Stock", " ")</f>
        <v>Good Stock</v>
      </c>
      <c r="P79" s="19" t="str">
        <f t="array" ref="P79">IF(B79 &gt;= $Q$2 * 0.6, "Large Cap Stocks", IF(B79 &gt;= $Q$2 * 0.4, "Medium Cap Stocks", "Low Cap Stocks"))</f>
        <v>Low Cap Stocks</v>
      </c>
    </row>
    <row r="80">
      <c r="A80" s="19" t="str">
        <f>IFERROR(__xludf.DUMMYFUNCTION("""COMPUTED_VALUE"""),"Trident")</f>
        <v>Trident</v>
      </c>
      <c r="B80" s="21">
        <f>IFERROR(__xludf.DUMMYFUNCTION("""COMPUTED_VALUE"""),16896.24225)</f>
        <v>16896.24225</v>
      </c>
      <c r="C80" s="19">
        <f>IFERROR(__xludf.DUMMYFUNCTION("""COMPUTED_VALUE"""),33.75)</f>
        <v>33.75</v>
      </c>
      <c r="D80" s="19">
        <f>IFERROR(__xludf.DUMMYFUNCTION("""COMPUTED_VALUE"""),30.44)</f>
        <v>30.44</v>
      </c>
      <c r="E80" s="19">
        <f>IFERROR(__xludf.DUMMYFUNCTION("""COMPUTED_VALUE"""),70.9)</f>
        <v>70.9</v>
      </c>
      <c r="F80" s="22">
        <f>IFERROR(__xludf.DUMMYFUNCTION("""COMPUTED_VALUE"""),0.5239774330042314)</f>
        <v>0.523977433</v>
      </c>
      <c r="G80" s="19">
        <f>IFERROR(__xludf.DUMMYFUNCTION("""COMPUTED_VALUE"""),30.45)</f>
        <v>30.45</v>
      </c>
      <c r="H80" s="22">
        <f>IFERROR(__xludf.DUMMYFUNCTION("""COMPUTED_VALUE"""),0.10837438423645322)</f>
        <v>0.1083743842</v>
      </c>
      <c r="I80" s="19">
        <f>IFERROR(__xludf.DUMMYFUNCTION("""COMPUTED_VALUE"""),33.65)</f>
        <v>33.65</v>
      </c>
      <c r="J80" s="22">
        <f>IFERROR(__xludf.DUMMYFUNCTION("""COMPUTED_VALUE"""),0.00297176820208028)</f>
        <v>0.002971768202</v>
      </c>
      <c r="K80" s="23" t="str">
        <f t="array" ref="K80">IF(A80&lt;&gt;" ", (VLOOKUP(A80, 'NSEBSE Code'!A:C, 2, FALSE)), " ")</f>
        <v>Textile</v>
      </c>
      <c r="L80" s="23" t="str">
        <f t="array" ref="L80">IF(A80&lt;&gt;" ", (VLOOKUP(A80, 'NSEBSE Code'!A:C, 3, FALSE)), " ")</f>
        <v>BOM:521064</v>
      </c>
      <c r="M80" s="23" t="str">
        <f t="array" ref="M80">IF(F80 &gt; 0.3, "Yes", "No")</f>
        <v>Yes</v>
      </c>
      <c r="N80" s="19" t="str">
        <f t="array" ref="N80">IF(H80 &lt;0.3, "Yes", "No")</f>
        <v>Yes</v>
      </c>
      <c r="O80" s="19" t="str">
        <f t="array" ref="O80">IF(AND(D80&lt;65, M80="No",N80="No"), "Good Stock", " ")</f>
        <v> </v>
      </c>
      <c r="P80" s="19" t="str">
        <f t="array" ref="P80">IF(B80 &gt;= $Q$2 * 0.6, "Large Cap Stocks", IF(B80 &gt;= $Q$2 * 0.4, "Medium Cap Stocks", "Low Cap Stocks"))</f>
        <v>Low Cap Stocks</v>
      </c>
    </row>
    <row r="81">
      <c r="A81" s="19" t="str">
        <f>IFERROR(__xludf.DUMMYFUNCTION("""COMPUTED_VALUE"""),"Exide Battery")</f>
        <v>Exide Battery</v>
      </c>
      <c r="B81" s="21">
        <f>IFERROR(__xludf.DUMMYFUNCTION("""COMPUTED_VALUE"""),15554.9906858)</f>
        <v>15554.99069</v>
      </c>
      <c r="C81" s="19">
        <f>IFERROR(__xludf.DUMMYFUNCTION("""COMPUTED_VALUE"""),182.85)</f>
        <v>182.85</v>
      </c>
      <c r="D81" s="19">
        <f>IFERROR(__xludf.DUMMYFUNCTION("""COMPUTED_VALUE"""),3.39)</f>
        <v>3.39</v>
      </c>
      <c r="E81" s="19">
        <f>IFERROR(__xludf.DUMMYFUNCTION("""COMPUTED_VALUE"""),194.2)</f>
        <v>194.2</v>
      </c>
      <c r="F81" s="22">
        <f>IFERROR(__xludf.DUMMYFUNCTION("""COMPUTED_VALUE"""),0.05844490216271882)</f>
        <v>0.05844490216</v>
      </c>
      <c r="G81" s="19">
        <f>IFERROR(__xludf.DUMMYFUNCTION("""COMPUTED_VALUE"""),130.25)</f>
        <v>130.25</v>
      </c>
      <c r="H81" s="22">
        <f>IFERROR(__xludf.DUMMYFUNCTION("""COMPUTED_VALUE"""),0.4038387715930902)</f>
        <v>0.4038387716</v>
      </c>
      <c r="I81" s="19">
        <f>IFERROR(__xludf.DUMMYFUNCTION("""COMPUTED_VALUE"""),182.65)</f>
        <v>182.65</v>
      </c>
      <c r="J81" s="22">
        <f>IFERROR(__xludf.DUMMYFUNCTION("""COMPUTED_VALUE"""),0.001094990418833773)</f>
        <v>0.001094990419</v>
      </c>
      <c r="K81" s="23" t="str">
        <f t="array" ref="K81">IF(A81&lt;&gt;" ", (VLOOKUP(A81, 'NSEBSE Code'!A:C, 2, FALSE)), " ")</f>
        <v>Automobile Ancilliary</v>
      </c>
      <c r="L81" s="23" t="str">
        <f t="array" ref="L81">IF(A81&lt;&gt;" ", (VLOOKUP(A81, 'NSEBSE Code'!A:C, 3, FALSE)), " ")</f>
        <v>EXIDEIND</v>
      </c>
      <c r="M81" s="23" t="str">
        <f t="array" ref="M81">IF(F81 &gt; 0.3, "Yes", "No")</f>
        <v>No</v>
      </c>
      <c r="N81" s="19" t="str">
        <f t="array" ref="N81">IF(H81 &lt;0.3, "Yes", "No")</f>
        <v>No</v>
      </c>
      <c r="O81" s="19" t="str">
        <f t="array" ref="O81">IF(AND(D81&lt;65, M81="No",N81="No"), "Good Stock", " ")</f>
        <v>Good Stock</v>
      </c>
      <c r="P81" s="19" t="str">
        <f t="array" ref="P81">IF(B81 &gt;= $Q$2 * 0.6, "Large Cap Stocks", IF(B81 &gt;= $Q$2 * 0.4, "Medium Cap Stocks", "Low Cap Stocks"))</f>
        <v>Low Cap Stocks</v>
      </c>
    </row>
    <row r="82">
      <c r="A82" s="19" t="str">
        <f>IFERROR(__xludf.DUMMYFUNCTION("""COMPUTED_VALUE"""),"clean science")</f>
        <v>clean science</v>
      </c>
      <c r="B82" s="21">
        <f>IFERROR(__xludf.DUMMYFUNCTION("""COMPUTED_VALUE"""),15538.83)</f>
        <v>15538.83</v>
      </c>
      <c r="C82" s="19">
        <f>IFERROR(__xludf.DUMMYFUNCTION("""COMPUTED_VALUE"""),1463.5)</f>
        <v>1463.5</v>
      </c>
      <c r="D82" s="19">
        <f>IFERROR(__xludf.DUMMYFUNCTION("""COMPUTED_VALUE"""),61.9)</f>
        <v>61.9</v>
      </c>
      <c r="E82" s="19">
        <f>IFERROR(__xludf.DUMMYFUNCTION("""COMPUTED_VALUE"""),2624.0)</f>
        <v>2624</v>
      </c>
      <c r="F82" s="22">
        <f>IFERROR(__xludf.DUMMYFUNCTION("""COMPUTED_VALUE"""),0.4422637195121951)</f>
        <v>0.4422637195</v>
      </c>
      <c r="G82" s="19">
        <f>IFERROR(__xludf.DUMMYFUNCTION("""COMPUTED_VALUE"""),1410.1)</f>
        <v>1410.1</v>
      </c>
      <c r="H82" s="22">
        <f>IFERROR(__xludf.DUMMYFUNCTION("""COMPUTED_VALUE"""),0.037869654634423155)</f>
        <v>0.03786965463</v>
      </c>
      <c r="I82" s="19">
        <f>IFERROR(__xludf.DUMMYFUNCTION("""COMPUTED_VALUE"""),1471.05)</f>
        <v>1471.05</v>
      </c>
      <c r="J82" s="22">
        <f>IFERROR(__xludf.DUMMYFUNCTION("""COMPUTED_VALUE"""),-0.005132388430032939)</f>
        <v>-0.00513238843</v>
      </c>
      <c r="K82" s="23" t="str">
        <f t="array" ref="K82">IF(A82&lt;&gt;" ", (VLOOKUP(A82, 'NSEBSE Code'!A:C, 2, FALSE)), " ")</f>
        <v>Chemical</v>
      </c>
      <c r="L82" s="23" t="str">
        <f t="array" ref="L82">IF(A82&lt;&gt;" ", (VLOOKUP(A82, 'NSEBSE Code'!A:C, 3, FALSE)), " ")</f>
        <v>BOM:543318</v>
      </c>
      <c r="M82" s="23" t="str">
        <f t="array" ref="M82">IF(F82 &gt; 0.3, "Yes", "No")</f>
        <v>Yes</v>
      </c>
      <c r="N82" s="19" t="str">
        <f t="array" ref="N82">IF(H82 &lt;0.3, "Yes", "No")</f>
        <v>Yes</v>
      </c>
      <c r="O82" s="19" t="str">
        <f t="array" ref="O82">IF(AND(D82&lt;65, M82="No",N82="No"), "Good Stock", " ")</f>
        <v> </v>
      </c>
      <c r="P82" s="19" t="str">
        <f t="array" ref="P82">IF(B82 &gt;= $Q$2 * 0.6, "Large Cap Stocks", IF(B82 &gt;= $Q$2 * 0.4, "Medium Cap Stocks", "Low Cap Stocks"))</f>
        <v>Low Cap Stocks</v>
      </c>
    </row>
    <row r="83">
      <c r="A83" s="19" t="str">
        <f>IFERROR(__xludf.DUMMYFUNCTION("""COMPUTED_VALUE"""),"Indiamart Intermesh")</f>
        <v>Indiamart Intermesh</v>
      </c>
      <c r="B83" s="21">
        <f>IFERROR(__xludf.DUMMYFUNCTION("""COMPUTED_VALUE"""),13709.808)</f>
        <v>13709.808</v>
      </c>
      <c r="C83" s="19">
        <f>IFERROR(__xludf.DUMMYFUNCTION("""COMPUTED_VALUE"""),4477.0)</f>
        <v>4477</v>
      </c>
      <c r="D83" s="19">
        <f>IFERROR(__xludf.DUMMYFUNCTION("""COMPUTED_VALUE"""),56.62)</f>
        <v>56.62</v>
      </c>
      <c r="E83" s="19">
        <f>IFERROR(__xludf.DUMMYFUNCTION("""COMPUTED_VALUE"""),6898.75)</f>
        <v>6898.75</v>
      </c>
      <c r="F83" s="22">
        <f>IFERROR(__xludf.DUMMYFUNCTION("""COMPUTED_VALUE"""),0.3510418554085885)</f>
        <v>0.3510418554</v>
      </c>
      <c r="G83" s="19">
        <f>IFERROR(__xludf.DUMMYFUNCTION("""COMPUTED_VALUE"""),3676.0)</f>
        <v>3676</v>
      </c>
      <c r="H83" s="22">
        <f>IFERROR(__xludf.DUMMYFUNCTION("""COMPUTED_VALUE"""),0.2178998911860718)</f>
        <v>0.2178998912</v>
      </c>
      <c r="I83" s="19">
        <f>IFERROR(__xludf.DUMMYFUNCTION("""COMPUTED_VALUE"""),4446.55)</f>
        <v>4446.55</v>
      </c>
      <c r="J83" s="22">
        <f>IFERROR(__xludf.DUMMYFUNCTION("""COMPUTED_VALUE"""),0.006848005757272451)</f>
        <v>0.006848005757</v>
      </c>
      <c r="K83" s="23" t="str">
        <f t="array" ref="K83">IF(A83&lt;&gt;" ", (VLOOKUP(A83, 'NSEBSE Code'!A:C, 2, FALSE)), " ")</f>
        <v>Technology</v>
      </c>
      <c r="L83" s="23" t="str">
        <f t="array" ref="L83">IF(A83&lt;&gt;" ", (VLOOKUP(A83, 'NSEBSE Code'!A:C, 3, FALSE)), " ")</f>
        <v>INDIAMART</v>
      </c>
      <c r="M83" s="23" t="str">
        <f t="array" ref="M83">IF(F83 &gt; 0.3, "Yes", "No")</f>
        <v>Yes</v>
      </c>
      <c r="N83" s="19" t="str">
        <f t="array" ref="N83">IF(H83 &lt;0.3, "Yes", "No")</f>
        <v>Yes</v>
      </c>
      <c r="O83" s="19" t="str">
        <f t="array" ref="O83">IF(AND(D83&lt;65, M83="No",N83="No"), "Good Stock", " ")</f>
        <v> </v>
      </c>
      <c r="P83" s="19" t="str">
        <f t="array" ref="P83">IF(B83 &gt;= $Q$2 * 0.6, "Large Cap Stocks", IF(B83 &gt;= $Q$2 * 0.4, "Medium Cap Stocks", "Low Cap Stocks"))</f>
        <v>Low Cap Stocks</v>
      </c>
    </row>
    <row r="84">
      <c r="A84" s="19" t="str">
        <f>IFERROR(__xludf.DUMMYFUNCTION("""COMPUTED_VALUE"""),"Affle India")</f>
        <v>Affle India</v>
      </c>
      <c r="B84" s="21">
        <f>IFERROR(__xludf.DUMMYFUNCTION("""COMPUTED_VALUE"""),13659.0)</f>
        <v>13659</v>
      </c>
      <c r="C84" s="19">
        <f>IFERROR(__xludf.DUMMYFUNCTION("""COMPUTED_VALUE"""),1024.0)</f>
        <v>1024</v>
      </c>
      <c r="D84" s="19">
        <f>IFERROR(__xludf.DUMMYFUNCTION("""COMPUTED_VALUE"""),55.83)</f>
        <v>55.83</v>
      </c>
      <c r="E84" s="19">
        <f>IFERROR(__xludf.DUMMYFUNCTION("""COMPUTED_VALUE"""),1511.0)</f>
        <v>1511</v>
      </c>
      <c r="F84" s="22">
        <f>IFERROR(__xludf.DUMMYFUNCTION("""COMPUTED_VALUE"""),0.32230311052283256)</f>
        <v>0.3223031105</v>
      </c>
      <c r="G84" s="19">
        <f>IFERROR(__xludf.DUMMYFUNCTION("""COMPUTED_VALUE"""),871.55)</f>
        <v>871.55</v>
      </c>
      <c r="H84" s="22">
        <f>IFERROR(__xludf.DUMMYFUNCTION("""COMPUTED_VALUE"""),0.17491824909643744)</f>
        <v>0.1749182491</v>
      </c>
      <c r="I84" s="19">
        <f>IFERROR(__xludf.DUMMYFUNCTION("""COMPUTED_VALUE"""),1035.55)</f>
        <v>1035.55</v>
      </c>
      <c r="J84" s="22">
        <f>IFERROR(__xludf.DUMMYFUNCTION("""COMPUTED_VALUE"""),-0.011153493312732321)</f>
        <v>-0.01115349331</v>
      </c>
      <c r="K84" s="23" t="str">
        <f t="array" ref="K84">IF(A84&lt;&gt;" ", (VLOOKUP(A84, 'NSEBSE Code'!A:C, 2, FALSE)), " ")</f>
        <v>Technology</v>
      </c>
      <c r="L84" s="23" t="str">
        <f t="array" ref="L84">IF(A84&lt;&gt;" ", (VLOOKUP(A84, 'NSEBSE Code'!A:C, 3, FALSE)), " ")</f>
        <v>AFFLE</v>
      </c>
      <c r="M84" s="23" t="str">
        <f t="array" ref="M84">IF(F84 &gt; 0.3, "Yes", "No")</f>
        <v>Yes</v>
      </c>
      <c r="N84" s="19" t="str">
        <f t="array" ref="N84">IF(H84 &lt;0.3, "Yes", "No")</f>
        <v>Yes</v>
      </c>
      <c r="O84" s="19" t="str">
        <f t="array" ref="O84">IF(AND(D84&lt;65, M84="No",N84="No"), "Good Stock", " ")</f>
        <v> </v>
      </c>
      <c r="P84" s="19" t="str">
        <f t="array" ref="P84">IF(B84 &gt;= $Q$2 * 0.6, "Large Cap Stocks", IF(B84 &gt;= $Q$2 * 0.4, "Medium Cap Stocks", "Low Cap Stocks"))</f>
        <v>Low Cap Stocks</v>
      </c>
    </row>
    <row r="85">
      <c r="A85" s="19" t="str">
        <f>IFERROR(__xludf.DUMMYFUNCTION("""COMPUTED_VALUE"""),"KEI Industries")</f>
        <v>KEI Industries</v>
      </c>
      <c r="B85" s="21">
        <f>IFERROR(__xludf.DUMMYFUNCTION("""COMPUTED_VALUE"""),12966.0743501)</f>
        <v>12966.07435</v>
      </c>
      <c r="C85" s="19">
        <f>IFERROR(__xludf.DUMMYFUNCTION("""COMPUTED_VALUE"""),1436.05)</f>
        <v>1436.05</v>
      </c>
      <c r="D85" s="19">
        <f>IFERROR(__xludf.DUMMYFUNCTION("""COMPUTED_VALUE"""),30.59)</f>
        <v>30.59</v>
      </c>
      <c r="E85" s="19">
        <f>IFERROR(__xludf.DUMMYFUNCTION("""COMPUTED_VALUE"""),1662.45)</f>
        <v>1662.45</v>
      </c>
      <c r="F85" s="22">
        <f>IFERROR(__xludf.DUMMYFUNCTION("""COMPUTED_VALUE"""),0.13618454690366633)</f>
        <v>0.1361845469</v>
      </c>
      <c r="G85" s="19">
        <f>IFERROR(__xludf.DUMMYFUNCTION("""COMPUTED_VALUE"""),905.2)</f>
        <v>905.2</v>
      </c>
      <c r="H85" s="22">
        <f>IFERROR(__xludf.DUMMYFUNCTION("""COMPUTED_VALUE"""),0.5864449845338046)</f>
        <v>0.5864449845</v>
      </c>
      <c r="I85" s="19">
        <f>IFERROR(__xludf.DUMMYFUNCTION("""COMPUTED_VALUE"""),1435.2)</f>
        <v>1435.2</v>
      </c>
      <c r="J85" s="22">
        <f>IFERROR(__xludf.DUMMYFUNCTION("""COMPUTED_VALUE"""),5.922519509475397E-4)</f>
        <v>0.0005922519509</v>
      </c>
      <c r="K85" s="23" t="str">
        <f t="array" ref="K85">IF(A85&lt;&gt;" ", (VLOOKUP(A85, 'NSEBSE Code'!A:C, 2, FALSE)), " ")</f>
        <v>Consumer Electrical</v>
      </c>
      <c r="L85" s="23" t="str">
        <f t="array" ref="L85">IF(A85&lt;&gt;" ", (VLOOKUP(A85, 'NSEBSE Code'!A:C, 3, FALSE)), " ")</f>
        <v>BOM:517569</v>
      </c>
      <c r="M85" s="23" t="str">
        <f t="array" ref="M85">IF(F85 &gt; 0.3, "Yes", "No")</f>
        <v>No</v>
      </c>
      <c r="N85" s="19" t="str">
        <f t="array" ref="N85">IF(H85 &lt;0.3, "Yes", "No")</f>
        <v>No</v>
      </c>
      <c r="O85" s="19" t="str">
        <f t="array" ref="O85">IF(AND(D85&lt;65, M85="No",N85="No"), "Good Stock", " ")</f>
        <v>Good Stock</v>
      </c>
      <c r="P85" s="19" t="str">
        <f t="array" ref="P85">IF(B85 &gt;= $Q$2 * 0.6, "Large Cap Stocks", IF(B85 &gt;= $Q$2 * 0.4, "Medium Cap Stocks", "Low Cap Stocks"))</f>
        <v>Low Cap Stocks</v>
      </c>
    </row>
    <row r="86">
      <c r="A86" s="19" t="str">
        <f>IFERROR(__xludf.DUMMYFUNCTION("""COMPUTED_VALUE"""),"IEX")</f>
        <v>IEX</v>
      </c>
      <c r="B86" s="21">
        <f>IFERROR(__xludf.DUMMYFUNCTION("""COMPUTED_VALUE"""),12685.7721399)</f>
        <v>12685.77214</v>
      </c>
      <c r="C86" s="19">
        <f>IFERROR(__xludf.DUMMYFUNCTION("""COMPUTED_VALUE"""),141.55)</f>
        <v>141.55</v>
      </c>
      <c r="D86" s="19">
        <f>IFERROR(__xludf.DUMMYFUNCTION("""COMPUTED_VALUE"""),41.14)</f>
        <v>41.14</v>
      </c>
      <c r="E86" s="19">
        <f>IFERROR(__xludf.DUMMYFUNCTION("""COMPUTED_VALUE"""),271.95)</f>
        <v>271.95</v>
      </c>
      <c r="F86" s="22">
        <f>IFERROR(__xludf.DUMMYFUNCTION("""COMPUTED_VALUE"""),0.4794999080713366)</f>
        <v>0.4794999081</v>
      </c>
      <c r="G86" s="19">
        <f>IFERROR(__xludf.DUMMYFUNCTION("""COMPUTED_VALUE"""),129.25)</f>
        <v>129.25</v>
      </c>
      <c r="H86" s="22">
        <f>IFERROR(__xludf.DUMMYFUNCTION("""COMPUTED_VALUE"""),0.09516441005802717)</f>
        <v>0.09516441006</v>
      </c>
      <c r="I86" s="19">
        <f>IFERROR(__xludf.DUMMYFUNCTION("""COMPUTED_VALUE"""),141.4)</f>
        <v>141.4</v>
      </c>
      <c r="J86" s="22">
        <f>IFERROR(__xludf.DUMMYFUNCTION("""COMPUTED_VALUE"""),0.001060820367751101)</f>
        <v>0.001060820368</v>
      </c>
      <c r="K86" s="23" t="str">
        <f t="array" ref="K86">IF(A86&lt;&gt;" ", (VLOOKUP(A86, 'NSEBSE Code'!A:C, 2, FALSE)), " ")</f>
        <v>Technology</v>
      </c>
      <c r="L86" s="23" t="str">
        <f t="array" ref="L86">IF(A86&lt;&gt;" ", (VLOOKUP(A86, 'NSEBSE Code'!A:C, 3, FALSE)), " ")</f>
        <v>BOM:540750</v>
      </c>
      <c r="M86" s="23" t="str">
        <f t="array" ref="M86">IF(F86 &gt; 0.3, "Yes", "No")</f>
        <v>Yes</v>
      </c>
      <c r="N86" s="19" t="str">
        <f t="array" ref="N86">IF(H86 &lt;0.3, "Yes", "No")</f>
        <v>Yes</v>
      </c>
      <c r="O86" s="19" t="str">
        <f t="array" ref="O86">IF(AND(D86&lt;65, M86="No",N86="No"), "Good Stock", " ")</f>
        <v> </v>
      </c>
      <c r="P86" s="19" t="str">
        <f t="array" ref="P86">IF(B86 &gt;= $Q$2 * 0.6, "Large Cap Stocks", IF(B86 &gt;= $Q$2 * 0.4, "Medium Cap Stocks", "Low Cap Stocks"))</f>
        <v>Low Cap Stocks</v>
      </c>
    </row>
    <row r="87">
      <c r="A87" s="19" t="str">
        <f>IFERROR(__xludf.DUMMYFUNCTION("""COMPUTED_VALUE"""),"Happiest Mind")</f>
        <v>Happiest Mind</v>
      </c>
      <c r="B87" s="21">
        <f>IFERROR(__xludf.DUMMYFUNCTION("""COMPUTED_VALUE"""),12642.1534329)</f>
        <v>12642.15343</v>
      </c>
      <c r="C87" s="19">
        <f>IFERROR(__xludf.DUMMYFUNCTION("""COMPUTED_VALUE"""),885.05)</f>
        <v>885.05</v>
      </c>
      <c r="D87" s="19">
        <f>IFERROR(__xludf.DUMMYFUNCTION("""COMPUTED_VALUE"""),59.08)</f>
        <v>59.08</v>
      </c>
      <c r="E87" s="19">
        <f>IFERROR(__xludf.DUMMYFUNCTION("""COMPUTED_VALUE"""),1359.85)</f>
        <v>1359.85</v>
      </c>
      <c r="F87" s="22">
        <f>IFERROR(__xludf.DUMMYFUNCTION("""COMPUTED_VALUE"""),0.34915615692907304)</f>
        <v>0.3491561569</v>
      </c>
      <c r="G87" s="19">
        <f>IFERROR(__xludf.DUMMYFUNCTION("""COMPUTED_VALUE"""),785.55)</f>
        <v>785.55</v>
      </c>
      <c r="H87" s="22">
        <f>IFERROR(__xludf.DUMMYFUNCTION("""COMPUTED_VALUE"""),0.12666284768633443)</f>
        <v>0.1266628477</v>
      </c>
      <c r="I87" s="19">
        <f>IFERROR(__xludf.DUMMYFUNCTION("""COMPUTED_VALUE"""),884.65)</f>
        <v>884.65</v>
      </c>
      <c r="J87" s="22">
        <f>IFERROR(__xludf.DUMMYFUNCTION("""COMPUTED_VALUE"""),4.5215621997397534E-4)</f>
        <v>0.00045215622</v>
      </c>
      <c r="K87" s="23" t="str">
        <f t="array" ref="K87">IF(A87&lt;&gt;" ", (VLOOKUP(A87, 'NSEBSE Code'!A:C, 2, FALSE)), " ")</f>
        <v>IT</v>
      </c>
      <c r="L87" s="23" t="str">
        <f t="array" ref="L87">IF(A87&lt;&gt;" ", (VLOOKUP(A87, 'NSEBSE Code'!A:C, 3, FALSE)), " ")</f>
        <v>BOM:543227</v>
      </c>
      <c r="M87" s="23" t="str">
        <f t="array" ref="M87">IF(F87 &gt; 0.3, "Yes", "No")</f>
        <v>Yes</v>
      </c>
      <c r="N87" s="19" t="str">
        <f t="array" ref="N87">IF(H87 &lt;0.3, "Yes", "No")</f>
        <v>Yes</v>
      </c>
      <c r="O87" s="19" t="str">
        <f t="array" ref="O87">IF(AND(D87&lt;65, M87="No",N87="No"), "Good Stock", " ")</f>
        <v> </v>
      </c>
      <c r="P87" s="19" t="str">
        <f t="array" ref="P87">IF(B87 &gt;= $Q$2 * 0.6, "Large Cap Stocks", IF(B87 &gt;= $Q$2 * 0.4, "Medium Cap Stocks", "Low Cap Stocks"))</f>
        <v>Low Cap Stocks</v>
      </c>
    </row>
    <row r="88">
      <c r="A88" s="19" t="str">
        <f>IFERROR(__xludf.DUMMYFUNCTION("""COMPUTED_VALUE"""),"Sheela Form")</f>
        <v>Sheela Form</v>
      </c>
      <c r="B88" s="21">
        <f>IFERROR(__xludf.DUMMYFUNCTION("""COMPUTED_VALUE"""),12260.1)</f>
        <v>12260.1</v>
      </c>
      <c r="C88" s="19">
        <f>IFERROR(__xludf.DUMMYFUNCTION("""COMPUTED_VALUE"""),1260.0)</f>
        <v>1260</v>
      </c>
      <c r="D88" s="19">
        <f>IFERROR(__xludf.DUMMYFUNCTION("""COMPUTED_VALUE"""),57.79)</f>
        <v>57.79</v>
      </c>
      <c r="E88" s="19">
        <f>IFERROR(__xludf.DUMMYFUNCTION("""COMPUTED_VALUE"""),2027.0)</f>
        <v>2027</v>
      </c>
      <c r="F88" s="22">
        <f>IFERROR(__xludf.DUMMYFUNCTION("""COMPUTED_VALUE"""),0.37839171188949183)</f>
        <v>0.3783917119</v>
      </c>
      <c r="G88" s="19">
        <f>IFERROR(__xludf.DUMMYFUNCTION("""COMPUTED_VALUE"""),1204.15)</f>
        <v>1204.15</v>
      </c>
      <c r="H88" s="22">
        <f>IFERROR(__xludf.DUMMYFUNCTION("""COMPUTED_VALUE"""),0.046381264792592206)</f>
        <v>0.04638126479</v>
      </c>
      <c r="I88" s="19">
        <f>IFERROR(__xludf.DUMMYFUNCTION("""COMPUTED_VALUE"""),1251.3)</f>
        <v>1251.3</v>
      </c>
      <c r="J88" s="22">
        <f>IFERROR(__xludf.DUMMYFUNCTION("""COMPUTED_VALUE"""),0.006952769120115117)</f>
        <v>0.00695276912</v>
      </c>
      <c r="K88" s="23" t="str">
        <f t="array" ref="K88">IF(A88&lt;&gt;" ", (VLOOKUP(A88, 'NSEBSE Code'!A:C, 2, FALSE)), " ")</f>
        <v>Form</v>
      </c>
      <c r="L88" s="23" t="str">
        <f t="array" ref="L88">IF(A88&lt;&gt;" ", (VLOOKUP(A88, 'NSEBSE Code'!A:C, 3, FALSE)), " ")</f>
        <v>BOM:540203</v>
      </c>
      <c r="M88" s="23" t="str">
        <f t="array" ref="M88">IF(F88 &gt; 0.3, "Yes", "No")</f>
        <v>Yes</v>
      </c>
      <c r="N88" s="19" t="str">
        <f t="array" ref="N88">IF(H88 &lt;0.3, "Yes", "No")</f>
        <v>Yes</v>
      </c>
      <c r="O88" s="19" t="str">
        <f t="array" ref="O88">IF(AND(D88&lt;65, M88="No",N88="No"), "Good Stock", " ")</f>
        <v> </v>
      </c>
      <c r="P88" s="19" t="str">
        <f t="array" ref="P88">IF(B88 &gt;= $Q$2 * 0.6, "Large Cap Stocks", IF(B88 &gt;= $Q$2 * 0.4, "Medium Cap Stocks", "Low Cap Stocks"))</f>
        <v>Low Cap Stocks</v>
      </c>
    </row>
    <row r="89">
      <c r="A89" s="19" t="str">
        <f>IFERROR(__xludf.DUMMYFUNCTION("""COMPUTED_VALUE"""),"Century Plyboard")</f>
        <v>Century Plyboard</v>
      </c>
      <c r="B89" s="21">
        <f>IFERROR(__xludf.DUMMYFUNCTION("""COMPUTED_VALUE"""),11658.528175)</f>
        <v>11658.52818</v>
      </c>
      <c r="C89" s="19">
        <f>IFERROR(__xludf.DUMMYFUNCTION("""COMPUTED_VALUE"""),523.9)</f>
        <v>523.9</v>
      </c>
      <c r="D89" s="19">
        <f>IFERROR(__xludf.DUMMYFUNCTION("""COMPUTED_VALUE"""),31.54)</f>
        <v>31.54</v>
      </c>
      <c r="E89" s="19">
        <f>IFERROR(__xludf.DUMMYFUNCTION("""COMPUTED_VALUE"""),749.0)</f>
        <v>749</v>
      </c>
      <c r="F89" s="22">
        <f>IFERROR(__xludf.DUMMYFUNCTION("""COMPUTED_VALUE"""),0.30053404539385853)</f>
        <v>0.3005340454</v>
      </c>
      <c r="G89" s="19">
        <f>IFERROR(__xludf.DUMMYFUNCTION("""COMPUTED_VALUE"""),484.7)</f>
        <v>484.7</v>
      </c>
      <c r="H89" s="22">
        <f>IFERROR(__xludf.DUMMYFUNCTION("""COMPUTED_VALUE"""),0.08087476789766863)</f>
        <v>0.0808747679</v>
      </c>
      <c r="I89" s="19">
        <f>IFERROR(__xludf.DUMMYFUNCTION("""COMPUTED_VALUE"""),517.65)</f>
        <v>517.65</v>
      </c>
      <c r="J89" s="22">
        <f>IFERROR(__xludf.DUMMYFUNCTION("""COMPUTED_VALUE"""),0.012073795035255483)</f>
        <v>0.01207379504</v>
      </c>
      <c r="K89" s="23" t="str">
        <f t="array" ref="K89">IF(A89&lt;&gt;" ", (VLOOKUP(A89, 'NSEBSE Code'!A:C, 2, FALSE)), " ")</f>
        <v>Playboard</v>
      </c>
      <c r="L89" s="23" t="str">
        <f t="array" ref="L89">IF(A89&lt;&gt;" ", (VLOOKUP(A89, 'NSEBSE Code'!A:C, 3, FALSE)), " ")</f>
        <v>BOM:532548</v>
      </c>
      <c r="M89" s="23" t="str">
        <f t="array" ref="M89">IF(F89 &gt; 0.3, "Yes", "No")</f>
        <v>Yes</v>
      </c>
      <c r="N89" s="19" t="str">
        <f t="array" ref="N89">IF(H89 &lt;0.3, "Yes", "No")</f>
        <v>Yes</v>
      </c>
      <c r="O89" s="19" t="str">
        <f t="array" ref="O89">IF(AND(D89&lt;65, M89="No",N89="No"), "Good Stock", " ")</f>
        <v> </v>
      </c>
      <c r="P89" s="19" t="str">
        <f t="array" ref="P89">IF(B89 &gt;= $Q$2 * 0.6, "Large Cap Stocks", IF(B89 &gt;= $Q$2 * 0.4, "Medium Cap Stocks", "Low Cap Stocks"))</f>
        <v>Low Cap Stocks</v>
      </c>
    </row>
    <row r="90">
      <c r="A90" s="19" t="str">
        <f>IFERROR(__xludf.DUMMYFUNCTION("""COMPUTED_VALUE"""),"CDSL")</f>
        <v>CDSL</v>
      </c>
      <c r="B90" s="21">
        <f>IFERROR(__xludf.DUMMYFUNCTION("""COMPUTED_VALUE"""),11261.44)</f>
        <v>11261.44</v>
      </c>
      <c r="C90" s="19">
        <f>IFERROR(__xludf.DUMMYFUNCTION("""COMPUTED_VALUE"""),1077.9)</f>
        <v>1077.9</v>
      </c>
      <c r="D90" s="19">
        <f>IFERROR(__xludf.DUMMYFUNCTION("""COMPUTED_VALUE"""),37.61)</f>
        <v>37.61</v>
      </c>
      <c r="E90" s="19">
        <f>IFERROR(__xludf.DUMMYFUNCTION("""COMPUTED_VALUE"""),1654.0)</f>
        <v>1654</v>
      </c>
      <c r="F90" s="22">
        <f>IFERROR(__xludf.DUMMYFUNCTION("""COMPUTED_VALUE"""),0.3483071342200725)</f>
        <v>0.3483071342</v>
      </c>
      <c r="G90" s="19">
        <f>IFERROR(__xludf.DUMMYFUNCTION("""COMPUTED_VALUE"""),1015.0)</f>
        <v>1015</v>
      </c>
      <c r="H90" s="22">
        <f>IFERROR(__xludf.DUMMYFUNCTION("""COMPUTED_VALUE"""),0.06197044334975378)</f>
        <v>0.06197044335</v>
      </c>
      <c r="I90" s="19">
        <f>IFERROR(__xludf.DUMMYFUNCTION("""COMPUTED_VALUE"""),1078.65)</f>
        <v>1078.65</v>
      </c>
      <c r="J90" s="22">
        <f>IFERROR(__xludf.DUMMYFUNCTION("""COMPUTED_VALUE"""),-6.953135864274788E-4)</f>
        <v>-0.0006953135864</v>
      </c>
      <c r="K90" s="23" t="str">
        <f t="array" ref="K90">IF(A90&lt;&gt;" ", (VLOOKUP(A90, 'NSEBSE Code'!A:C, 2, FALSE)), " ")</f>
        <v>Technology</v>
      </c>
      <c r="L90" s="23" t="str">
        <f t="array" ref="L90">IF(A90&lt;&gt;" ", (VLOOKUP(A90, 'NSEBSE Code'!A:C, 3, FALSE)), " ")</f>
        <v>CDSL</v>
      </c>
      <c r="M90" s="23" t="str">
        <f t="array" ref="M90">IF(F90 &gt; 0.3, "Yes", "No")</f>
        <v>Yes</v>
      </c>
      <c r="N90" s="19" t="str">
        <f t="array" ref="N90">IF(H90 &lt;0.3, "Yes", "No")</f>
        <v>Yes</v>
      </c>
      <c r="O90" s="19" t="str">
        <f t="array" ref="O90">IF(AND(D90&lt;65, M90="No",N90="No"), "Good Stock", " ")</f>
        <v> </v>
      </c>
      <c r="P90" s="19" t="str">
        <f t="array" ref="P90">IF(B90 &gt;= $Q$2 * 0.6, "Large Cap Stocks", IF(B90 &gt;= $Q$2 * 0.4, "Medium Cap Stocks", "Low Cap Stocks"))</f>
        <v>Low Cap Stocks</v>
      </c>
    </row>
    <row r="91">
      <c r="A91" s="19" t="str">
        <f>IFERROR(__xludf.DUMMYFUNCTION("""COMPUTED_VALUE"""),"CAMS")</f>
        <v>CAMS</v>
      </c>
      <c r="B91" s="21">
        <f>IFERROR(__xludf.DUMMYFUNCTION("""COMPUTED_VALUE"""),11180.9471528)</f>
        <v>11180.94715</v>
      </c>
      <c r="C91" s="19">
        <f>IFERROR(__xludf.DUMMYFUNCTION("""COMPUTED_VALUE"""),2274.0)</f>
        <v>2274</v>
      </c>
      <c r="D91" s="19">
        <f>IFERROR(__xludf.DUMMYFUNCTION("""COMPUTED_VALUE"""),38.87)</f>
        <v>38.87</v>
      </c>
      <c r="E91" s="19">
        <f>IFERROR(__xludf.DUMMYFUNCTION("""COMPUTED_VALUE"""),2971.5)</f>
        <v>2971.5</v>
      </c>
      <c r="F91" s="22">
        <f>IFERROR(__xludf.DUMMYFUNCTION("""COMPUTED_VALUE"""),0.2347299343765775)</f>
        <v>0.2347299344</v>
      </c>
      <c r="G91" s="19">
        <f>IFERROR(__xludf.DUMMYFUNCTION("""COMPUTED_VALUE"""),2037.15)</f>
        <v>2037.15</v>
      </c>
      <c r="H91" s="22">
        <f>IFERROR(__xludf.DUMMYFUNCTION("""COMPUTED_VALUE"""),0.11626537073853173)</f>
        <v>0.1162653707</v>
      </c>
      <c r="I91" s="19">
        <f>IFERROR(__xludf.DUMMYFUNCTION("""COMPUTED_VALUE"""),2235.75)</f>
        <v>2235.75</v>
      </c>
      <c r="J91" s="22">
        <f>IFERROR(__xludf.DUMMYFUNCTION("""COMPUTED_VALUE"""),0.017108352901710835)</f>
        <v>0.0171083529</v>
      </c>
      <c r="K91" s="23" t="str">
        <f t="array" ref="K91">IF(A91&lt;&gt;" ", (VLOOKUP(A91, 'NSEBSE Code'!A:C, 2, FALSE)), " ")</f>
        <v>Technology</v>
      </c>
      <c r="L91" s="23" t="str">
        <f t="array" ref="L91">IF(A91&lt;&gt;" ", (VLOOKUP(A91, 'NSEBSE Code'!A:C, 3, FALSE)), " ")</f>
        <v>NSE:CAMS</v>
      </c>
      <c r="M91" s="23" t="str">
        <f t="array" ref="M91">IF(F91 &gt; 0.3, "Yes", "No")</f>
        <v>No</v>
      </c>
      <c r="N91" s="19" t="str">
        <f t="array" ref="N91">IF(H91 &lt;0.3, "Yes", "No")</f>
        <v>Yes</v>
      </c>
      <c r="O91" s="19" t="str">
        <f t="array" ref="O91">IF(AND(D91&lt;65, M91="No",N91="No"), "Good Stock", " ")</f>
        <v> </v>
      </c>
      <c r="P91" s="19" t="str">
        <f t="array" ref="P91">IF(B91 &gt;= $Q$2 * 0.6, "Large Cap Stocks", IF(B91 &gt;= $Q$2 * 0.4, "Medium Cap Stocks", "Low Cap Stocks"))</f>
        <v>Low Cap Stocks</v>
      </c>
    </row>
    <row r="92">
      <c r="A92" s="19" t="str">
        <f>IFERROR(__xludf.DUMMYFUNCTION("""COMPUTED_VALUE"""),"TTK Prestige")</f>
        <v>TTK Prestige</v>
      </c>
      <c r="B92" s="21">
        <f>IFERROR(__xludf.DUMMYFUNCTION("""COMPUTED_VALUE"""),10943.5753)</f>
        <v>10943.5753</v>
      </c>
      <c r="C92" s="19">
        <f>IFERROR(__xludf.DUMMYFUNCTION("""COMPUTED_VALUE"""),789.5)</f>
        <v>789.5</v>
      </c>
      <c r="D92" s="19">
        <f>IFERROR(__xludf.DUMMYFUNCTION("""COMPUTED_VALUE"""),35.54)</f>
        <v>35.54</v>
      </c>
      <c r="E92" s="19">
        <f>IFERROR(__xludf.DUMMYFUNCTION("""COMPUTED_VALUE"""),1049.9)</f>
        <v>1049.9</v>
      </c>
      <c r="F92" s="22">
        <f>IFERROR(__xludf.DUMMYFUNCTION("""COMPUTED_VALUE"""),0.24802362129726646)</f>
        <v>0.2480236213</v>
      </c>
      <c r="G92" s="19">
        <f>IFERROR(__xludf.DUMMYFUNCTION("""COMPUTED_VALUE"""),744.7)</f>
        <v>744.7</v>
      </c>
      <c r="H92" s="22">
        <f>IFERROR(__xludf.DUMMYFUNCTION("""COMPUTED_VALUE"""),0.060158453068349604)</f>
        <v>0.06015845307</v>
      </c>
      <c r="I92" s="19">
        <f>IFERROR(__xludf.DUMMYFUNCTION("""COMPUTED_VALUE"""),794.05)</f>
        <v>794.05</v>
      </c>
      <c r="J92" s="22">
        <f>IFERROR(__xludf.DUMMYFUNCTION("""COMPUTED_VALUE"""),-0.005730117750771305)</f>
        <v>-0.005730117751</v>
      </c>
      <c r="K92" s="23" t="str">
        <f t="array" ref="K92">IF(A92&lt;&gt;" ", (VLOOKUP(A92, 'NSEBSE Code'!A:C, 2, FALSE)), " ")</f>
        <v>Consumer Electrical</v>
      </c>
      <c r="L92" s="23" t="str">
        <f t="array" ref="L92">IF(A92&lt;&gt;" ", (VLOOKUP(A92, 'NSEBSE Code'!A:C, 3, FALSE)), " ")</f>
        <v>TTKPRESTIG</v>
      </c>
      <c r="M92" s="23" t="str">
        <f t="array" ref="M92">IF(F92 &gt; 0.3, "Yes", "No")</f>
        <v>No</v>
      </c>
      <c r="N92" s="19" t="str">
        <f t="array" ref="N92">IF(H92 &lt;0.3, "Yes", "No")</f>
        <v>Yes</v>
      </c>
      <c r="O92" s="19" t="str">
        <f t="array" ref="O92">IF(AND(D92&lt;65, M92="No",N92="No"), "Good Stock", " ")</f>
        <v> </v>
      </c>
      <c r="P92" s="19" t="str">
        <f t="array" ref="P92">IF(B92 &gt;= $Q$2 * 0.6, "Large Cap Stocks", IF(B92 &gt;= $Q$2 * 0.4, "Medium Cap Stocks", "Low Cap Stocks"))</f>
        <v>Low Cap Stocks</v>
      </c>
    </row>
    <row r="93">
      <c r="A93" s="19" t="str">
        <f>IFERROR(__xludf.DUMMYFUNCTION("""COMPUTED_VALUE"""),"Alembic Pharma")</f>
        <v>Alembic Pharma</v>
      </c>
      <c r="B93" s="21">
        <f>IFERROR(__xludf.DUMMYFUNCTION("""COMPUTED_VALUE"""),10913.18)</f>
        <v>10913.18</v>
      </c>
      <c r="C93" s="19">
        <f>IFERROR(__xludf.DUMMYFUNCTION("""COMPUTED_VALUE"""),555.0)</f>
        <v>555</v>
      </c>
      <c r="D93" s="19">
        <f>IFERROR(__xludf.DUMMYFUNCTION("""COMPUTED_VALUE"""),42.84)</f>
        <v>42.84</v>
      </c>
      <c r="E93" s="19">
        <f>IFERROR(__xludf.DUMMYFUNCTION("""COMPUTED_VALUE"""),822.8)</f>
        <v>822.8</v>
      </c>
      <c r="F93" s="22">
        <f>IFERROR(__xludf.DUMMYFUNCTION("""COMPUTED_VALUE"""),0.3254739912493923)</f>
        <v>0.3254739912</v>
      </c>
      <c r="G93" s="19">
        <f>IFERROR(__xludf.DUMMYFUNCTION("""COMPUTED_VALUE"""),540.0)</f>
        <v>540</v>
      </c>
      <c r="H93" s="22">
        <f>IFERROR(__xludf.DUMMYFUNCTION("""COMPUTED_VALUE"""),0.027777777777777776)</f>
        <v>0.02777777778</v>
      </c>
      <c r="I93" s="19">
        <f>IFERROR(__xludf.DUMMYFUNCTION("""COMPUTED_VALUE"""),557.4)</f>
        <v>557.4</v>
      </c>
      <c r="J93" s="22">
        <f>IFERROR(__xludf.DUMMYFUNCTION("""COMPUTED_VALUE"""),-0.004305705059203404)</f>
        <v>-0.004305705059</v>
      </c>
      <c r="K93" s="23" t="str">
        <f t="array" ref="K93">IF(A93&lt;&gt;" ", (VLOOKUP(A93, 'NSEBSE Code'!A:C, 2, FALSE)), " ")</f>
        <v>Pharma</v>
      </c>
      <c r="L93" s="23" t="str">
        <f t="array" ref="L93">IF(A93&lt;&gt;" ", (VLOOKUP(A93, 'NSEBSE Code'!A:C, 3, FALSE)), " ")</f>
        <v>APLLTD</v>
      </c>
      <c r="M93" s="23" t="str">
        <f t="array" ref="M93">IF(F93 &gt; 0.3, "Yes", "No")</f>
        <v>Yes</v>
      </c>
      <c r="N93" s="19" t="str">
        <f t="array" ref="N93">IF(H93 &lt;0.3, "Yes", "No")</f>
        <v>Yes</v>
      </c>
      <c r="O93" s="19" t="str">
        <f t="array" ref="O93">IF(AND(D93&lt;65, M93="No",N93="No"), "Good Stock", " ")</f>
        <v> </v>
      </c>
      <c r="P93" s="19" t="str">
        <f t="array" ref="P93">IF(B93 &gt;= $Q$2 * 0.6, "Large Cap Stocks", IF(B93 &gt;= $Q$2 * 0.4, "Medium Cap Stocks", "Low Cap Stocks"))</f>
        <v>Low Cap Stocks</v>
      </c>
    </row>
    <row r="94">
      <c r="A94" s="19" t="str">
        <f>IFERROR(__xludf.DUMMYFUNCTION("""COMPUTED_VALUE"""),"Finolex Industries")</f>
        <v>Finolex Industries</v>
      </c>
      <c r="B94" s="21">
        <f>IFERROR(__xludf.DUMMYFUNCTION("""COMPUTED_VALUE"""),10644.74)</f>
        <v>10644.74</v>
      </c>
      <c r="C94" s="19">
        <f>IFERROR(__xludf.DUMMYFUNCTION("""COMPUTED_VALUE"""),173.0)</f>
        <v>173</v>
      </c>
      <c r="D94" s="19">
        <f>IFERROR(__xludf.DUMMYFUNCTION("""COMPUTED_VALUE"""),15.85)</f>
        <v>15.85</v>
      </c>
      <c r="E94" s="19">
        <f>IFERROR(__xludf.DUMMYFUNCTION("""COMPUTED_VALUE"""),204.5)</f>
        <v>204.5</v>
      </c>
      <c r="F94" s="22">
        <f>IFERROR(__xludf.DUMMYFUNCTION("""COMPUTED_VALUE"""),0.15403422982885084)</f>
        <v>0.1540342298</v>
      </c>
      <c r="G94" s="19">
        <f>IFERROR(__xludf.DUMMYFUNCTION("""COMPUTED_VALUE"""),128.0)</f>
        <v>128</v>
      </c>
      <c r="H94" s="22">
        <f>IFERROR(__xludf.DUMMYFUNCTION("""COMPUTED_VALUE"""),0.3515625)</f>
        <v>0.3515625</v>
      </c>
      <c r="I94" s="19">
        <f>IFERROR(__xludf.DUMMYFUNCTION("""COMPUTED_VALUE"""),170.9)</f>
        <v>170.9</v>
      </c>
      <c r="J94" s="22">
        <f>IFERROR(__xludf.DUMMYFUNCTION("""COMPUTED_VALUE"""),0.012287887653598561)</f>
        <v>0.01228788765</v>
      </c>
      <c r="K94" s="23" t="str">
        <f t="array" ref="K94">IF(A94&lt;&gt;" ", (VLOOKUP(A94, 'NSEBSE Code'!A:C, 2, FALSE)), " ")</f>
        <v>Piping</v>
      </c>
      <c r="L94" s="23" t="str">
        <f t="array" ref="L94">IF(A94&lt;&gt;" ", (VLOOKUP(A94, 'NSEBSE Code'!A:C, 3, FALSE)), " ")</f>
        <v>BOM:500940</v>
      </c>
      <c r="M94" s="23" t="str">
        <f t="array" ref="M94">IF(F94 &gt; 0.3, "Yes", "No")</f>
        <v>No</v>
      </c>
      <c r="N94" s="19" t="str">
        <f t="array" ref="N94">IF(H94 &lt;0.3, "Yes", "No")</f>
        <v>No</v>
      </c>
      <c r="O94" s="19" t="str">
        <f t="array" ref="O94">IF(AND(D94&lt;65, M94="No",N94="No"), "Good Stock", " ")</f>
        <v>Good Stock</v>
      </c>
      <c r="P94" s="19" t="str">
        <f t="array" ref="P94">IF(B94 &gt;= $Q$2 * 0.6, "Large Cap Stocks", IF(B94 &gt;= $Q$2 * 0.4, "Medium Cap Stocks", "Low Cap Stocks"))</f>
        <v>Low Cap Stocks</v>
      </c>
    </row>
    <row r="95">
      <c r="A95" s="19" t="str">
        <f>IFERROR(__xludf.DUMMYFUNCTION("""COMPUTED_VALUE"""),"Mannapuran Finance")</f>
        <v>Mannapuran Finance</v>
      </c>
      <c r="B95" s="21">
        <f>IFERROR(__xludf.DUMMYFUNCTION("""COMPUTED_VALUE"""),10287.9254057)</f>
        <v>10287.92541</v>
      </c>
      <c r="C95" s="19">
        <f>IFERROR(__xludf.DUMMYFUNCTION("""COMPUTED_VALUE"""),121.55)</f>
        <v>121.55</v>
      </c>
      <c r="D95" s="19">
        <f>IFERROR(__xludf.DUMMYFUNCTION("""COMPUTED_VALUE"""),8.7)</f>
        <v>8.7</v>
      </c>
      <c r="E95" s="19">
        <f>IFERROR(__xludf.DUMMYFUNCTION("""COMPUTED_VALUE"""),173.75)</f>
        <v>173.75</v>
      </c>
      <c r="F95" s="22">
        <f>IFERROR(__xludf.DUMMYFUNCTION("""COMPUTED_VALUE"""),0.300431654676259)</f>
        <v>0.3004316547</v>
      </c>
      <c r="G95" s="19">
        <f>IFERROR(__xludf.DUMMYFUNCTION("""COMPUTED_VALUE"""),81.5)</f>
        <v>81.5</v>
      </c>
      <c r="H95" s="22">
        <f>IFERROR(__xludf.DUMMYFUNCTION("""COMPUTED_VALUE"""),0.4914110429447852)</f>
        <v>0.4914110429</v>
      </c>
      <c r="I95" s="19">
        <f>IFERROR(__xludf.DUMMYFUNCTION("""COMPUTED_VALUE"""),120.15)</f>
        <v>120.15</v>
      </c>
      <c r="J95" s="22">
        <f>IFERROR(__xludf.DUMMYFUNCTION("""COMPUTED_VALUE"""),0.011652101539741918)</f>
        <v>0.01165210154</v>
      </c>
      <c r="K95" s="23" t="str">
        <f t="array" ref="K95">IF(A95&lt;&gt;" ", (VLOOKUP(A95, 'NSEBSE Code'!A:C, 2, FALSE)), " ")</f>
        <v>NBFC</v>
      </c>
      <c r="L95" s="23" t="str">
        <f t="array" ref="L95">IF(A95&lt;&gt;" ", (VLOOKUP(A95, 'NSEBSE Code'!A:C, 3, FALSE)), " ")</f>
        <v>MANAPPURAM</v>
      </c>
      <c r="M95" s="23" t="str">
        <f t="array" ref="M95">IF(F95 &gt; 0.3, "Yes", "No")</f>
        <v>Yes</v>
      </c>
      <c r="N95" s="19" t="str">
        <f t="array" ref="N95">IF(H95 &lt;0.3, "Yes", "No")</f>
        <v>No</v>
      </c>
      <c r="O95" s="19" t="str">
        <f t="array" ref="O95">IF(AND(D95&lt;65, M95="No",N95="No"), "Good Stock", " ")</f>
        <v> </v>
      </c>
      <c r="P95" s="19" t="str">
        <f t="array" ref="P95">IF(B95 &gt;= $Q$2 * 0.6, "Large Cap Stocks", IF(B95 &gt;= $Q$2 * 0.4, "Medium Cap Stocks", "Low Cap Stocks"))</f>
        <v>Low Cap Stocks</v>
      </c>
    </row>
    <row r="96">
      <c r="A96" s="19" t="str">
        <f>IFERROR(__xludf.DUMMYFUNCTION("""COMPUTED_VALUE"""),"UTI AMC")</f>
        <v>UTI AMC</v>
      </c>
      <c r="B96" s="21">
        <f>IFERROR(__xludf.DUMMYFUNCTION("""COMPUTED_VALUE"""),10284.2865)</f>
        <v>10284.2865</v>
      </c>
      <c r="C96" s="19">
        <f>IFERROR(__xludf.DUMMYFUNCTION("""COMPUTED_VALUE"""),807.2)</f>
        <v>807.2</v>
      </c>
      <c r="D96" s="19">
        <f>IFERROR(__xludf.DUMMYFUNCTION("""COMPUTED_VALUE"""),21.59)</f>
        <v>21.59</v>
      </c>
      <c r="E96" s="19">
        <f>IFERROR(__xludf.DUMMYFUNCTION("""COMPUTED_VALUE"""),1096.05)</f>
        <v>1096.05</v>
      </c>
      <c r="F96" s="22">
        <f>IFERROR(__xludf.DUMMYFUNCTION("""COMPUTED_VALUE"""),0.263537247388349)</f>
        <v>0.2635372474</v>
      </c>
      <c r="G96" s="19">
        <f>IFERROR(__xludf.DUMMYFUNCTION("""COMPUTED_VALUE"""),595.0)</f>
        <v>595</v>
      </c>
      <c r="H96" s="22">
        <f>IFERROR(__xludf.DUMMYFUNCTION("""COMPUTED_VALUE"""),0.35663865546218493)</f>
        <v>0.3566386555</v>
      </c>
      <c r="I96" s="19">
        <f>IFERROR(__xludf.DUMMYFUNCTION("""COMPUTED_VALUE"""),812.9)</f>
        <v>812.9</v>
      </c>
      <c r="J96" s="22">
        <f>IFERROR(__xludf.DUMMYFUNCTION("""COMPUTED_VALUE"""),-0.007011932587033992)</f>
        <v>-0.007011932587</v>
      </c>
      <c r="K96" s="23" t="str">
        <f t="array" ref="K96">IF(A96&lt;&gt;" ", (VLOOKUP(A96, 'NSEBSE Code'!A:C, 2, FALSE)), " ")</f>
        <v>AMC</v>
      </c>
      <c r="L96" s="23" t="str">
        <f t="array" ref="L96">IF(A96&lt;&gt;" ", (VLOOKUP(A96, 'NSEBSE Code'!A:C, 3, FALSE)), " ")</f>
        <v>BOM:543238</v>
      </c>
      <c r="M96" s="23" t="str">
        <f t="array" ref="M96">IF(F96 &gt; 0.3, "Yes", "No")</f>
        <v>No</v>
      </c>
      <c r="N96" s="19" t="str">
        <f t="array" ref="N96">IF(H96 &lt;0.3, "Yes", "No")</f>
        <v>No</v>
      </c>
      <c r="O96" s="19" t="str">
        <f t="array" ref="O96">IF(AND(D96&lt;65, M96="No",N96="No"), "Good Stock", " ")</f>
        <v>Good Stock</v>
      </c>
      <c r="P96" s="19" t="str">
        <f t="array" ref="P96">IF(B96 &gt;= $Q$2 * 0.6, "Large Cap Stocks", IF(B96 &gt;= $Q$2 * 0.4, "Medium Cap Stocks", "Low Cap Stocks"))</f>
        <v>Low Cap Stocks</v>
      </c>
    </row>
    <row r="97">
      <c r="A97" s="19" t="str">
        <f>IFERROR(__xludf.DUMMYFUNCTION("""COMPUTED_VALUE"""),"HFCL")</f>
        <v>HFCL</v>
      </c>
      <c r="B97" s="21">
        <f>IFERROR(__xludf.DUMMYFUNCTION("""COMPUTED_VALUE"""),10126.79307)</f>
        <v>10126.79307</v>
      </c>
      <c r="C97" s="19">
        <f>IFERROR(__xludf.DUMMYFUNCTION("""COMPUTED_VALUE"""),73.6)</f>
        <v>73.6</v>
      </c>
      <c r="D97" s="19">
        <f>IFERROR(__xludf.DUMMYFUNCTION("""COMPUTED_VALUE"""),36.15)</f>
        <v>36.15</v>
      </c>
      <c r="E97" s="19">
        <f>IFERROR(__xludf.DUMMYFUNCTION("""COMPUTED_VALUE"""),101.35)</f>
        <v>101.35</v>
      </c>
      <c r="F97" s="22">
        <f>IFERROR(__xludf.DUMMYFUNCTION("""COMPUTED_VALUE"""),0.2738036507153429)</f>
        <v>0.2738036507</v>
      </c>
      <c r="G97" s="19">
        <f>IFERROR(__xludf.DUMMYFUNCTION("""COMPUTED_VALUE"""),51.55)</f>
        <v>51.55</v>
      </c>
      <c r="H97" s="22">
        <f>IFERROR(__xludf.DUMMYFUNCTION("""COMPUTED_VALUE"""),0.42774005819592625)</f>
        <v>0.4277400582</v>
      </c>
      <c r="I97" s="19">
        <f>IFERROR(__xludf.DUMMYFUNCTION("""COMPUTED_VALUE"""),72.4)</f>
        <v>72.4</v>
      </c>
      <c r="J97" s="22">
        <f>IFERROR(__xludf.DUMMYFUNCTION("""COMPUTED_VALUE"""),0.01657458563535896)</f>
        <v>0.01657458564</v>
      </c>
      <c r="K97" s="23" t="str">
        <f t="array" ref="K97">IF(A97&lt;&gt;" ", (VLOOKUP(A97, 'NSEBSE Code'!A:C, 2, FALSE)), " ")</f>
        <v>Telecom</v>
      </c>
      <c r="L97" s="23" t="str">
        <f t="array" ref="L97">IF(A97&lt;&gt;" ", (VLOOKUP(A97, 'NSEBSE Code'!A:C, 3, FALSE)), " ")</f>
        <v>BOM:500183</v>
      </c>
      <c r="M97" s="23" t="str">
        <f t="array" ref="M97">IF(F97 &gt; 0.3, "Yes", "No")</f>
        <v>No</v>
      </c>
      <c r="N97" s="19" t="str">
        <f t="array" ref="N97">IF(H97 &lt;0.3, "Yes", "No")</f>
        <v>No</v>
      </c>
      <c r="O97" s="19" t="str">
        <f t="array" ref="O97">IF(AND(D97&lt;65, M97="No",N97="No"), "Good Stock", " ")</f>
        <v>Good Stock</v>
      </c>
      <c r="P97" s="19" t="str">
        <f t="array" ref="P97">IF(B97 &gt;= $Q$2 * 0.6, "Large Cap Stocks", IF(B97 &gt;= $Q$2 * 0.4, "Medium Cap Stocks", "Low Cap Stocks"))</f>
        <v>Low Cap Stocks</v>
      </c>
    </row>
    <row r="98">
      <c r="A98" s="19" t="str">
        <f>IFERROR(__xludf.DUMMYFUNCTION("""COMPUTED_VALUE"""),"Tanla Platform")</f>
        <v>Tanla Platform</v>
      </c>
      <c r="B98" s="21">
        <f>IFERROR(__xludf.DUMMYFUNCTION("""COMPUTED_VALUE"""),9951.4177429)</f>
        <v>9951.417743</v>
      </c>
      <c r="C98" s="19">
        <f>IFERROR(__xludf.DUMMYFUNCTION("""COMPUTED_VALUE"""),731.9)</f>
        <v>731.9</v>
      </c>
      <c r="D98" s="19">
        <f>IFERROR(__xludf.DUMMYFUNCTION("""COMPUTED_VALUE"""),19.49)</f>
        <v>19.49</v>
      </c>
      <c r="E98" s="19">
        <f>IFERROR(__xludf.DUMMYFUNCTION("""COMPUTED_VALUE"""),2094.4)</f>
        <v>2094.4</v>
      </c>
      <c r="F98" s="22">
        <f>IFERROR(__xludf.DUMMYFUNCTION("""COMPUTED_VALUE"""),0.6505443086325439)</f>
        <v>0.6505443086</v>
      </c>
      <c r="G98" s="19">
        <f>IFERROR(__xludf.DUMMYFUNCTION("""COMPUTED_VALUE"""),584.8)</f>
        <v>584.8</v>
      </c>
      <c r="H98" s="22">
        <f>IFERROR(__xludf.DUMMYFUNCTION("""COMPUTED_VALUE"""),0.25153898768809857)</f>
        <v>0.2515389877</v>
      </c>
      <c r="I98" s="19">
        <f>IFERROR(__xludf.DUMMYFUNCTION("""COMPUTED_VALUE"""),724.3)</f>
        <v>724.3</v>
      </c>
      <c r="J98" s="22">
        <f>IFERROR(__xludf.DUMMYFUNCTION("""COMPUTED_VALUE"""),0.010492889686593985)</f>
        <v>0.01049288969</v>
      </c>
      <c r="K98" s="23" t="str">
        <f t="array" ref="K98">IF(A98&lt;&gt;" ", (VLOOKUP(A98, 'NSEBSE Code'!A:C, 2, FALSE)), " ")</f>
        <v>Technology</v>
      </c>
      <c r="L98" s="23" t="str">
        <f t="array" ref="L98">IF(A98&lt;&gt;" ", (VLOOKUP(A98, 'NSEBSE Code'!A:C, 3, FALSE)), " ")</f>
        <v>BOM:532790</v>
      </c>
      <c r="M98" s="23" t="str">
        <f t="array" ref="M98">IF(F98 &gt; 0.3, "Yes", "No")</f>
        <v>Yes</v>
      </c>
      <c r="N98" s="19" t="str">
        <f t="array" ref="N98">IF(H98 &lt;0.3, "Yes", "No")</f>
        <v>Yes</v>
      </c>
      <c r="O98" s="19" t="str">
        <f t="array" ref="O98">IF(AND(D98&lt;65, M98="No",N98="No"), "Good Stock", " ")</f>
        <v> </v>
      </c>
      <c r="P98" s="19" t="str">
        <f t="array" ref="P98">IF(B98 &gt;= $Q$2 * 0.6, "Large Cap Stocks", IF(B98 &gt;= $Q$2 * 0.4, "Medium Cap Stocks", "Low Cap Stocks"))</f>
        <v>Low Cap Stocks</v>
      </c>
    </row>
    <row r="99">
      <c r="A99" s="19" t="str">
        <f>IFERROR(__xludf.DUMMYFUNCTION("""COMPUTED_VALUE"""),"Amara Raja Batter")</f>
        <v>Amara Raja Batter</v>
      </c>
      <c r="B99" s="21">
        <f>IFERROR(__xludf.DUMMYFUNCTION("""COMPUTED_VALUE"""),9847.33486)</f>
        <v>9847.33486</v>
      </c>
      <c r="C99" s="19">
        <f>IFERROR(__xludf.DUMMYFUNCTION("""COMPUTED_VALUE"""),576.5)</f>
        <v>576.5</v>
      </c>
      <c r="D99" s="19">
        <f>IFERROR(__xludf.DUMMYFUNCTION("""COMPUTED_VALUE"""),17.05)</f>
        <v>17.05</v>
      </c>
      <c r="E99" s="19">
        <f>IFERROR(__xludf.DUMMYFUNCTION("""COMPUTED_VALUE"""),668.15)</f>
        <v>668.15</v>
      </c>
      <c r="F99" s="22">
        <f>IFERROR(__xludf.DUMMYFUNCTION("""COMPUTED_VALUE"""),0.13716979720122724)</f>
        <v>0.1371697972</v>
      </c>
      <c r="G99" s="19">
        <f>IFERROR(__xludf.DUMMYFUNCTION("""COMPUTED_VALUE"""),438.05)</f>
        <v>438.05</v>
      </c>
      <c r="H99" s="22">
        <f>IFERROR(__xludf.DUMMYFUNCTION("""COMPUTED_VALUE"""),0.31605981052391274)</f>
        <v>0.3160598105</v>
      </c>
      <c r="I99" s="19">
        <f>IFERROR(__xludf.DUMMYFUNCTION("""COMPUTED_VALUE"""),590.95)</f>
        <v>590.95</v>
      </c>
      <c r="J99" s="22">
        <f>IFERROR(__xludf.DUMMYFUNCTION("""COMPUTED_VALUE"""),-0.02445215331246306)</f>
        <v>-0.02445215331</v>
      </c>
      <c r="K99" s="23" t="str">
        <f t="array" ref="K99">IF(A99&lt;&gt;" ", (VLOOKUP(A99, 'NSEBSE Code'!A:C, 2, FALSE)), " ")</f>
        <v>Automobile Ancilliary</v>
      </c>
      <c r="L99" s="23" t="str">
        <f t="array" ref="L99">IF(A99&lt;&gt;" ", (VLOOKUP(A99, 'NSEBSE Code'!A:C, 3, FALSE)), " ")</f>
        <v>AMARAJABAT</v>
      </c>
      <c r="M99" s="23" t="str">
        <f t="array" ref="M99">IF(F99 &gt; 0.3, "Yes", "No")</f>
        <v>No</v>
      </c>
      <c r="N99" s="19" t="str">
        <f t="array" ref="N99">IF(H99 &lt;0.3, "Yes", "No")</f>
        <v>No</v>
      </c>
      <c r="O99" s="19" t="str">
        <f t="array" ref="O99">IF(AND(D99&lt;65, M99="No",N99="No"), "Good Stock", " ")</f>
        <v>Good Stock</v>
      </c>
      <c r="P99" s="19" t="str">
        <f t="array" ref="P99">IF(B99 &gt;= $Q$2 * 0.6, "Large Cap Stocks", IF(B99 &gt;= $Q$2 * 0.4, "Medium Cap Stocks", "Low Cap Stocks"))</f>
        <v>Low Cap Stocks</v>
      </c>
    </row>
    <row r="100">
      <c r="A100" s="19" t="str">
        <f>IFERROR(__xludf.DUMMYFUNCTION("""COMPUTED_VALUE"""),"Astrazeneca")</f>
        <v>Astrazeneca</v>
      </c>
      <c r="B100" s="21">
        <f>IFERROR(__xludf.DUMMYFUNCTION("""COMPUTED_VALUE"""),8815.8228535)</f>
        <v>8815.822854</v>
      </c>
      <c r="C100" s="19">
        <f>IFERROR(__xludf.DUMMYFUNCTION("""COMPUTED_VALUE"""),3515.05)</f>
        <v>3515.05</v>
      </c>
      <c r="D100" s="19">
        <f>IFERROR(__xludf.DUMMYFUNCTION("""COMPUTED_VALUE"""),95.35)</f>
        <v>95.35</v>
      </c>
      <c r="E100" s="19">
        <f>IFERROR(__xludf.DUMMYFUNCTION("""COMPUTED_VALUE"""),3619.7)</f>
        <v>3619.7</v>
      </c>
      <c r="F100" s="22">
        <f>IFERROR(__xludf.DUMMYFUNCTION("""COMPUTED_VALUE"""),0.028911235737768225)</f>
        <v>0.02891123574</v>
      </c>
      <c r="G100" s="19">
        <f>IFERROR(__xludf.DUMMYFUNCTION("""COMPUTED_VALUE"""),2437.75)</f>
        <v>2437.75</v>
      </c>
      <c r="H100" s="22">
        <f>IFERROR(__xludf.DUMMYFUNCTION("""COMPUTED_VALUE"""),0.44192390524048825)</f>
        <v>0.4419239052</v>
      </c>
      <c r="I100" s="19">
        <f>IFERROR(__xludf.DUMMYFUNCTION("""COMPUTED_VALUE"""),3443.4)</f>
        <v>3443.4</v>
      </c>
      <c r="J100" s="22">
        <f>IFERROR(__xludf.DUMMYFUNCTION("""COMPUTED_VALUE"""),0.020807922402276847)</f>
        <v>0.0208079224</v>
      </c>
      <c r="K100" s="23" t="str">
        <f t="array" ref="K100">IF(A100&lt;&gt;" ", (VLOOKUP(A100, 'NSEBSE Code'!A:C, 2, FALSE)), " ")</f>
        <v>Pharma</v>
      </c>
      <c r="L100" s="23" t="str">
        <f t="array" ref="L100">IF(A100&lt;&gt;" ", (VLOOKUP(A100, 'NSEBSE Code'!A:C, 3, FALSE)), " ")</f>
        <v>BOM:506820</v>
      </c>
      <c r="M100" s="23" t="str">
        <f t="array" ref="M100">IF(F100 &gt; 0.3, "Yes", "No")</f>
        <v>No</v>
      </c>
      <c r="N100" s="19" t="str">
        <f t="array" ref="N100">IF(H100 &lt;0.3, "Yes", "No")</f>
        <v>No</v>
      </c>
      <c r="O100" s="19" t="str">
        <f t="array" ref="O100">IF(AND(D100&lt;65, M100="No",N100="No"), "Good Stock", " ")</f>
        <v> </v>
      </c>
      <c r="P100" s="19" t="str">
        <f t="array" ref="P100">IF(B100 &gt;= $Q$2 * 0.6, "Large Cap Stocks", IF(B100 &gt;= $Q$2 * 0.4, "Medium Cap Stocks", "Low Cap Stocks"))</f>
        <v>Low Cap Stocks</v>
      </c>
    </row>
    <row r="101">
      <c r="A101" s="19" t="str">
        <f>IFERROR(__xludf.DUMMYFUNCTION("""COMPUTED_VALUE"""),"Poly Medicure Ltd")</f>
        <v>Poly Medicure Ltd</v>
      </c>
      <c r="B101" s="21">
        <f>IFERROR(__xludf.DUMMYFUNCTION("""COMPUTED_VALUE"""),8584.669055)</f>
        <v>8584.669055</v>
      </c>
      <c r="C101" s="19">
        <f>IFERROR(__xludf.DUMMYFUNCTION("""COMPUTED_VALUE"""),891.5)</f>
        <v>891.5</v>
      </c>
      <c r="D101" s="19">
        <f>IFERROR(__xludf.DUMMYFUNCTION("""COMPUTED_VALUE"""),61.12)</f>
        <v>61.12</v>
      </c>
      <c r="E101" s="19">
        <f>IFERROR(__xludf.DUMMYFUNCTION("""COMPUTED_VALUE"""),1044.4)</f>
        <v>1044.4</v>
      </c>
      <c r="F101" s="22">
        <f>IFERROR(__xludf.DUMMYFUNCTION("""COMPUTED_VALUE"""),0.14639984680199164)</f>
        <v>0.1463998468</v>
      </c>
      <c r="G101" s="19">
        <f>IFERROR(__xludf.DUMMYFUNCTION("""COMPUTED_VALUE"""),652.3)</f>
        <v>652.3</v>
      </c>
      <c r="H101" s="22">
        <f>IFERROR(__xludf.DUMMYFUNCTION("""COMPUTED_VALUE"""),0.36670243752874454)</f>
        <v>0.3667024375</v>
      </c>
      <c r="I101" s="19">
        <f>IFERROR(__xludf.DUMMYFUNCTION("""COMPUTED_VALUE"""),897.9)</f>
        <v>897.9</v>
      </c>
      <c r="J101" s="22">
        <f>IFERROR(__xludf.DUMMYFUNCTION("""COMPUTED_VALUE"""),-0.00712774251030179)</f>
        <v>-0.00712774251</v>
      </c>
      <c r="K101" s="23" t="str">
        <f t="array" ref="K101">IF(A101&lt;&gt;" ", (VLOOKUP(A101, 'NSEBSE Code'!A:C, 2, FALSE)), " ")</f>
        <v>Healthcare</v>
      </c>
      <c r="L101" s="23" t="str">
        <f t="array" ref="L101">IF(A101&lt;&gt;" ", (VLOOKUP(A101, 'NSEBSE Code'!A:C, 3, FALSE)), " ")</f>
        <v>BOM:531768</v>
      </c>
      <c r="M101" s="23" t="str">
        <f t="array" ref="M101">IF(F101 &gt; 0.3, "Yes", "No")</f>
        <v>No</v>
      </c>
      <c r="N101" s="19" t="str">
        <f t="array" ref="N101">IF(H101 &lt;0.3, "Yes", "No")</f>
        <v>No</v>
      </c>
      <c r="O101" s="19" t="str">
        <f t="array" ref="O101">IF(AND(D101&lt;65, M101="No",N101="No"), "Good Stock", " ")</f>
        <v>Good Stock</v>
      </c>
      <c r="P101" s="19" t="str">
        <f t="array" ref="P101">IF(B101 &gt;= $Q$2 * 0.6, "Large Cap Stocks", IF(B101 &gt;= $Q$2 * 0.4, "Medium Cap Stocks", "Low Cap Stocks"))</f>
        <v>Low Cap Stocks</v>
      </c>
    </row>
    <row r="102">
      <c r="A102" s="19" t="str">
        <f>IFERROR(__xludf.DUMMYFUNCTION("""COMPUTED_VALUE"""),"Mahangar Gas")</f>
        <v>Mahangar Gas</v>
      </c>
      <c r="B102" s="21">
        <f>IFERROR(__xludf.DUMMYFUNCTION("""COMPUTED_VALUE"""),8445.006)</f>
        <v>8445.006</v>
      </c>
      <c r="C102" s="19">
        <f>IFERROR(__xludf.DUMMYFUNCTION("""COMPUTED_VALUE"""),853.05)</f>
        <v>853.05</v>
      </c>
      <c r="D102" s="19">
        <f>IFERROR(__xludf.DUMMYFUNCTION("""COMPUTED_VALUE"""),15.67)</f>
        <v>15.67</v>
      </c>
      <c r="E102" s="19">
        <f>IFERROR(__xludf.DUMMYFUNCTION("""COMPUTED_VALUE"""),925.0)</f>
        <v>925</v>
      </c>
      <c r="F102" s="22">
        <f>IFERROR(__xludf.DUMMYFUNCTION("""COMPUTED_VALUE"""),0.07778378378378384)</f>
        <v>0.07778378378</v>
      </c>
      <c r="G102" s="19">
        <f>IFERROR(__xludf.DUMMYFUNCTION("""COMPUTED_VALUE"""),666.35)</f>
        <v>666.35</v>
      </c>
      <c r="H102" s="22">
        <f>IFERROR(__xludf.DUMMYFUNCTION("""COMPUTED_VALUE"""),0.2801830869663089)</f>
        <v>0.280183087</v>
      </c>
      <c r="I102" s="19">
        <f>IFERROR(__xludf.DUMMYFUNCTION("""COMPUTED_VALUE"""),862.5)</f>
        <v>862.5</v>
      </c>
      <c r="J102" s="22">
        <f>IFERROR(__xludf.DUMMYFUNCTION("""COMPUTED_VALUE"""),-0.010956521739130488)</f>
        <v>-0.01095652174</v>
      </c>
      <c r="K102" s="23" t="str">
        <f t="array" ref="K102">IF(A102&lt;&gt;" ", (VLOOKUP(A102, 'NSEBSE Code'!A:C, 2, FALSE)), " ")</f>
        <v>Utility</v>
      </c>
      <c r="L102" s="23" t="str">
        <f t="array" ref="L102">IF(A102&lt;&gt;" ", (VLOOKUP(A102, 'NSEBSE Code'!A:C, 3, FALSE)), " ")</f>
        <v>BOM:539957</v>
      </c>
      <c r="M102" s="23" t="str">
        <f t="array" ref="M102">IF(F102 &gt; 0.3, "Yes", "No")</f>
        <v>No</v>
      </c>
      <c r="N102" s="19" t="str">
        <f t="array" ref="N102">IF(H102 &lt;0.3, "Yes", "No")</f>
        <v>Yes</v>
      </c>
      <c r="O102" s="19" t="str">
        <f t="array" ref="O102">IF(AND(D102&lt;65, M102="No",N102="No"), "Good Stock", " ")</f>
        <v> </v>
      </c>
      <c r="P102" s="19" t="str">
        <f t="array" ref="P102">IF(B102 &gt;= $Q$2 * 0.6, "Large Cap Stocks", IF(B102 &gt;= $Q$2 * 0.4, "Medium Cap Stocks", "Low Cap Stocks"))</f>
        <v>Low Cap Stocks</v>
      </c>
    </row>
    <row r="103">
      <c r="A103" s="19" t="str">
        <f>IFERROR(__xludf.DUMMYFUNCTION("""COMPUTED_VALUE"""),"Galaxy Surfactant")</f>
        <v>Galaxy Surfactant</v>
      </c>
      <c r="B103" s="21">
        <f>IFERROR(__xludf.DUMMYFUNCTION("""COMPUTED_VALUE"""),8341.1378051)</f>
        <v>8341.137805</v>
      </c>
      <c r="C103" s="19">
        <f>IFERROR(__xludf.DUMMYFUNCTION("""COMPUTED_VALUE"""),2358.0)</f>
        <v>2358</v>
      </c>
      <c r="D103" s="19">
        <f>IFERROR(__xludf.DUMMYFUNCTION("""COMPUTED_VALUE"""),25.47)</f>
        <v>25.47</v>
      </c>
      <c r="E103" s="19">
        <f>IFERROR(__xludf.DUMMYFUNCTION("""COMPUTED_VALUE"""),3447.55)</f>
        <v>3447.55</v>
      </c>
      <c r="F103" s="22">
        <f>IFERROR(__xludf.DUMMYFUNCTION("""COMPUTED_VALUE"""),0.31603602558338534)</f>
        <v>0.3160360256</v>
      </c>
      <c r="G103" s="19">
        <f>IFERROR(__xludf.DUMMYFUNCTION("""COMPUTED_VALUE"""),2310.1)</f>
        <v>2310.1</v>
      </c>
      <c r="H103" s="22">
        <f>IFERROR(__xludf.DUMMYFUNCTION("""COMPUTED_VALUE"""),0.020735033115449587)</f>
        <v>0.02073503312</v>
      </c>
      <c r="I103" s="19">
        <f>IFERROR(__xludf.DUMMYFUNCTION("""COMPUTED_VALUE"""),2340.5)</f>
        <v>2340.5</v>
      </c>
      <c r="J103" s="22">
        <f>IFERROR(__xludf.DUMMYFUNCTION("""COMPUTED_VALUE"""),0.007477034821619312)</f>
        <v>0.007477034822</v>
      </c>
      <c r="K103" s="23" t="str">
        <f t="array" ref="K103">IF(A103&lt;&gt;" ", (VLOOKUP(A103, 'NSEBSE Code'!A:C, 2, FALSE)), " ")</f>
        <v>Chemical</v>
      </c>
      <c r="L103" s="23" t="str">
        <f t="array" ref="L103">IF(A103&lt;&gt;" ", (VLOOKUP(A103, 'NSEBSE Code'!A:C, 3, FALSE)), " ")</f>
        <v>GALAXYSURF</v>
      </c>
      <c r="M103" s="23" t="str">
        <f t="array" ref="M103">IF(F103 &gt; 0.3, "Yes", "No")</f>
        <v>Yes</v>
      </c>
      <c r="N103" s="19" t="str">
        <f t="array" ref="N103">IF(H103 &lt;0.3, "Yes", "No")</f>
        <v>Yes</v>
      </c>
      <c r="O103" s="19" t="str">
        <f t="array" ref="O103">IF(AND(D103&lt;65, M103="No",N103="No"), "Good Stock", " ")</f>
        <v> </v>
      </c>
      <c r="P103" s="19" t="str">
        <f t="array" ref="P103">IF(B103 &gt;= $Q$2 * 0.6, "Large Cap Stocks", IF(B103 &gt;= $Q$2 * 0.4, "Medium Cap Stocks", "Low Cap Stocks"))</f>
        <v>Low Cap Stocks</v>
      </c>
    </row>
    <row r="104">
      <c r="A104" s="19" t="str">
        <f>IFERROR(__xludf.DUMMYFUNCTION("""COMPUTED_VALUE"""),"Balaji Amine")</f>
        <v>Balaji Amine</v>
      </c>
      <c r="B104" s="21">
        <f>IFERROR(__xludf.DUMMYFUNCTION("""COMPUTED_VALUE"""),8293.1763762)</f>
        <v>8293.176376</v>
      </c>
      <c r="C104" s="19">
        <f>IFERROR(__xludf.DUMMYFUNCTION("""COMPUTED_VALUE"""),2562.7)</f>
        <v>2562.7</v>
      </c>
      <c r="D104" s="19">
        <f>IFERROR(__xludf.DUMMYFUNCTION("""COMPUTED_VALUE"""),20.06)</f>
        <v>20.06</v>
      </c>
      <c r="E104" s="19">
        <f>IFERROR(__xludf.DUMMYFUNCTION("""COMPUTED_VALUE"""),3841.85)</f>
        <v>3841.85</v>
      </c>
      <c r="F104" s="22">
        <f>IFERROR(__xludf.DUMMYFUNCTION("""COMPUTED_VALUE"""),0.3329515728099744)</f>
        <v>0.3329515728</v>
      </c>
      <c r="G104" s="19">
        <f>IFERROR(__xludf.DUMMYFUNCTION("""COMPUTED_VALUE"""),2530.0)</f>
        <v>2530</v>
      </c>
      <c r="H104" s="22">
        <f>IFERROR(__xludf.DUMMYFUNCTION("""COMPUTED_VALUE"""),0.01292490118577068)</f>
        <v>0.01292490119</v>
      </c>
      <c r="I104" s="19">
        <f>IFERROR(__xludf.DUMMYFUNCTION("""COMPUTED_VALUE"""),2557.4)</f>
        <v>2557.4</v>
      </c>
      <c r="J104" s="22">
        <f>IFERROR(__xludf.DUMMYFUNCTION("""COMPUTED_VALUE"""),0.0020724172988190064)</f>
        <v>0.002072417299</v>
      </c>
      <c r="K104" s="23" t="str">
        <f t="array" ref="K104">IF(A104&lt;&gt;" ", (VLOOKUP(A104, 'NSEBSE Code'!A:C, 2, FALSE)), " ")</f>
        <v>Chemical</v>
      </c>
      <c r="L104" s="23" t="str">
        <f t="array" ref="L104">IF(A104&lt;&gt;" ", (VLOOKUP(A104, 'NSEBSE Code'!A:C, 3, FALSE)), " ")</f>
        <v>BOM:530999</v>
      </c>
      <c r="M104" s="23" t="str">
        <f t="array" ref="M104">IF(F104 &gt; 0.3, "Yes", "No")</f>
        <v>Yes</v>
      </c>
      <c r="N104" s="19" t="str">
        <f t="array" ref="N104">IF(H104 &lt;0.3, "Yes", "No")</f>
        <v>Yes</v>
      </c>
      <c r="O104" s="19" t="str">
        <f t="array" ref="O104">IF(AND(D104&lt;65, M104="No",N104="No"), "Good Stock", " ")</f>
        <v> </v>
      </c>
      <c r="P104" s="19" t="str">
        <f t="array" ref="P104">IF(B104 &gt;= $Q$2 * 0.6, "Large Cap Stocks", IF(B104 &gt;= $Q$2 * 0.4, "Medium Cap Stocks", "Low Cap Stocks"))</f>
        <v>Low Cap Stocks</v>
      </c>
    </row>
    <row r="105">
      <c r="A105" s="19" t="str">
        <f>IFERROR(__xludf.DUMMYFUNCTION("""COMPUTED_VALUE"""),"Sonata Software")</f>
        <v>Sonata Software</v>
      </c>
      <c r="B105" s="21">
        <f>IFERROR(__xludf.DUMMYFUNCTION("""COMPUTED_VALUE"""),8104.163)</f>
        <v>8104.163</v>
      </c>
      <c r="C105" s="19">
        <f>IFERROR(__xludf.DUMMYFUNCTION("""COMPUTED_VALUE"""),582.0)</f>
        <v>582</v>
      </c>
      <c r="D105" s="19">
        <f>IFERROR(__xludf.DUMMYFUNCTION("""COMPUTED_VALUE"""),19.25)</f>
        <v>19.25</v>
      </c>
      <c r="E105" s="19">
        <f>IFERROR(__xludf.DUMMYFUNCTION("""COMPUTED_VALUE"""),694.5)</f>
        <v>694.5</v>
      </c>
      <c r="F105" s="22">
        <f>IFERROR(__xludf.DUMMYFUNCTION("""COMPUTED_VALUE"""),0.16198704103671707)</f>
        <v>0.161987041</v>
      </c>
      <c r="G105" s="19">
        <f>IFERROR(__xludf.DUMMYFUNCTION("""COMPUTED_VALUE"""),457.58)</f>
        <v>457.58</v>
      </c>
      <c r="H105" s="22">
        <f>IFERROR(__xludf.DUMMYFUNCTION("""COMPUTED_VALUE"""),0.2719087372699856)</f>
        <v>0.2719087373</v>
      </c>
      <c r="I105" s="19">
        <f>IFERROR(__xludf.DUMMYFUNCTION("""COMPUTED_VALUE"""),574.4)</f>
        <v>574.4</v>
      </c>
      <c r="J105" s="22">
        <f>IFERROR(__xludf.DUMMYFUNCTION("""COMPUTED_VALUE"""),0.013231197771587783)</f>
        <v>0.01323119777</v>
      </c>
      <c r="K105" s="23" t="str">
        <f t="array" ref="K105">IF(A105&lt;&gt;" ", (VLOOKUP(A105, 'NSEBSE Code'!A:C, 2, FALSE)), " ")</f>
        <v>IT-Software</v>
      </c>
      <c r="L105" s="23" t="str">
        <f t="array" ref="L105">IF(A105&lt;&gt;" ", (VLOOKUP(A105, 'NSEBSE Code'!A:C, 3, FALSE)), " ")</f>
        <v>SONATSOFTW</v>
      </c>
      <c r="M105" s="23" t="str">
        <f t="array" ref="M105">IF(F105 &gt; 0.3, "Yes", "No")</f>
        <v>No</v>
      </c>
      <c r="N105" s="19" t="str">
        <f t="array" ref="N105">IF(H105 &lt;0.3, "Yes", "No")</f>
        <v>Yes</v>
      </c>
      <c r="O105" s="19" t="str">
        <f t="array" ref="O105">IF(AND(D105&lt;65, M105="No",N105="No"), "Good Stock", " ")</f>
        <v> </v>
      </c>
      <c r="P105" s="19" t="str">
        <f t="array" ref="P105">IF(B105 &gt;= $Q$2 * 0.6, "Large Cap Stocks", IF(B105 &gt;= $Q$2 * 0.4, "Medium Cap Stocks", "Low Cap Stocks"))</f>
        <v>Low Cap Stocks</v>
      </c>
    </row>
    <row r="106">
      <c r="A106" s="19" t="str">
        <f>IFERROR(__xludf.DUMMYFUNCTION("""COMPUTED_VALUE"""),"Laxmi Orgamic")</f>
        <v>Laxmi Orgamic</v>
      </c>
      <c r="B106" s="21">
        <f>IFERROR(__xludf.DUMMYFUNCTION("""COMPUTED_VALUE"""),7672.4308321)</f>
        <v>7672.430832</v>
      </c>
      <c r="C106" s="19">
        <f>IFERROR(__xludf.DUMMYFUNCTION("""COMPUTED_VALUE"""),289.4)</f>
        <v>289.4</v>
      </c>
      <c r="D106" s="19">
        <f>IFERROR(__xludf.DUMMYFUNCTION("""COMPUTED_VALUE"""),36.41)</f>
        <v>36.41</v>
      </c>
      <c r="E106" s="19">
        <f>IFERROR(__xludf.DUMMYFUNCTION("""COMPUTED_VALUE"""),501.6)</f>
        <v>501.6</v>
      </c>
      <c r="F106" s="22">
        <f>IFERROR(__xludf.DUMMYFUNCTION("""COMPUTED_VALUE"""),0.4230462519936205)</f>
        <v>0.423046252</v>
      </c>
      <c r="G106" s="19">
        <f>IFERROR(__xludf.DUMMYFUNCTION("""COMPUTED_VALUE"""),274.35)</f>
        <v>274.35</v>
      </c>
      <c r="H106" s="22">
        <f>IFERROR(__xludf.DUMMYFUNCTION("""COMPUTED_VALUE"""),0.05485693457262604)</f>
        <v>0.05485693457</v>
      </c>
      <c r="I106" s="19">
        <f>IFERROR(__xludf.DUMMYFUNCTION("""COMPUTED_VALUE"""),289.25)</f>
        <v>289.25</v>
      </c>
      <c r="J106" s="22">
        <f>IFERROR(__xludf.DUMMYFUNCTION("""COMPUTED_VALUE"""),5.185825410543726E-4)</f>
        <v>0.0005185825411</v>
      </c>
      <c r="K106" s="23" t="str">
        <f t="array" ref="K106">IF(A106&lt;&gt;" ", (VLOOKUP(A106, 'NSEBSE Code'!A:C, 2, FALSE)), " ")</f>
        <v>Chemical</v>
      </c>
      <c r="L106" s="23" t="str">
        <f t="array" ref="L106">IF(A106&lt;&gt;" ", (VLOOKUP(A106, 'NSEBSE Code'!A:C, 3, FALSE)), " ")</f>
        <v>BOM:543277</v>
      </c>
      <c r="M106" s="23" t="str">
        <f t="array" ref="M106">IF(F106 &gt; 0.3, "Yes", "No")</f>
        <v>Yes</v>
      </c>
      <c r="N106" s="19" t="str">
        <f t="array" ref="N106">IF(H106 &lt;0.3, "Yes", "No")</f>
        <v>Yes</v>
      </c>
      <c r="O106" s="19" t="str">
        <f t="array" ref="O106">IF(AND(D106&lt;65, M106="No",N106="No"), "Good Stock", " ")</f>
        <v> </v>
      </c>
      <c r="P106" s="19" t="str">
        <f t="array" ref="P106">IF(B106 &gt;= $Q$2 * 0.6, "Large Cap Stocks", IF(B106 &gt;= $Q$2 * 0.4, "Medium Cap Stocks", "Low Cap Stocks"))</f>
        <v>Low Cap Stocks</v>
      </c>
    </row>
    <row r="107">
      <c r="A107" s="19" t="str">
        <f>IFERROR(__xludf.DUMMYFUNCTION("""COMPUTED_VALUE"""),"Latent View")</f>
        <v>Latent View</v>
      </c>
      <c r="B107" s="21">
        <f>IFERROR(__xludf.DUMMYFUNCTION("""COMPUTED_VALUE"""),7452.986336)</f>
        <v>7452.986336</v>
      </c>
      <c r="C107" s="19">
        <f>IFERROR(__xludf.DUMMYFUNCTION("""COMPUTED_VALUE"""),367.25)</f>
        <v>367.25</v>
      </c>
      <c r="D107" s="19">
        <f>IFERROR(__xludf.DUMMYFUNCTION("""COMPUTED_VALUE"""),49.25)</f>
        <v>49.25</v>
      </c>
      <c r="E107" s="19">
        <f>IFERROR(__xludf.DUMMYFUNCTION("""COMPUTED_VALUE"""),617.4)</f>
        <v>617.4</v>
      </c>
      <c r="F107" s="22">
        <f>IFERROR(__xludf.DUMMYFUNCTION("""COMPUTED_VALUE"""),0.4051668286362164)</f>
        <v>0.4051668286</v>
      </c>
      <c r="G107" s="19">
        <f>IFERROR(__xludf.DUMMYFUNCTION("""COMPUTED_VALUE"""),305.25)</f>
        <v>305.25</v>
      </c>
      <c r="H107" s="22">
        <f>IFERROR(__xludf.DUMMYFUNCTION("""COMPUTED_VALUE"""),0.2031122031122031)</f>
        <v>0.2031122031</v>
      </c>
      <c r="I107" s="19">
        <f>IFERROR(__xludf.DUMMYFUNCTION("""COMPUTED_VALUE"""),368.4)</f>
        <v>368.4</v>
      </c>
      <c r="J107" s="22">
        <f>IFERROR(__xludf.DUMMYFUNCTION("""COMPUTED_VALUE"""),-0.003121606948968451)</f>
        <v>-0.003121606949</v>
      </c>
      <c r="K107" s="23" t="str">
        <f t="array" ref="K107">IF(A107&lt;&gt;" ", (VLOOKUP(A107, 'NSEBSE Code'!A:C, 2, FALSE)), " ")</f>
        <v>IT</v>
      </c>
      <c r="L107" s="23" t="str">
        <f t="array" ref="L107">IF(A107&lt;&gt;" ", (VLOOKUP(A107, 'NSEBSE Code'!A:C, 3, FALSE)), " ")</f>
        <v>BOM:543398</v>
      </c>
      <c r="M107" s="23" t="str">
        <f t="array" ref="M107">IF(F107 &gt; 0.3, "Yes", "No")</f>
        <v>Yes</v>
      </c>
      <c r="N107" s="19" t="str">
        <f t="array" ref="N107">IF(H107 &lt;0.3, "Yes", "No")</f>
        <v>Yes</v>
      </c>
      <c r="O107" s="19" t="str">
        <f t="array" ref="O107">IF(AND(D107&lt;65, M107="No",N107="No"), "Good Stock", " ")</f>
        <v> </v>
      </c>
      <c r="P107" s="19" t="str">
        <f t="array" ref="P107">IF(B107 &gt;= $Q$2 * 0.6, "Large Cap Stocks", IF(B107 &gt;= $Q$2 * 0.4, "Medium Cap Stocks", "Low Cap Stocks"))</f>
        <v>Low Cap Stocks</v>
      </c>
    </row>
    <row r="108">
      <c r="A108" s="19" t="str">
        <f>IFERROR(__xludf.DUMMYFUNCTION("""COMPUTED_VALUE"""),"ICICI Bank")</f>
        <v>ICICI Bank</v>
      </c>
      <c r="B108" s="21">
        <f>IFERROR(__xludf.DUMMYFUNCTION("""COMPUTED_VALUE"""),7451.4657292)</f>
        <v>7451.465729</v>
      </c>
      <c r="C108" s="19">
        <f>IFERROR(__xludf.DUMMYFUNCTION("""COMPUTED_VALUE"""),873.25)</f>
        <v>873.25</v>
      </c>
      <c r="D108" s="19">
        <f>IFERROR(__xludf.DUMMYFUNCTION("""COMPUTED_VALUE"""),20.88)</f>
        <v>20.88</v>
      </c>
      <c r="E108" s="19">
        <f>IFERROR(__xludf.DUMMYFUNCTION("""COMPUTED_VALUE"""),958.0)</f>
        <v>958</v>
      </c>
      <c r="F108" s="22">
        <f>IFERROR(__xludf.DUMMYFUNCTION("""COMPUTED_VALUE"""),0.08846555323590814)</f>
        <v>0.08846555324</v>
      </c>
      <c r="G108" s="19">
        <f>IFERROR(__xludf.DUMMYFUNCTION("""COMPUTED_VALUE"""),642.0)</f>
        <v>642</v>
      </c>
      <c r="H108" s="22">
        <f>IFERROR(__xludf.DUMMYFUNCTION("""COMPUTED_VALUE"""),0.36020249221183803)</f>
        <v>0.3602024922</v>
      </c>
      <c r="I108" s="19">
        <f>IFERROR(__xludf.DUMMYFUNCTION("""COMPUTED_VALUE"""),861.2)</f>
        <v>861.2</v>
      </c>
      <c r="J108" s="22">
        <f>IFERROR(__xludf.DUMMYFUNCTION("""COMPUTED_VALUE"""),0.013992104040873147)</f>
        <v>0.01399210404</v>
      </c>
      <c r="K108" s="23" t="str">
        <f t="array" ref="K108">IF(A108&lt;&gt;" ", (VLOOKUP(A108, 'NSEBSE Code'!A:C, 2, FALSE)), " ")</f>
        <v>Bank</v>
      </c>
      <c r="L108" s="23" t="str">
        <f t="array" ref="L108">IF(A108&lt;&gt;" ", (VLOOKUP(A108, 'NSEBSE Code'!A:C, 3, FALSE)), " ")</f>
        <v>BOM:532174</v>
      </c>
      <c r="M108" s="23" t="str">
        <f t="array" ref="M108">IF(F108 &gt; 0.3, "Yes", "No")</f>
        <v>No</v>
      </c>
      <c r="N108" s="19" t="str">
        <f t="array" ref="N108">IF(H108 &lt;0.3, "Yes", "No")</f>
        <v>No</v>
      </c>
      <c r="O108" s="19" t="str">
        <f t="array" ref="O108">IF(AND(D108&lt;65, M108="No",N108="No"), "Good Stock", " ")</f>
        <v>Good Stock</v>
      </c>
      <c r="P108" s="19" t="str">
        <f t="array" ref="P108">IF(B108 &gt;= $Q$2 * 0.6, "Large Cap Stocks", IF(B108 &gt;= $Q$2 * 0.4, "Medium Cap Stocks", "Low Cap Stocks"))</f>
        <v>Low Cap Stocks</v>
      </c>
    </row>
    <row r="109">
      <c r="A109" s="19" t="str">
        <f>IFERROR(__xludf.DUMMYFUNCTION("""COMPUTED_VALUE"""),"Route Mobile")</f>
        <v>Route Mobile</v>
      </c>
      <c r="B109" s="21">
        <f>IFERROR(__xludf.DUMMYFUNCTION("""COMPUTED_VALUE"""),7415.8287656)</f>
        <v>7415.828766</v>
      </c>
      <c r="C109" s="19">
        <f>IFERROR(__xludf.DUMMYFUNCTION("""COMPUTED_VALUE"""),1190.8)</f>
        <v>1190.8</v>
      </c>
      <c r="D109" s="19">
        <f>IFERROR(__xludf.DUMMYFUNCTION("""COMPUTED_VALUE"""),32.12)</f>
        <v>32.12</v>
      </c>
      <c r="E109" s="19">
        <f>IFERROR(__xludf.DUMMYFUNCTION("""COMPUTED_VALUE"""),1919.0)</f>
        <v>1919</v>
      </c>
      <c r="F109" s="22">
        <f>IFERROR(__xludf.DUMMYFUNCTION("""COMPUTED_VALUE"""),0.37946847316310583)</f>
        <v>0.3794684732</v>
      </c>
      <c r="G109" s="19">
        <f>IFERROR(__xludf.DUMMYFUNCTION("""COMPUTED_VALUE"""),1052.6)</f>
        <v>1052.6</v>
      </c>
      <c r="H109" s="22">
        <f>IFERROR(__xludf.DUMMYFUNCTION("""COMPUTED_VALUE"""),0.1312939388181646)</f>
        <v>0.1312939388</v>
      </c>
      <c r="I109" s="19">
        <f>IFERROR(__xludf.DUMMYFUNCTION("""COMPUTED_VALUE"""),1197.6)</f>
        <v>1197.6</v>
      </c>
      <c r="J109" s="22">
        <f>IFERROR(__xludf.DUMMYFUNCTION("""COMPUTED_VALUE"""),-0.005678022712090811)</f>
        <v>-0.005678022712</v>
      </c>
      <c r="K109" s="23" t="str">
        <f t="array" ref="K109">IF(A109&lt;&gt;" ", (VLOOKUP(A109, 'NSEBSE Code'!A:C, 2, FALSE)), " ")</f>
        <v>Technology</v>
      </c>
      <c r="L109" s="23" t="str">
        <f t="array" ref="L109">IF(A109&lt;&gt;" ", (VLOOKUP(A109, 'NSEBSE Code'!A:C, 3, FALSE)), " ")</f>
        <v>BOM:543228</v>
      </c>
      <c r="M109" s="23" t="str">
        <f t="array" ref="M109">IF(F109 &gt; 0.3, "Yes", "No")</f>
        <v>Yes</v>
      </c>
      <c r="N109" s="19" t="str">
        <f t="array" ref="N109">IF(H109 &lt;0.3, "Yes", "No")</f>
        <v>Yes</v>
      </c>
      <c r="O109" s="19" t="str">
        <f t="array" ref="O109">IF(AND(D109&lt;65, M109="No",N109="No"), "Good Stock", " ")</f>
        <v> </v>
      </c>
      <c r="P109" s="19" t="str">
        <f t="array" ref="P109">IF(B109 &gt;= $Q$2 * 0.6, "Large Cap Stocks", IF(B109 &gt;= $Q$2 * 0.4, "Medium Cap Stocks", "Low Cap Stocks"))</f>
        <v>Low Cap Stocks</v>
      </c>
    </row>
    <row r="110">
      <c r="A110" s="19" t="str">
        <f>IFERROR(__xludf.DUMMYFUNCTION("""COMPUTED_VALUE"""),"Praj Industries")</f>
        <v>Praj Industries</v>
      </c>
      <c r="B110" s="21">
        <f>IFERROR(__xludf.DUMMYFUNCTION("""COMPUTED_VALUE"""),6488.72245)</f>
        <v>6488.72245</v>
      </c>
      <c r="C110" s="19">
        <f>IFERROR(__xludf.DUMMYFUNCTION("""COMPUTED_VALUE"""),353.0)</f>
        <v>353</v>
      </c>
      <c r="D110" s="19">
        <f>IFERROR(__xludf.DUMMYFUNCTION("""COMPUTED_VALUE"""),35.19)</f>
        <v>35.19</v>
      </c>
      <c r="E110" s="19">
        <f>IFERROR(__xludf.DUMMYFUNCTION("""COMPUTED_VALUE"""),461.5)</f>
        <v>461.5</v>
      </c>
      <c r="F110" s="22">
        <f>IFERROR(__xludf.DUMMYFUNCTION("""COMPUTED_VALUE"""),0.23510292524377033)</f>
        <v>0.2351029252</v>
      </c>
      <c r="G110" s="19">
        <f>IFERROR(__xludf.DUMMYFUNCTION("""COMPUTED_VALUE"""),289.05)</f>
        <v>289.05</v>
      </c>
      <c r="H110" s="22">
        <f>IFERROR(__xludf.DUMMYFUNCTION("""COMPUTED_VALUE"""),0.22124199965403904)</f>
        <v>0.2212419997</v>
      </c>
      <c r="I110" s="19">
        <f>IFERROR(__xludf.DUMMYFUNCTION("""COMPUTED_VALUE"""),355.1)</f>
        <v>355.1</v>
      </c>
      <c r="J110" s="22">
        <f>IFERROR(__xludf.DUMMYFUNCTION("""COMPUTED_VALUE"""),-0.005913827090960356)</f>
        <v>-0.005913827091</v>
      </c>
      <c r="K110" s="23" t="str">
        <f t="array" ref="K110">IF(A110&lt;&gt;" ", (VLOOKUP(A110, 'NSEBSE Code'!A:C, 2, FALSE)), " ")</f>
        <v>Manufacturing</v>
      </c>
      <c r="L110" s="23" t="str">
        <f t="array" ref="L110">IF(A110&lt;&gt;" ", (VLOOKUP(A110, 'NSEBSE Code'!A:C, 3, FALSE)), " ")</f>
        <v>BOM:522205</v>
      </c>
      <c r="M110" s="23" t="str">
        <f t="array" ref="M110">IF(F110 &gt; 0.3, "Yes", "No")</f>
        <v>No</v>
      </c>
      <c r="N110" s="19" t="str">
        <f t="array" ref="N110">IF(H110 &lt;0.3, "Yes", "No")</f>
        <v>Yes</v>
      </c>
      <c r="O110" s="19" t="str">
        <f t="array" ref="O110">IF(AND(D110&lt;65, M110="No",N110="No"), "Good Stock", " ")</f>
        <v> </v>
      </c>
      <c r="P110" s="19" t="str">
        <f t="array" ref="P110">IF(B110 &gt;= $Q$2 * 0.6, "Large Cap Stocks", IF(B110 &gt;= $Q$2 * 0.4, "Medium Cap Stocks", "Low Cap Stocks"))</f>
        <v>Low Cap Stocks</v>
      </c>
    </row>
    <row r="111">
      <c r="A111" s="19" t="str">
        <f>IFERROR(__xludf.DUMMYFUNCTION("""COMPUTED_VALUE"""),"Amber Enterprise")</f>
        <v>Amber Enterprise</v>
      </c>
      <c r="B111" s="21">
        <f>IFERROR(__xludf.DUMMYFUNCTION("""COMPUTED_VALUE"""),6297.527)</f>
        <v>6297.527</v>
      </c>
      <c r="C111" s="19">
        <f>IFERROR(__xludf.DUMMYFUNCTION("""COMPUTED_VALUE"""),1870.0)</f>
        <v>1870</v>
      </c>
      <c r="D111" s="19">
        <f>IFERROR(__xludf.DUMMYFUNCTION("""COMPUTED_VALUE"""),49.07)</f>
        <v>49.07</v>
      </c>
      <c r="E111" s="19">
        <f>IFERROR(__xludf.DUMMYFUNCTION("""COMPUTED_VALUE"""),4023.65)</f>
        <v>4023.65</v>
      </c>
      <c r="F111" s="22">
        <f>IFERROR(__xludf.DUMMYFUNCTION("""COMPUTED_VALUE"""),0.5352478471039976)</f>
        <v>0.5352478471</v>
      </c>
      <c r="G111" s="19">
        <f>IFERROR(__xludf.DUMMYFUNCTION("""COMPUTED_VALUE"""),1844.15)</f>
        <v>1844.15</v>
      </c>
      <c r="H111" s="22">
        <f>IFERROR(__xludf.DUMMYFUNCTION("""COMPUTED_VALUE"""),0.014017297942141316)</f>
        <v>0.01401729794</v>
      </c>
      <c r="I111" s="19">
        <f>IFERROR(__xludf.DUMMYFUNCTION("""COMPUTED_VALUE"""),1876.0)</f>
        <v>1876</v>
      </c>
      <c r="J111" s="22">
        <f>IFERROR(__xludf.DUMMYFUNCTION("""COMPUTED_VALUE"""),-0.0031982942430703624)</f>
        <v>-0.003198294243</v>
      </c>
      <c r="K111" s="23" t="str">
        <f t="array" ref="K111">IF(A111&lt;&gt;" ", (VLOOKUP(A111, 'NSEBSE Code'!A:C, 2, FALSE)), " ")</f>
        <v>Manufacturing</v>
      </c>
      <c r="L111" s="23" t="str">
        <f t="array" ref="L111">IF(A111&lt;&gt;" ", (VLOOKUP(A111, 'NSEBSE Code'!A:C, 3, FALSE)), " ")</f>
        <v>BOM:540902</v>
      </c>
      <c r="M111" s="23" t="str">
        <f t="array" ref="M111">IF(F111 &gt; 0.3, "Yes", "No")</f>
        <v>Yes</v>
      </c>
      <c r="N111" s="19" t="str">
        <f t="array" ref="N111">IF(H111 &lt;0.3, "Yes", "No")</f>
        <v>Yes</v>
      </c>
      <c r="O111" s="19" t="str">
        <f t="array" ref="O111">IF(AND(D111&lt;65, M111="No",N111="No"), "Good Stock", " ")</f>
        <v> </v>
      </c>
      <c r="P111" s="19" t="str">
        <f t="array" ref="P111">IF(B111 &gt;= $Q$2 * 0.6, "Large Cap Stocks", IF(B111 &gt;= $Q$2 * 0.4, "Medium Cap Stocks", "Low Cap Stocks"))</f>
        <v>Low Cap Stocks</v>
      </c>
    </row>
    <row r="112">
      <c r="A112" s="19" t="str">
        <f>IFERROR(__xludf.DUMMYFUNCTION("""COMPUTED_VALUE"""),"Borosil Renewable")</f>
        <v>Borosil Renewable</v>
      </c>
      <c r="B112" s="21">
        <f>IFERROR(__xludf.DUMMYFUNCTION("""COMPUTED_VALUE"""),5686.243)</f>
        <v>5686.243</v>
      </c>
      <c r="C112" s="19">
        <f>IFERROR(__xludf.DUMMYFUNCTION("""COMPUTED_VALUE"""),499.35)</f>
        <v>499.35</v>
      </c>
      <c r="D112" s="19">
        <f>IFERROR(__xludf.DUMMYFUNCTION("""COMPUTED_VALUE"""),39.43)</f>
        <v>39.43</v>
      </c>
      <c r="E112" s="19">
        <f>IFERROR(__xludf.DUMMYFUNCTION("""COMPUTED_VALUE"""),833.0)</f>
        <v>833</v>
      </c>
      <c r="F112" s="22">
        <f>IFERROR(__xludf.DUMMYFUNCTION("""COMPUTED_VALUE"""),0.40054021608643453)</f>
        <v>0.4005402161</v>
      </c>
      <c r="G112" s="19">
        <f>IFERROR(__xludf.DUMMYFUNCTION("""COMPUTED_VALUE"""),468.0)</f>
        <v>468</v>
      </c>
      <c r="H112" s="22">
        <f>IFERROR(__xludf.DUMMYFUNCTION("""COMPUTED_VALUE"""),0.06698717948717954)</f>
        <v>0.06698717949</v>
      </c>
      <c r="I112" s="19">
        <f>IFERROR(__xludf.DUMMYFUNCTION("""COMPUTED_VALUE"""),494.9)</f>
        <v>494.9</v>
      </c>
      <c r="J112" s="22">
        <f>IFERROR(__xludf.DUMMYFUNCTION("""COMPUTED_VALUE"""),0.008991715498080513)</f>
        <v>0.008991715498</v>
      </c>
      <c r="K112" s="23" t="str">
        <f t="array" ref="K112">IF(A112&lt;&gt;" ", (VLOOKUP(A112, 'NSEBSE Code'!A:C, 2, FALSE)), " ")</f>
        <v>Manufacturing</v>
      </c>
      <c r="L112" s="23" t="str">
        <f t="array" ref="L112">IF(A112&lt;&gt;" ", (VLOOKUP(A112, 'NSEBSE Code'!A:C, 3, FALSE)), " ")</f>
        <v>BOM:502219</v>
      </c>
      <c r="M112" s="23" t="str">
        <f t="array" ref="M112">IF(F112 &gt; 0.3, "Yes", "No")</f>
        <v>Yes</v>
      </c>
      <c r="N112" s="19" t="str">
        <f t="array" ref="N112">IF(H112 &lt;0.3, "Yes", "No")</f>
        <v>Yes</v>
      </c>
      <c r="O112" s="19" t="str">
        <f t="array" ref="O112">IF(AND(D112&lt;65, M112="No",N112="No"), "Good Stock", " ")</f>
        <v> </v>
      </c>
      <c r="P112" s="19" t="str">
        <f t="array" ref="P112">IF(B112 &gt;= $Q$2 * 0.6, "Large Cap Stocks", IF(B112 &gt;= $Q$2 * 0.4, "Medium Cap Stocks", "Low Cap Stocks"))</f>
        <v>Low Cap Stocks</v>
      </c>
    </row>
    <row r="113">
      <c r="A113" s="19" t="str">
        <f>IFERROR(__xludf.DUMMYFUNCTION("""COMPUTED_VALUE"""),"Polyplex Corporation")</f>
        <v>Polyplex Corporation</v>
      </c>
      <c r="B113" s="21">
        <f>IFERROR(__xludf.DUMMYFUNCTION("""COMPUTED_VALUE"""),4868.970546)</f>
        <v>4868.970546</v>
      </c>
      <c r="C113" s="19">
        <f>IFERROR(__xludf.DUMMYFUNCTION("""COMPUTED_VALUE"""),1555.0)</f>
        <v>1555</v>
      </c>
      <c r="D113" s="19">
        <f>IFERROR(__xludf.DUMMYFUNCTION("""COMPUTED_VALUE"""),7.36)</f>
        <v>7.36</v>
      </c>
      <c r="E113" s="19">
        <f>IFERROR(__xludf.DUMMYFUNCTION("""COMPUTED_VALUE"""),2870.0)</f>
        <v>2870</v>
      </c>
      <c r="F113" s="22">
        <f>IFERROR(__xludf.DUMMYFUNCTION("""COMPUTED_VALUE"""),0.45818815331010454)</f>
        <v>0.4581881533</v>
      </c>
      <c r="G113" s="19">
        <f>IFERROR(__xludf.DUMMYFUNCTION("""COMPUTED_VALUE"""),1463.3)</f>
        <v>1463.3</v>
      </c>
      <c r="H113" s="22">
        <f>IFERROR(__xludf.DUMMYFUNCTION("""COMPUTED_VALUE"""),0.062666575548418)</f>
        <v>0.06266657555</v>
      </c>
      <c r="I113" s="19">
        <f>IFERROR(__xludf.DUMMYFUNCTION("""COMPUTED_VALUE"""),1559.1)</f>
        <v>1559.1</v>
      </c>
      <c r="J113" s="22">
        <f>IFERROR(__xludf.DUMMYFUNCTION("""COMPUTED_VALUE"""),-0.0026297222756718037)</f>
        <v>-0.002629722276</v>
      </c>
      <c r="K113" s="23" t="str">
        <f t="array" ref="K113">IF(A113&lt;&gt;" ", (VLOOKUP(A113, 'NSEBSE Code'!A:C, 2, FALSE)), " ")</f>
        <v>packaging</v>
      </c>
      <c r="L113" s="23" t="str">
        <f t="array" ref="L113">IF(A113&lt;&gt;" ", (VLOOKUP(A113, 'NSEBSE Code'!A:C, 3, FALSE)), " ")</f>
        <v>BOM:524051</v>
      </c>
      <c r="M113" s="23" t="str">
        <f t="array" ref="M113">IF(F113 &gt; 0.3, "Yes", "No")</f>
        <v>Yes</v>
      </c>
      <c r="N113" s="19" t="str">
        <f t="array" ref="N113">IF(H113 &lt;0.3, "Yes", "No")</f>
        <v>Yes</v>
      </c>
      <c r="O113" s="19" t="str">
        <f t="array" ref="O113">IF(AND(D113&lt;65, M113="No",N113="No"), "Good Stock", " ")</f>
        <v> </v>
      </c>
      <c r="P113" s="19" t="str">
        <f t="array" ref="P113">IF(B113 &gt;= $Q$2 * 0.6, "Large Cap Stocks", IF(B113 &gt;= $Q$2 * 0.4, "Medium Cap Stocks", "Low Cap Stocks"))</f>
        <v>Low Cap Stocks</v>
      </c>
    </row>
    <row r="114">
      <c r="L114" s="23"/>
      <c r="M114" s="23"/>
    </row>
    <row r="115">
      <c r="L115" s="23"/>
      <c r="M115" s="23"/>
    </row>
    <row r="116">
      <c r="L116" s="23"/>
    </row>
    <row r="117">
      <c r="L117" s="23"/>
    </row>
    <row r="118">
      <c r="L118" s="23"/>
    </row>
  </sheetData>
  <autoFilter ref="$O$1:$O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25" t="s">
        <v>234</v>
      </c>
      <c r="B1" s="26"/>
      <c r="C1" s="27"/>
    </row>
    <row r="2" ht="42.75" customHeight="1">
      <c r="A2" s="28"/>
      <c r="B2" s="28"/>
      <c r="C2" s="28"/>
    </row>
    <row r="3" ht="42.75" customHeight="1">
      <c r="A3" s="29" t="s">
        <v>0</v>
      </c>
      <c r="B3" s="29" t="s">
        <v>228</v>
      </c>
      <c r="C3" s="29" t="s">
        <v>229</v>
      </c>
    </row>
    <row r="4">
      <c r="A4" s="8" t="s">
        <v>10</v>
      </c>
      <c r="B4" s="8" t="s">
        <v>235</v>
      </c>
      <c r="C4" s="8" t="s">
        <v>236</v>
      </c>
    </row>
    <row r="5">
      <c r="A5" s="8" t="s">
        <v>11</v>
      </c>
      <c r="B5" s="8" t="s">
        <v>237</v>
      </c>
      <c r="C5" s="8" t="s">
        <v>238</v>
      </c>
    </row>
    <row r="6">
      <c r="A6" s="8" t="s">
        <v>12</v>
      </c>
      <c r="B6" s="8" t="s">
        <v>239</v>
      </c>
      <c r="C6" s="8" t="s">
        <v>240</v>
      </c>
    </row>
    <row r="7">
      <c r="A7" s="8" t="s">
        <v>13</v>
      </c>
      <c r="B7" s="8" t="s">
        <v>241</v>
      </c>
      <c r="C7" s="8" t="s">
        <v>242</v>
      </c>
    </row>
    <row r="8">
      <c r="A8" s="8" t="s">
        <v>14</v>
      </c>
      <c r="B8" s="8" t="s">
        <v>243</v>
      </c>
      <c r="C8" s="8" t="s">
        <v>244</v>
      </c>
    </row>
    <row r="9">
      <c r="A9" s="8" t="s">
        <v>15</v>
      </c>
      <c r="B9" s="8" t="s">
        <v>235</v>
      </c>
      <c r="C9" s="8" t="s">
        <v>245</v>
      </c>
    </row>
    <row r="10">
      <c r="A10" s="8" t="s">
        <v>17</v>
      </c>
      <c r="B10" s="8" t="s">
        <v>246</v>
      </c>
      <c r="C10" s="8" t="s">
        <v>247</v>
      </c>
    </row>
    <row r="11">
      <c r="A11" s="8" t="s">
        <v>18</v>
      </c>
      <c r="B11" s="8" t="s">
        <v>248</v>
      </c>
      <c r="C11" s="8" t="s">
        <v>249</v>
      </c>
    </row>
    <row r="12">
      <c r="A12" s="8" t="s">
        <v>19</v>
      </c>
      <c r="B12" s="8" t="s">
        <v>250</v>
      </c>
      <c r="C12" s="8" t="s">
        <v>251</v>
      </c>
    </row>
    <row r="13">
      <c r="A13" s="8" t="s">
        <v>20</v>
      </c>
      <c r="B13" s="8" t="s">
        <v>252</v>
      </c>
      <c r="C13" s="8" t="s">
        <v>253</v>
      </c>
    </row>
    <row r="14">
      <c r="A14" s="8" t="s">
        <v>21</v>
      </c>
      <c r="B14" s="8" t="s">
        <v>237</v>
      </c>
      <c r="C14" s="8" t="s">
        <v>254</v>
      </c>
    </row>
    <row r="15">
      <c r="A15" s="8" t="s">
        <v>22</v>
      </c>
      <c r="B15" s="8" t="s">
        <v>255</v>
      </c>
      <c r="C15" s="8" t="s">
        <v>256</v>
      </c>
    </row>
    <row r="16">
      <c r="A16" s="8" t="s">
        <v>23</v>
      </c>
      <c r="B16" s="8" t="s">
        <v>246</v>
      </c>
      <c r="C16" s="8" t="s">
        <v>23</v>
      </c>
    </row>
    <row r="17">
      <c r="A17" s="8" t="s">
        <v>24</v>
      </c>
      <c r="B17" s="8" t="s">
        <v>246</v>
      </c>
      <c r="C17" s="8" t="s">
        <v>257</v>
      </c>
    </row>
    <row r="18">
      <c r="A18" s="8" t="s">
        <v>25</v>
      </c>
      <c r="B18" s="8" t="s">
        <v>258</v>
      </c>
      <c r="C18" s="8" t="s">
        <v>259</v>
      </c>
    </row>
    <row r="19">
      <c r="A19" s="8" t="s">
        <v>26</v>
      </c>
      <c r="B19" s="8" t="s">
        <v>260</v>
      </c>
      <c r="C19" s="8" t="s">
        <v>261</v>
      </c>
    </row>
    <row r="20">
      <c r="A20" s="8" t="s">
        <v>27</v>
      </c>
      <c r="B20" s="8" t="s">
        <v>250</v>
      </c>
      <c r="C20" s="8" t="s">
        <v>262</v>
      </c>
    </row>
    <row r="21">
      <c r="A21" s="8" t="s">
        <v>28</v>
      </c>
      <c r="B21" s="8" t="s">
        <v>263</v>
      </c>
      <c r="C21" s="8" t="s">
        <v>264</v>
      </c>
    </row>
    <row r="22">
      <c r="A22" s="8" t="s">
        <v>29</v>
      </c>
      <c r="B22" s="8" t="s">
        <v>235</v>
      </c>
      <c r="C22" s="8" t="s">
        <v>265</v>
      </c>
    </row>
    <row r="23">
      <c r="A23" s="8" t="s">
        <v>30</v>
      </c>
      <c r="B23" s="8" t="s">
        <v>237</v>
      </c>
      <c r="C23" s="8" t="s">
        <v>266</v>
      </c>
    </row>
    <row r="24">
      <c r="A24" s="8" t="s">
        <v>31</v>
      </c>
      <c r="B24" s="8" t="s">
        <v>237</v>
      </c>
      <c r="C24" s="8" t="s">
        <v>267</v>
      </c>
    </row>
    <row r="25">
      <c r="A25" s="8" t="s">
        <v>32</v>
      </c>
      <c r="B25" s="8" t="s">
        <v>246</v>
      </c>
      <c r="C25" s="8" t="s">
        <v>268</v>
      </c>
    </row>
    <row r="26">
      <c r="A26" s="8" t="s">
        <v>33</v>
      </c>
      <c r="B26" s="8" t="s">
        <v>263</v>
      </c>
      <c r="C26" s="8" t="s">
        <v>269</v>
      </c>
    </row>
    <row r="27">
      <c r="A27" s="8" t="s">
        <v>34</v>
      </c>
      <c r="B27" s="8" t="s">
        <v>255</v>
      </c>
      <c r="C27" s="8" t="s">
        <v>270</v>
      </c>
    </row>
    <row r="28">
      <c r="A28" s="8" t="s">
        <v>35</v>
      </c>
      <c r="B28" s="8" t="s">
        <v>252</v>
      </c>
      <c r="C28" s="8" t="s">
        <v>271</v>
      </c>
    </row>
    <row r="29">
      <c r="A29" s="8" t="s">
        <v>36</v>
      </c>
      <c r="B29" s="8" t="s">
        <v>235</v>
      </c>
      <c r="C29" s="8" t="s">
        <v>272</v>
      </c>
    </row>
    <row r="30">
      <c r="A30" s="8" t="s">
        <v>37</v>
      </c>
      <c r="B30" s="8" t="s">
        <v>273</v>
      </c>
      <c r="C30" s="8" t="s">
        <v>274</v>
      </c>
    </row>
    <row r="31">
      <c r="A31" s="8" t="s">
        <v>38</v>
      </c>
      <c r="B31" s="8" t="s">
        <v>275</v>
      </c>
      <c r="C31" s="8" t="s">
        <v>276</v>
      </c>
    </row>
    <row r="32">
      <c r="A32" s="8" t="s">
        <v>39</v>
      </c>
      <c r="B32" s="8" t="s">
        <v>237</v>
      </c>
      <c r="C32" s="8" t="s">
        <v>277</v>
      </c>
    </row>
    <row r="33">
      <c r="A33" s="8" t="s">
        <v>40</v>
      </c>
      <c r="B33" s="8" t="s">
        <v>250</v>
      </c>
      <c r="C33" s="8" t="s">
        <v>278</v>
      </c>
    </row>
    <row r="34">
      <c r="A34" s="8" t="s">
        <v>41</v>
      </c>
      <c r="B34" s="8" t="s">
        <v>237</v>
      </c>
      <c r="C34" s="8" t="s">
        <v>279</v>
      </c>
    </row>
    <row r="35">
      <c r="A35" s="8" t="s">
        <v>42</v>
      </c>
      <c r="B35" s="8" t="s">
        <v>243</v>
      </c>
      <c r="C35" s="8" t="s">
        <v>280</v>
      </c>
    </row>
    <row r="36">
      <c r="A36" s="8" t="s">
        <v>43</v>
      </c>
      <c r="B36" s="8" t="s">
        <v>281</v>
      </c>
      <c r="C36" s="8" t="s">
        <v>282</v>
      </c>
    </row>
    <row r="37">
      <c r="A37" s="8" t="s">
        <v>44</v>
      </c>
      <c r="B37" s="8" t="s">
        <v>246</v>
      </c>
      <c r="C37" s="8" t="s">
        <v>283</v>
      </c>
    </row>
    <row r="38">
      <c r="A38" s="8" t="s">
        <v>45</v>
      </c>
      <c r="B38" s="8" t="s">
        <v>275</v>
      </c>
      <c r="C38" s="8" t="s">
        <v>284</v>
      </c>
    </row>
    <row r="39">
      <c r="A39" s="8" t="s">
        <v>46</v>
      </c>
      <c r="B39" s="8" t="s">
        <v>275</v>
      </c>
      <c r="C39" s="8" t="s">
        <v>285</v>
      </c>
    </row>
    <row r="40">
      <c r="A40" s="8" t="s">
        <v>47</v>
      </c>
      <c r="B40" s="8" t="s">
        <v>286</v>
      </c>
      <c r="C40" s="8" t="s">
        <v>287</v>
      </c>
    </row>
    <row r="41">
      <c r="A41" s="8" t="s">
        <v>48</v>
      </c>
      <c r="B41" s="8" t="s">
        <v>288</v>
      </c>
      <c r="C41" s="8" t="s">
        <v>289</v>
      </c>
    </row>
    <row r="42">
      <c r="A42" s="8" t="s">
        <v>49</v>
      </c>
      <c r="B42" s="8" t="s">
        <v>290</v>
      </c>
      <c r="C42" s="8" t="s">
        <v>49</v>
      </c>
    </row>
    <row r="43">
      <c r="A43" s="8" t="s">
        <v>50</v>
      </c>
      <c r="B43" s="8" t="s">
        <v>291</v>
      </c>
      <c r="C43" s="8" t="s">
        <v>292</v>
      </c>
    </row>
    <row r="44">
      <c r="A44" s="8" t="s">
        <v>51</v>
      </c>
      <c r="B44" s="8" t="s">
        <v>293</v>
      </c>
      <c r="C44" s="8" t="s">
        <v>294</v>
      </c>
    </row>
    <row r="45">
      <c r="A45" s="8" t="s">
        <v>52</v>
      </c>
      <c r="B45" s="8" t="s">
        <v>263</v>
      </c>
      <c r="C45" s="8" t="s">
        <v>295</v>
      </c>
    </row>
    <row r="46">
      <c r="A46" s="8" t="s">
        <v>53</v>
      </c>
      <c r="B46" s="8" t="s">
        <v>235</v>
      </c>
      <c r="C46" s="8" t="s">
        <v>296</v>
      </c>
    </row>
    <row r="47">
      <c r="A47" s="8" t="s">
        <v>54</v>
      </c>
      <c r="B47" s="8" t="s">
        <v>275</v>
      </c>
      <c r="C47" s="8" t="s">
        <v>297</v>
      </c>
    </row>
    <row r="48">
      <c r="A48" s="8" t="s">
        <v>55</v>
      </c>
      <c r="B48" s="8" t="s">
        <v>298</v>
      </c>
      <c r="C48" s="8" t="s">
        <v>299</v>
      </c>
    </row>
    <row r="49">
      <c r="A49" s="8" t="s">
        <v>56</v>
      </c>
      <c r="B49" s="8" t="s">
        <v>246</v>
      </c>
      <c r="C49" s="8" t="s">
        <v>300</v>
      </c>
    </row>
    <row r="50">
      <c r="A50" s="8" t="s">
        <v>57</v>
      </c>
      <c r="B50" s="8" t="s">
        <v>241</v>
      </c>
      <c r="C50" s="8" t="s">
        <v>301</v>
      </c>
    </row>
    <row r="51">
      <c r="A51" s="8" t="s">
        <v>58</v>
      </c>
      <c r="B51" s="8" t="s">
        <v>302</v>
      </c>
      <c r="C51" s="8" t="s">
        <v>303</v>
      </c>
    </row>
    <row r="52">
      <c r="A52" s="8" t="s">
        <v>59</v>
      </c>
      <c r="B52" s="8" t="s">
        <v>304</v>
      </c>
      <c r="C52" s="8" t="s">
        <v>305</v>
      </c>
    </row>
    <row r="53">
      <c r="A53" s="8" t="s">
        <v>60</v>
      </c>
      <c r="B53" s="8" t="s">
        <v>288</v>
      </c>
      <c r="C53" s="8" t="s">
        <v>306</v>
      </c>
    </row>
    <row r="54">
      <c r="A54" s="8" t="s">
        <v>61</v>
      </c>
      <c r="B54" s="8" t="s">
        <v>246</v>
      </c>
      <c r="C54" s="8" t="s">
        <v>307</v>
      </c>
    </row>
    <row r="55">
      <c r="A55" s="8" t="s">
        <v>62</v>
      </c>
      <c r="B55" s="8" t="s">
        <v>248</v>
      </c>
      <c r="C55" s="8" t="s">
        <v>308</v>
      </c>
    </row>
    <row r="56">
      <c r="A56" s="8" t="s">
        <v>63</v>
      </c>
      <c r="B56" s="8" t="s">
        <v>309</v>
      </c>
      <c r="C56" s="8" t="s">
        <v>310</v>
      </c>
    </row>
    <row r="57">
      <c r="A57" s="8" t="s">
        <v>64</v>
      </c>
      <c r="B57" s="8" t="s">
        <v>311</v>
      </c>
      <c r="C57" s="8" t="s">
        <v>312</v>
      </c>
    </row>
    <row r="58">
      <c r="A58" s="8" t="s">
        <v>65</v>
      </c>
      <c r="B58" s="8" t="s">
        <v>273</v>
      </c>
      <c r="C58" s="8" t="s">
        <v>313</v>
      </c>
    </row>
    <row r="59">
      <c r="A59" s="8" t="s">
        <v>66</v>
      </c>
      <c r="B59" s="8" t="s">
        <v>263</v>
      </c>
      <c r="C59" s="8" t="s">
        <v>314</v>
      </c>
    </row>
    <row r="60">
      <c r="A60" s="8" t="s">
        <v>67</v>
      </c>
      <c r="B60" s="8" t="s">
        <v>281</v>
      </c>
      <c r="C60" s="8" t="s">
        <v>315</v>
      </c>
    </row>
    <row r="61">
      <c r="A61" s="8" t="s">
        <v>68</v>
      </c>
      <c r="B61" s="8" t="s">
        <v>298</v>
      </c>
      <c r="C61" s="8" t="s">
        <v>316</v>
      </c>
    </row>
    <row r="62">
      <c r="A62" s="8" t="s">
        <v>69</v>
      </c>
      <c r="B62" s="8" t="s">
        <v>317</v>
      </c>
      <c r="C62" s="8" t="s">
        <v>318</v>
      </c>
    </row>
    <row r="63">
      <c r="A63" s="8" t="s">
        <v>70</v>
      </c>
      <c r="B63" s="8" t="s">
        <v>319</v>
      </c>
      <c r="C63" s="8" t="s">
        <v>320</v>
      </c>
    </row>
    <row r="64">
      <c r="A64" s="8" t="s">
        <v>71</v>
      </c>
      <c r="B64" s="8" t="s">
        <v>252</v>
      </c>
      <c r="C64" s="8" t="s">
        <v>321</v>
      </c>
    </row>
    <row r="65">
      <c r="A65" s="8" t="s">
        <v>72</v>
      </c>
      <c r="B65" s="8" t="s">
        <v>288</v>
      </c>
      <c r="C65" s="8" t="s">
        <v>322</v>
      </c>
    </row>
    <row r="66">
      <c r="A66" s="8" t="s">
        <v>73</v>
      </c>
      <c r="B66" s="8" t="s">
        <v>275</v>
      </c>
      <c r="C66" s="8" t="s">
        <v>323</v>
      </c>
    </row>
    <row r="67">
      <c r="A67" s="8" t="s">
        <v>74</v>
      </c>
      <c r="B67" s="8" t="s">
        <v>319</v>
      </c>
      <c r="C67" s="8" t="s">
        <v>324</v>
      </c>
    </row>
    <row r="68">
      <c r="A68" s="8" t="s">
        <v>75</v>
      </c>
      <c r="B68" s="8" t="s">
        <v>263</v>
      </c>
      <c r="C68" s="8" t="s">
        <v>325</v>
      </c>
    </row>
    <row r="69">
      <c r="A69" s="8" t="s">
        <v>76</v>
      </c>
      <c r="B69" s="8" t="s">
        <v>258</v>
      </c>
      <c r="C69" s="8" t="s">
        <v>326</v>
      </c>
    </row>
    <row r="70">
      <c r="A70" s="8" t="s">
        <v>77</v>
      </c>
      <c r="B70" s="8" t="s">
        <v>327</v>
      </c>
      <c r="C70" s="8" t="s">
        <v>328</v>
      </c>
    </row>
    <row r="71">
      <c r="A71" s="8" t="s">
        <v>78</v>
      </c>
      <c r="B71" s="8" t="s">
        <v>235</v>
      </c>
      <c r="C71" s="8" t="s">
        <v>329</v>
      </c>
    </row>
    <row r="72">
      <c r="A72" s="8" t="s">
        <v>79</v>
      </c>
      <c r="B72" s="8" t="s">
        <v>275</v>
      </c>
      <c r="C72" s="8" t="s">
        <v>330</v>
      </c>
    </row>
    <row r="73">
      <c r="A73" s="8" t="s">
        <v>80</v>
      </c>
      <c r="B73" s="8" t="s">
        <v>263</v>
      </c>
      <c r="C73" s="8" t="s">
        <v>331</v>
      </c>
    </row>
    <row r="74">
      <c r="A74" s="8" t="s">
        <v>81</v>
      </c>
      <c r="B74" s="8" t="s">
        <v>327</v>
      </c>
      <c r="C74" s="8" t="s">
        <v>332</v>
      </c>
    </row>
    <row r="75">
      <c r="A75" s="8" t="s">
        <v>82</v>
      </c>
      <c r="B75" s="8" t="s">
        <v>275</v>
      </c>
      <c r="C75" s="8" t="s">
        <v>333</v>
      </c>
    </row>
    <row r="76">
      <c r="A76" s="8" t="s">
        <v>83</v>
      </c>
      <c r="B76" s="8" t="s">
        <v>334</v>
      </c>
      <c r="C76" s="8" t="s">
        <v>335</v>
      </c>
    </row>
    <row r="77">
      <c r="A77" s="8" t="s">
        <v>84</v>
      </c>
      <c r="B77" s="8" t="s">
        <v>273</v>
      </c>
      <c r="C77" s="8" t="s">
        <v>336</v>
      </c>
    </row>
    <row r="78">
      <c r="A78" s="8" t="s">
        <v>85</v>
      </c>
      <c r="B78" s="8" t="s">
        <v>337</v>
      </c>
      <c r="C78" s="8" t="s">
        <v>338</v>
      </c>
    </row>
    <row r="79">
      <c r="A79" s="8" t="s">
        <v>86</v>
      </c>
      <c r="B79" s="8" t="s">
        <v>288</v>
      </c>
      <c r="C79" s="8" t="s">
        <v>339</v>
      </c>
    </row>
    <row r="80">
      <c r="A80" s="8" t="s">
        <v>87</v>
      </c>
      <c r="B80" s="8" t="s">
        <v>288</v>
      </c>
      <c r="C80" s="8" t="s">
        <v>340</v>
      </c>
    </row>
    <row r="81">
      <c r="A81" s="8" t="s">
        <v>88</v>
      </c>
      <c r="B81" s="8" t="s">
        <v>341</v>
      </c>
      <c r="C81" s="8" t="s">
        <v>342</v>
      </c>
    </row>
    <row r="82">
      <c r="A82" s="8" t="s">
        <v>89</v>
      </c>
      <c r="B82" s="8" t="s">
        <v>258</v>
      </c>
      <c r="C82" s="8" t="s">
        <v>343</v>
      </c>
    </row>
    <row r="83">
      <c r="A83" s="8" t="s">
        <v>90</v>
      </c>
      <c r="B83" s="8" t="s">
        <v>258</v>
      </c>
      <c r="C83" s="8" t="s">
        <v>344</v>
      </c>
    </row>
    <row r="84">
      <c r="A84" s="8" t="s">
        <v>91</v>
      </c>
      <c r="B84" s="8" t="s">
        <v>273</v>
      </c>
      <c r="C84" s="8" t="s">
        <v>345</v>
      </c>
    </row>
    <row r="85">
      <c r="A85" s="8" t="s">
        <v>92</v>
      </c>
      <c r="B85" s="8" t="s">
        <v>291</v>
      </c>
      <c r="C85" s="8" t="s">
        <v>346</v>
      </c>
    </row>
    <row r="86">
      <c r="A86" s="8" t="s">
        <v>94</v>
      </c>
      <c r="B86" s="8" t="s">
        <v>281</v>
      </c>
      <c r="C86" s="8" t="s">
        <v>347</v>
      </c>
    </row>
    <row r="87">
      <c r="A87" s="8" t="s">
        <v>95</v>
      </c>
      <c r="B87" s="8" t="s">
        <v>263</v>
      </c>
      <c r="C87" s="8" t="s">
        <v>348</v>
      </c>
    </row>
    <row r="88">
      <c r="A88" s="8" t="s">
        <v>96</v>
      </c>
      <c r="B88" s="8" t="s">
        <v>293</v>
      </c>
      <c r="C88" s="8" t="s">
        <v>349</v>
      </c>
    </row>
    <row r="89">
      <c r="A89" s="8" t="s">
        <v>97</v>
      </c>
      <c r="B89" s="8" t="s">
        <v>258</v>
      </c>
      <c r="C89" s="8" t="s">
        <v>350</v>
      </c>
    </row>
    <row r="90">
      <c r="A90" s="8" t="s">
        <v>98</v>
      </c>
      <c r="B90" s="8" t="s">
        <v>241</v>
      </c>
      <c r="C90" s="8" t="s">
        <v>351</v>
      </c>
    </row>
    <row r="91">
      <c r="A91" s="8" t="s">
        <v>99</v>
      </c>
      <c r="B91" s="8" t="s">
        <v>352</v>
      </c>
      <c r="C91" s="8" t="s">
        <v>353</v>
      </c>
    </row>
    <row r="92">
      <c r="A92" s="8" t="s">
        <v>100</v>
      </c>
      <c r="B92" s="8" t="s">
        <v>275</v>
      </c>
      <c r="C92" s="8" t="s">
        <v>354</v>
      </c>
    </row>
    <row r="93">
      <c r="A93" s="8" t="s">
        <v>101</v>
      </c>
      <c r="B93" s="8" t="s">
        <v>258</v>
      </c>
      <c r="C93" s="8" t="s">
        <v>355</v>
      </c>
    </row>
    <row r="94">
      <c r="A94" s="8" t="s">
        <v>102</v>
      </c>
      <c r="B94" s="8" t="s">
        <v>258</v>
      </c>
      <c r="C94" s="8" t="s">
        <v>356</v>
      </c>
    </row>
    <row r="95">
      <c r="A95" s="8" t="s">
        <v>103</v>
      </c>
      <c r="B95" s="8" t="s">
        <v>263</v>
      </c>
      <c r="C95" s="8" t="s">
        <v>357</v>
      </c>
    </row>
    <row r="96">
      <c r="A96" s="8" t="s">
        <v>104</v>
      </c>
      <c r="B96" s="8" t="s">
        <v>275</v>
      </c>
      <c r="C96" s="8" t="s">
        <v>358</v>
      </c>
    </row>
    <row r="97">
      <c r="A97" s="8" t="s">
        <v>105</v>
      </c>
      <c r="B97" s="8" t="s">
        <v>275</v>
      </c>
      <c r="C97" s="8" t="s">
        <v>359</v>
      </c>
    </row>
    <row r="98">
      <c r="A98" s="8" t="s">
        <v>106</v>
      </c>
      <c r="B98" s="8" t="s">
        <v>235</v>
      </c>
      <c r="C98" s="8" t="s">
        <v>360</v>
      </c>
    </row>
    <row r="99">
      <c r="A99" s="8" t="s">
        <v>107</v>
      </c>
      <c r="B99" s="8" t="s">
        <v>361</v>
      </c>
      <c r="C99" s="8" t="s">
        <v>362</v>
      </c>
    </row>
    <row r="100">
      <c r="A100" s="8" t="s">
        <v>108</v>
      </c>
      <c r="B100" s="8" t="s">
        <v>275</v>
      </c>
      <c r="C100" s="8" t="s">
        <v>363</v>
      </c>
    </row>
    <row r="101">
      <c r="A101" s="8" t="s">
        <v>109</v>
      </c>
      <c r="B101" s="8" t="s">
        <v>235</v>
      </c>
      <c r="C101" s="8" t="s">
        <v>364</v>
      </c>
    </row>
    <row r="102">
      <c r="A102" s="8" t="s">
        <v>110</v>
      </c>
      <c r="B102" s="8" t="s">
        <v>275</v>
      </c>
      <c r="C102" s="8" t="s">
        <v>110</v>
      </c>
    </row>
    <row r="103">
      <c r="A103" s="8" t="s">
        <v>111</v>
      </c>
      <c r="B103" s="8" t="s">
        <v>281</v>
      </c>
      <c r="C103" s="8" t="s">
        <v>365</v>
      </c>
    </row>
    <row r="104">
      <c r="A104" s="8" t="s">
        <v>112</v>
      </c>
      <c r="B104" s="8" t="s">
        <v>366</v>
      </c>
      <c r="C104" s="8" t="s">
        <v>367</v>
      </c>
    </row>
    <row r="105">
      <c r="A105" s="8" t="s">
        <v>113</v>
      </c>
      <c r="B105" s="8" t="s">
        <v>273</v>
      </c>
      <c r="C105" s="8" t="s">
        <v>368</v>
      </c>
    </row>
    <row r="106">
      <c r="A106" s="8" t="s">
        <v>114</v>
      </c>
      <c r="B106" s="8" t="s">
        <v>275</v>
      </c>
      <c r="C106" s="8" t="s">
        <v>369</v>
      </c>
    </row>
    <row r="107">
      <c r="A107" s="8" t="s">
        <v>115</v>
      </c>
      <c r="B107" s="8" t="s">
        <v>302</v>
      </c>
      <c r="C107" s="8" t="s">
        <v>370</v>
      </c>
    </row>
    <row r="108">
      <c r="A108" s="8" t="s">
        <v>116</v>
      </c>
      <c r="B108" s="8" t="s">
        <v>273</v>
      </c>
      <c r="C108" s="8" t="s">
        <v>371</v>
      </c>
    </row>
    <row r="109">
      <c r="A109" s="8" t="s">
        <v>117</v>
      </c>
      <c r="B109" s="8" t="s">
        <v>258</v>
      </c>
      <c r="C109" s="8" t="s">
        <v>372</v>
      </c>
    </row>
    <row r="110">
      <c r="A110" s="8" t="s">
        <v>118</v>
      </c>
      <c r="B110" s="8" t="s">
        <v>235</v>
      </c>
      <c r="C110" s="8" t="s">
        <v>373</v>
      </c>
    </row>
    <row r="111">
      <c r="A111" s="8" t="s">
        <v>119</v>
      </c>
      <c r="B111" s="8" t="s">
        <v>258</v>
      </c>
      <c r="C111" s="8" t="s">
        <v>374</v>
      </c>
    </row>
    <row r="112">
      <c r="A112" s="8" t="s">
        <v>120</v>
      </c>
      <c r="B112" s="8" t="s">
        <v>248</v>
      </c>
      <c r="C112" s="8" t="s">
        <v>375</v>
      </c>
    </row>
    <row r="113">
      <c r="A113" s="8" t="s">
        <v>121</v>
      </c>
      <c r="B113" s="8" t="s">
        <v>311</v>
      </c>
      <c r="C113" s="8" t="s">
        <v>376</v>
      </c>
    </row>
    <row r="114">
      <c r="A114" s="8" t="s">
        <v>122</v>
      </c>
      <c r="B114" s="8" t="s">
        <v>341</v>
      </c>
      <c r="C114" s="8" t="s">
        <v>377</v>
      </c>
    </row>
    <row r="115">
      <c r="A115" s="8" t="s">
        <v>123</v>
      </c>
      <c r="B115" s="8" t="s">
        <v>304</v>
      </c>
      <c r="C115" s="8" t="s">
        <v>378</v>
      </c>
    </row>
    <row r="116">
      <c r="A116" s="8" t="s">
        <v>124</v>
      </c>
      <c r="B116" s="8" t="s">
        <v>281</v>
      </c>
      <c r="C116" s="8" t="s">
        <v>379</v>
      </c>
    </row>
    <row r="117">
      <c r="A117" s="8" t="s">
        <v>125</v>
      </c>
      <c r="B117" s="8" t="s">
        <v>275</v>
      </c>
      <c r="C117" s="8" t="s">
        <v>380</v>
      </c>
    </row>
    <row r="118">
      <c r="A118" s="8" t="s">
        <v>126</v>
      </c>
      <c r="B118" s="8" t="s">
        <v>258</v>
      </c>
      <c r="C118" s="8" t="s">
        <v>381</v>
      </c>
    </row>
    <row r="119">
      <c r="A119" s="8" t="s">
        <v>127</v>
      </c>
      <c r="B119" s="8" t="s">
        <v>239</v>
      </c>
      <c r="C119" s="8" t="s">
        <v>382</v>
      </c>
    </row>
    <row r="120">
      <c r="A120" s="8" t="s">
        <v>128</v>
      </c>
      <c r="B120" s="8" t="s">
        <v>319</v>
      </c>
      <c r="C120" s="8" t="s">
        <v>383</v>
      </c>
    </row>
    <row r="121">
      <c r="A121" s="8" t="s">
        <v>129</v>
      </c>
      <c r="B121" s="8" t="s">
        <v>241</v>
      </c>
      <c r="C121" s="8" t="s">
        <v>384</v>
      </c>
    </row>
    <row r="122">
      <c r="A122" s="8" t="s">
        <v>130</v>
      </c>
      <c r="B122" s="8" t="s">
        <v>341</v>
      </c>
      <c r="C122" s="8" t="s">
        <v>385</v>
      </c>
    </row>
    <row r="123">
      <c r="A123" s="8" t="s">
        <v>131</v>
      </c>
      <c r="B123" s="8" t="s">
        <v>352</v>
      </c>
      <c r="C123" s="8" t="s">
        <v>386</v>
      </c>
    </row>
    <row r="124">
      <c r="A124" s="8" t="s">
        <v>132</v>
      </c>
      <c r="B124" s="8" t="s">
        <v>387</v>
      </c>
      <c r="C124" s="8" t="s">
        <v>388</v>
      </c>
    </row>
    <row r="125">
      <c r="A125" s="8" t="s">
        <v>133</v>
      </c>
      <c r="B125" s="8" t="s">
        <v>286</v>
      </c>
      <c r="C125" s="8" t="s">
        <v>389</v>
      </c>
    </row>
    <row r="126">
      <c r="A126" s="8" t="s">
        <v>134</v>
      </c>
      <c r="B126" s="8" t="s">
        <v>263</v>
      </c>
      <c r="C126" s="8" t="s">
        <v>390</v>
      </c>
    </row>
    <row r="127">
      <c r="A127" s="8" t="s">
        <v>135</v>
      </c>
      <c r="B127" s="8" t="s">
        <v>235</v>
      </c>
      <c r="C127" s="8" t="s">
        <v>391</v>
      </c>
    </row>
    <row r="128">
      <c r="A128" s="8" t="s">
        <v>136</v>
      </c>
      <c r="B128" s="8" t="s">
        <v>341</v>
      </c>
      <c r="C128" s="8" t="s">
        <v>392</v>
      </c>
    </row>
    <row r="129">
      <c r="A129" s="8" t="s">
        <v>137</v>
      </c>
      <c r="B129" s="8" t="s">
        <v>291</v>
      </c>
      <c r="C129" s="8" t="s">
        <v>393</v>
      </c>
    </row>
    <row r="130">
      <c r="A130" s="8" t="s">
        <v>138</v>
      </c>
      <c r="B130" s="8" t="s">
        <v>263</v>
      </c>
      <c r="C130" s="8" t="s">
        <v>394</v>
      </c>
    </row>
    <row r="131">
      <c r="A131" s="8" t="s">
        <v>139</v>
      </c>
      <c r="B131" s="8" t="s">
        <v>395</v>
      </c>
      <c r="C131" s="8" t="s">
        <v>396</v>
      </c>
    </row>
    <row r="132">
      <c r="A132" s="8" t="s">
        <v>140</v>
      </c>
      <c r="B132" s="8" t="s">
        <v>235</v>
      </c>
      <c r="C132" s="8" t="s">
        <v>397</v>
      </c>
    </row>
    <row r="133">
      <c r="A133" s="8" t="s">
        <v>141</v>
      </c>
      <c r="B133" s="8" t="s">
        <v>235</v>
      </c>
      <c r="C133" s="8" t="s">
        <v>398</v>
      </c>
    </row>
    <row r="134">
      <c r="A134" s="8" t="s">
        <v>142</v>
      </c>
      <c r="B134" s="8" t="s">
        <v>293</v>
      </c>
      <c r="C134" s="8" t="s">
        <v>399</v>
      </c>
    </row>
    <row r="135">
      <c r="A135" s="8" t="s">
        <v>143</v>
      </c>
      <c r="B135" s="8" t="s">
        <v>341</v>
      </c>
      <c r="C135" s="8" t="s">
        <v>400</v>
      </c>
    </row>
    <row r="136">
      <c r="A136" s="8" t="s">
        <v>144</v>
      </c>
      <c r="B136" s="8" t="s">
        <v>239</v>
      </c>
      <c r="C136" s="8" t="s">
        <v>401</v>
      </c>
    </row>
    <row r="137">
      <c r="A137" s="8" t="s">
        <v>145</v>
      </c>
      <c r="B137" s="8" t="s">
        <v>273</v>
      </c>
      <c r="C137" s="8" t="s">
        <v>402</v>
      </c>
    </row>
    <row r="138">
      <c r="A138" s="8" t="s">
        <v>146</v>
      </c>
      <c r="B138" s="8" t="s">
        <v>403</v>
      </c>
      <c r="C138" s="8" t="s">
        <v>404</v>
      </c>
    </row>
    <row r="139">
      <c r="A139" s="8" t="s">
        <v>147</v>
      </c>
      <c r="B139" s="8" t="s">
        <v>405</v>
      </c>
      <c r="C139" s="8" t="s">
        <v>406</v>
      </c>
    </row>
    <row r="140">
      <c r="A140" s="8" t="s">
        <v>148</v>
      </c>
      <c r="B140" s="8" t="s">
        <v>309</v>
      </c>
      <c r="C140" s="8" t="s">
        <v>407</v>
      </c>
    </row>
    <row r="141">
      <c r="A141" s="8" t="s">
        <v>149</v>
      </c>
      <c r="B141" s="8" t="s">
        <v>288</v>
      </c>
      <c r="C141" s="8" t="s">
        <v>408</v>
      </c>
    </row>
    <row r="142">
      <c r="A142" s="8" t="s">
        <v>150</v>
      </c>
      <c r="B142" s="8" t="s">
        <v>255</v>
      </c>
      <c r="C142" s="8" t="s">
        <v>409</v>
      </c>
    </row>
    <row r="143">
      <c r="A143" s="8" t="s">
        <v>151</v>
      </c>
      <c r="B143" s="8" t="s">
        <v>263</v>
      </c>
      <c r="C143" s="8" t="s">
        <v>410</v>
      </c>
    </row>
    <row r="144">
      <c r="A144" s="8" t="s">
        <v>152</v>
      </c>
      <c r="B144" s="8" t="s">
        <v>263</v>
      </c>
      <c r="C144" s="8" t="s">
        <v>411</v>
      </c>
    </row>
    <row r="145">
      <c r="A145" s="8" t="s">
        <v>153</v>
      </c>
      <c r="B145" s="8" t="s">
        <v>275</v>
      </c>
      <c r="C145" s="8" t="s">
        <v>412</v>
      </c>
    </row>
    <row r="146">
      <c r="A146" s="8" t="s">
        <v>154</v>
      </c>
      <c r="B146" s="8" t="s">
        <v>352</v>
      </c>
      <c r="C146" s="8" t="s">
        <v>413</v>
      </c>
    </row>
    <row r="147">
      <c r="A147" s="8" t="s">
        <v>155</v>
      </c>
      <c r="B147" s="8" t="s">
        <v>258</v>
      </c>
      <c r="C147" s="8" t="s">
        <v>414</v>
      </c>
    </row>
    <row r="148">
      <c r="A148" s="8" t="s">
        <v>156</v>
      </c>
      <c r="B148" s="8" t="s">
        <v>288</v>
      </c>
      <c r="C148" s="8" t="s">
        <v>415</v>
      </c>
    </row>
    <row r="149">
      <c r="A149" s="8" t="s">
        <v>157</v>
      </c>
      <c r="B149" s="8" t="s">
        <v>258</v>
      </c>
      <c r="C149" s="8" t="s">
        <v>416</v>
      </c>
    </row>
    <row r="150">
      <c r="A150" s="8" t="s">
        <v>158</v>
      </c>
      <c r="B150" s="8" t="s">
        <v>235</v>
      </c>
      <c r="C150" s="8" t="s">
        <v>417</v>
      </c>
    </row>
    <row r="151">
      <c r="A151" s="8" t="s">
        <v>159</v>
      </c>
      <c r="B151" s="8" t="s">
        <v>235</v>
      </c>
      <c r="C151" s="8" t="s">
        <v>418</v>
      </c>
    </row>
    <row r="152">
      <c r="A152" s="8" t="s">
        <v>160</v>
      </c>
      <c r="B152" s="8" t="s">
        <v>263</v>
      </c>
      <c r="C152" s="8" t="s">
        <v>419</v>
      </c>
    </row>
    <row r="153">
      <c r="A153" s="8" t="s">
        <v>161</v>
      </c>
      <c r="B153" s="8"/>
      <c r="C153" s="8" t="s">
        <v>420</v>
      </c>
    </row>
    <row r="154">
      <c r="A154" s="8" t="s">
        <v>162</v>
      </c>
      <c r="B154" s="8" t="s">
        <v>403</v>
      </c>
      <c r="C154" s="8" t="s">
        <v>421</v>
      </c>
    </row>
    <row r="155">
      <c r="A155" s="8" t="s">
        <v>163</v>
      </c>
      <c r="B155" s="8" t="s">
        <v>288</v>
      </c>
      <c r="C155" s="8" t="s">
        <v>422</v>
      </c>
    </row>
    <row r="156">
      <c r="A156" s="8" t="s">
        <v>164</v>
      </c>
      <c r="B156" s="8" t="s">
        <v>423</v>
      </c>
      <c r="C156" s="8" t="s">
        <v>424</v>
      </c>
    </row>
    <row r="157">
      <c r="A157" s="8" t="s">
        <v>165</v>
      </c>
      <c r="B157" s="8"/>
      <c r="C157" s="8" t="s">
        <v>425</v>
      </c>
    </row>
    <row r="158">
      <c r="A158" s="8" t="s">
        <v>166</v>
      </c>
      <c r="B158" s="8" t="s">
        <v>426</v>
      </c>
      <c r="C158" s="8" t="s">
        <v>427</v>
      </c>
    </row>
    <row r="159">
      <c r="A159" s="8" t="s">
        <v>167</v>
      </c>
      <c r="B159" s="8" t="s">
        <v>246</v>
      </c>
      <c r="C159" s="8" t="s">
        <v>428</v>
      </c>
    </row>
    <row r="160">
      <c r="A160" s="8" t="s">
        <v>168</v>
      </c>
      <c r="B160" s="8"/>
      <c r="C160" s="8" t="s">
        <v>429</v>
      </c>
    </row>
    <row r="161">
      <c r="A161" s="8" t="s">
        <v>169</v>
      </c>
      <c r="B161" s="8" t="s">
        <v>311</v>
      </c>
      <c r="C161" s="8" t="s">
        <v>430</v>
      </c>
    </row>
    <row r="162">
      <c r="A162" s="8" t="s">
        <v>170</v>
      </c>
      <c r="B162" s="8" t="s">
        <v>293</v>
      </c>
      <c r="C162" s="8" t="s">
        <v>431</v>
      </c>
    </row>
    <row r="163">
      <c r="A163" s="8" t="s">
        <v>171</v>
      </c>
      <c r="B163" s="8" t="s">
        <v>258</v>
      </c>
      <c r="C163" s="8" t="s">
        <v>432</v>
      </c>
    </row>
    <row r="164">
      <c r="A164" s="8" t="s">
        <v>172</v>
      </c>
      <c r="B164" s="8" t="s">
        <v>263</v>
      </c>
      <c r="C164" s="8" t="s">
        <v>433</v>
      </c>
    </row>
    <row r="165">
      <c r="A165" s="8" t="s">
        <v>173</v>
      </c>
      <c r="B165" s="8" t="s">
        <v>263</v>
      </c>
      <c r="C165" s="8" t="s">
        <v>434</v>
      </c>
    </row>
    <row r="166">
      <c r="A166" s="8" t="s">
        <v>174</v>
      </c>
      <c r="B166" s="8" t="s">
        <v>291</v>
      </c>
      <c r="C166" s="8" t="s">
        <v>435</v>
      </c>
    </row>
    <row r="167">
      <c r="A167" s="8" t="s">
        <v>175</v>
      </c>
      <c r="B167" s="8" t="s">
        <v>273</v>
      </c>
      <c r="C167" s="8" t="s">
        <v>436</v>
      </c>
    </row>
    <row r="168">
      <c r="A168" s="8" t="s">
        <v>176</v>
      </c>
      <c r="B168" s="8" t="s">
        <v>304</v>
      </c>
      <c r="C168" s="8" t="s">
        <v>437</v>
      </c>
    </row>
    <row r="169">
      <c r="A169" s="8" t="s">
        <v>177</v>
      </c>
      <c r="B169" s="8" t="s">
        <v>263</v>
      </c>
      <c r="C169" s="8" t="s">
        <v>438</v>
      </c>
    </row>
    <row r="170">
      <c r="A170" s="8" t="s">
        <v>178</v>
      </c>
      <c r="B170" s="8" t="s">
        <v>291</v>
      </c>
      <c r="C170" s="8" t="s">
        <v>439</v>
      </c>
    </row>
    <row r="171">
      <c r="A171" s="8" t="s">
        <v>179</v>
      </c>
      <c r="B171" s="8" t="s">
        <v>291</v>
      </c>
      <c r="C171" s="8" t="s">
        <v>440</v>
      </c>
    </row>
    <row r="172">
      <c r="A172" s="8" t="s">
        <v>180</v>
      </c>
      <c r="B172" s="8" t="s">
        <v>291</v>
      </c>
      <c r="C172" s="8" t="s">
        <v>441</v>
      </c>
    </row>
    <row r="173">
      <c r="A173" s="8" t="s">
        <v>181</v>
      </c>
      <c r="B173" s="8" t="s">
        <v>291</v>
      </c>
      <c r="C173" s="8" t="s">
        <v>442</v>
      </c>
    </row>
    <row r="174">
      <c r="A174" s="8" t="s">
        <v>182</v>
      </c>
      <c r="B174" s="8" t="s">
        <v>255</v>
      </c>
      <c r="C174" s="8" t="s">
        <v>443</v>
      </c>
    </row>
    <row r="175">
      <c r="A175" s="8" t="s">
        <v>183</v>
      </c>
      <c r="B175" s="8" t="s">
        <v>235</v>
      </c>
      <c r="C175" s="8" t="s">
        <v>444</v>
      </c>
    </row>
    <row r="176">
      <c r="A176" s="8" t="s">
        <v>184</v>
      </c>
      <c r="B176" s="8" t="s">
        <v>445</v>
      </c>
      <c r="C176" s="8" t="s">
        <v>446</v>
      </c>
    </row>
    <row r="177">
      <c r="A177" s="8" t="s">
        <v>185</v>
      </c>
      <c r="B177" s="8"/>
      <c r="C177" s="8" t="s">
        <v>447</v>
      </c>
    </row>
    <row r="178">
      <c r="A178" s="8" t="s">
        <v>186</v>
      </c>
      <c r="B178" s="8" t="s">
        <v>341</v>
      </c>
      <c r="C178" s="8" t="s">
        <v>448</v>
      </c>
    </row>
    <row r="179">
      <c r="A179" s="8" t="s">
        <v>187</v>
      </c>
      <c r="B179" s="8" t="s">
        <v>260</v>
      </c>
      <c r="C179" s="8" t="s">
        <v>449</v>
      </c>
    </row>
    <row r="180">
      <c r="A180" s="8" t="s">
        <v>188</v>
      </c>
      <c r="B180" s="8" t="s">
        <v>255</v>
      </c>
      <c r="C180" s="8" t="s">
        <v>450</v>
      </c>
    </row>
    <row r="181">
      <c r="A181" s="8" t="s">
        <v>189</v>
      </c>
      <c r="B181" s="8" t="s">
        <v>260</v>
      </c>
      <c r="C181" s="8" t="s">
        <v>451</v>
      </c>
    </row>
    <row r="182">
      <c r="A182" s="8" t="s">
        <v>190</v>
      </c>
      <c r="B182" s="8" t="s">
        <v>248</v>
      </c>
      <c r="C182" s="8" t="s">
        <v>452</v>
      </c>
    </row>
    <row r="183">
      <c r="A183" s="8" t="s">
        <v>191</v>
      </c>
      <c r="B183" s="8" t="s">
        <v>248</v>
      </c>
      <c r="C183" s="8" t="s">
        <v>453</v>
      </c>
    </row>
    <row r="184">
      <c r="A184" s="8" t="s">
        <v>192</v>
      </c>
      <c r="B184" s="8" t="s">
        <v>302</v>
      </c>
      <c r="C184" s="8" t="s">
        <v>454</v>
      </c>
    </row>
    <row r="185">
      <c r="A185" s="8" t="s">
        <v>193</v>
      </c>
      <c r="B185" s="8" t="s">
        <v>258</v>
      </c>
      <c r="C185" s="8" t="s">
        <v>455</v>
      </c>
    </row>
    <row r="186">
      <c r="A186" s="8" t="s">
        <v>194</v>
      </c>
      <c r="B186" s="8" t="s">
        <v>243</v>
      </c>
      <c r="C186" s="8" t="s">
        <v>456</v>
      </c>
    </row>
    <row r="187">
      <c r="A187" s="8" t="s">
        <v>195</v>
      </c>
      <c r="B187" s="8" t="s">
        <v>273</v>
      </c>
      <c r="C187" s="8" t="s">
        <v>457</v>
      </c>
    </row>
    <row r="188">
      <c r="A188" s="8" t="s">
        <v>196</v>
      </c>
      <c r="B188" s="8"/>
      <c r="C188" s="8" t="s">
        <v>458</v>
      </c>
    </row>
    <row r="189">
      <c r="A189" s="8" t="s">
        <v>197</v>
      </c>
      <c r="B189" s="8" t="s">
        <v>275</v>
      </c>
      <c r="C189" s="8" t="s">
        <v>459</v>
      </c>
    </row>
    <row r="190">
      <c r="A190" s="8" t="s">
        <v>198</v>
      </c>
      <c r="B190" s="8" t="s">
        <v>291</v>
      </c>
      <c r="C190" s="8" t="s">
        <v>460</v>
      </c>
    </row>
    <row r="191">
      <c r="A191" s="8" t="s">
        <v>199</v>
      </c>
      <c r="B191" s="8" t="s">
        <v>263</v>
      </c>
      <c r="C191" s="8" t="s">
        <v>461</v>
      </c>
    </row>
    <row r="192">
      <c r="A192" s="8" t="s">
        <v>200</v>
      </c>
      <c r="B192" s="8" t="s">
        <v>273</v>
      </c>
      <c r="C192" s="8" t="s">
        <v>462</v>
      </c>
    </row>
    <row r="193">
      <c r="A193" s="8" t="s">
        <v>201</v>
      </c>
      <c r="B193" s="8" t="s">
        <v>423</v>
      </c>
      <c r="C193" s="8" t="s">
        <v>463</v>
      </c>
    </row>
    <row r="194">
      <c r="A194" s="8" t="s">
        <v>202</v>
      </c>
      <c r="B194" s="8" t="s">
        <v>248</v>
      </c>
      <c r="C194" s="8" t="s">
        <v>464</v>
      </c>
    </row>
    <row r="195">
      <c r="A195" s="8" t="s">
        <v>203</v>
      </c>
      <c r="B195" s="8" t="s">
        <v>258</v>
      </c>
      <c r="C195" s="8" t="s">
        <v>465</v>
      </c>
    </row>
    <row r="196">
      <c r="A196" s="8" t="s">
        <v>204</v>
      </c>
      <c r="B196" s="8" t="s">
        <v>275</v>
      </c>
      <c r="C196" s="8" t="s">
        <v>466</v>
      </c>
    </row>
    <row r="197">
      <c r="A197" s="8" t="s">
        <v>205</v>
      </c>
      <c r="B197" s="8" t="s">
        <v>263</v>
      </c>
      <c r="C197" s="8" t="s">
        <v>467</v>
      </c>
    </row>
    <row r="198">
      <c r="A198" s="8" t="s">
        <v>206</v>
      </c>
      <c r="B198" s="8" t="s">
        <v>263</v>
      </c>
      <c r="C198" s="8" t="s">
        <v>468</v>
      </c>
    </row>
    <row r="199">
      <c r="A199" s="8" t="s">
        <v>207</v>
      </c>
      <c r="B199" s="8" t="s">
        <v>286</v>
      </c>
      <c r="C199" s="8" t="s">
        <v>469</v>
      </c>
    </row>
    <row r="200">
      <c r="A200" s="8" t="s">
        <v>208</v>
      </c>
      <c r="B200" s="8" t="s">
        <v>403</v>
      </c>
      <c r="C200" s="8" t="s">
        <v>470</v>
      </c>
    </row>
    <row r="201">
      <c r="A201" s="8" t="s">
        <v>209</v>
      </c>
      <c r="B201" s="8" t="s">
        <v>311</v>
      </c>
      <c r="C201" s="8" t="s">
        <v>471</v>
      </c>
    </row>
    <row r="202">
      <c r="A202" s="8" t="s">
        <v>210</v>
      </c>
      <c r="B202" s="8" t="s">
        <v>403</v>
      </c>
      <c r="C202" s="8" t="s">
        <v>472</v>
      </c>
    </row>
    <row r="203">
      <c r="A203" s="8" t="s">
        <v>211</v>
      </c>
      <c r="B203" s="8" t="s">
        <v>258</v>
      </c>
      <c r="C203" s="8" t="s">
        <v>473</v>
      </c>
    </row>
    <row r="204">
      <c r="A204" s="8" t="s">
        <v>212</v>
      </c>
      <c r="B204" s="8" t="s">
        <v>252</v>
      </c>
      <c r="C204" s="8" t="s">
        <v>212</v>
      </c>
    </row>
    <row r="205">
      <c r="A205" s="8" t="s">
        <v>213</v>
      </c>
      <c r="B205" s="8" t="s">
        <v>474</v>
      </c>
      <c r="C205" s="8" t="s">
        <v>475</v>
      </c>
    </row>
    <row r="206">
      <c r="A206" s="8" t="s">
        <v>214</v>
      </c>
      <c r="B206" s="8" t="s">
        <v>237</v>
      </c>
      <c r="C206" s="8" t="s">
        <v>476</v>
      </c>
    </row>
    <row r="207">
      <c r="A207" s="8" t="s">
        <v>215</v>
      </c>
      <c r="B207" s="8" t="s">
        <v>423</v>
      </c>
      <c r="C207" s="8" t="s">
        <v>477</v>
      </c>
    </row>
    <row r="208">
      <c r="A208" s="8" t="s">
        <v>216</v>
      </c>
      <c r="B208" s="8" t="s">
        <v>291</v>
      </c>
      <c r="C208" s="8" t="s">
        <v>478</v>
      </c>
    </row>
    <row r="209">
      <c r="A209" s="8" t="s">
        <v>217</v>
      </c>
      <c r="B209" s="8" t="s">
        <v>479</v>
      </c>
      <c r="C209" s="8" t="s">
        <v>480</v>
      </c>
    </row>
    <row r="210">
      <c r="A210" s="8" t="s">
        <v>218</v>
      </c>
      <c r="B210" s="8" t="s">
        <v>237</v>
      </c>
      <c r="C210" s="8" t="s">
        <v>481</v>
      </c>
    </row>
    <row r="211">
      <c r="A211" s="8" t="s">
        <v>219</v>
      </c>
      <c r="B211" s="8" t="s">
        <v>263</v>
      </c>
      <c r="C211" s="8" t="s">
        <v>482</v>
      </c>
    </row>
    <row r="212">
      <c r="A212" s="8" t="s">
        <v>220</v>
      </c>
      <c r="B212" s="8" t="s">
        <v>483</v>
      </c>
      <c r="C212" s="8" t="s">
        <v>484</v>
      </c>
    </row>
    <row r="213">
      <c r="A213" s="8" t="s">
        <v>221</v>
      </c>
      <c r="B213" s="8"/>
      <c r="C213" s="8" t="s">
        <v>485</v>
      </c>
    </row>
    <row r="214">
      <c r="A214" s="8" t="s">
        <v>222</v>
      </c>
      <c r="B214" s="8" t="s">
        <v>352</v>
      </c>
      <c r="C214" s="8" t="s">
        <v>486</v>
      </c>
    </row>
    <row r="215">
      <c r="A215" s="8" t="s">
        <v>223</v>
      </c>
      <c r="B215" s="8" t="s">
        <v>258</v>
      </c>
      <c r="C215" s="8" t="s">
        <v>487</v>
      </c>
    </row>
    <row r="216">
      <c r="A216" s="8" t="s">
        <v>224</v>
      </c>
      <c r="B216" s="8" t="s">
        <v>275</v>
      </c>
      <c r="C216" s="8" t="s">
        <v>488</v>
      </c>
    </row>
    <row r="217">
      <c r="A217" s="8" t="s">
        <v>225</v>
      </c>
      <c r="B217" s="8" t="s">
        <v>489</v>
      </c>
      <c r="C217" s="8" t="s">
        <v>490</v>
      </c>
    </row>
    <row r="218">
      <c r="A218" s="8" t="s">
        <v>226</v>
      </c>
      <c r="B218" s="8" t="s">
        <v>293</v>
      </c>
      <c r="C218" s="8" t="s">
        <v>491</v>
      </c>
    </row>
    <row r="219">
      <c r="A219" s="8" t="s">
        <v>227</v>
      </c>
      <c r="B219" s="8" t="s">
        <v>260</v>
      </c>
      <c r="C219" s="8" t="s">
        <v>492</v>
      </c>
    </row>
    <row r="220">
      <c r="A220" s="30"/>
      <c r="B220" s="30"/>
      <c r="C220" s="30"/>
    </row>
  </sheetData>
  <mergeCells count="1">
    <mergeCell ref="A1:C1"/>
  </mergeCells>
  <drawing r:id="rId1"/>
  <tableParts count="1">
    <tablePart r:id="rId3"/>
  </tableParts>
</worksheet>
</file>